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24226"/>
  <mc:AlternateContent xmlns:mc="http://schemas.openxmlformats.org/markup-compatibility/2006">
    <mc:Choice Requires="x15">
      <x15ac:absPath xmlns:x15ac="http://schemas.microsoft.com/office/spreadsheetml/2010/11/ac" url="https://325capitalcom.sharepoint.com/sites/325Research22/Shared Documents/NXGN/Models/"/>
    </mc:Choice>
  </mc:AlternateContent>
  <xr:revisionPtr revIDLastSave="138" documentId="8_{04A5DCDD-FE65-4CDA-A184-D4A45D9EB068}" xr6:coauthVersionLast="45" xr6:coauthVersionMax="45" xr10:uidLastSave="{B977716F-1AE2-4A9D-A390-2A554494C2EE}"/>
  <bookViews>
    <workbookView xWindow="40942" yWindow="-8" windowWidth="28995" windowHeight="15796" activeTab="5" xr2:uid="{00000000-000D-0000-FFFF-FFFF00000000}"/>
  </bookViews>
  <sheets>
    <sheet name="Front Page" sheetId="7" r:id="rId1"/>
    <sheet name="IR and Writeup" sheetId="11" r:id="rId2"/>
    <sheet name="Earnings Power" sheetId="12" r:id="rId3"/>
    <sheet name="Model" sheetId="1" r:id="rId4"/>
    <sheet name="Guidance" sheetId="10" r:id="rId5"/>
    <sheet name="Summary Page" sheetId="9" r:id="rId6"/>
    <sheet name="Update Log" sheetId="8" r:id="rId7"/>
  </sheets>
  <externalReferences>
    <externalReference r:id="rId8"/>
  </externalReferences>
  <definedNames>
    <definedName name="_xlnm._FilterDatabase" localSheetId="4" hidden="1">Guidance!$A$5:$T$5</definedName>
    <definedName name="AA.AlternatePriceSourceStartPeriod">"Q1-2019"</definedName>
    <definedName name="AA.CompareQuarters.LatestMRQ">"Q2-2020"</definedName>
    <definedName name="AA.CSIN">"T2HXNG0168"</definedName>
    <definedName name="AA.CurrencyMatch">EXACT(HP.TradeCurrency,MO.ReportCurrency)</definedName>
    <definedName name="AA.DBMacroVersion">"1.0.13.0"</definedName>
    <definedName name="AA.HardcodeChecker.LatestMRQ">"Q2-2020"</definedName>
    <definedName name="AA.ModelChecks.LatestMRQ">"Q3-2020"</definedName>
    <definedName name="AA.ModelChecks.LatestVersionNumber">"2.18.0.0"</definedName>
    <definedName name="AA.ModelVersion">"Q3-2020.30"</definedName>
    <definedName name="AA.PersonalMacro.VersionNumber">"1.5.1.5"</definedName>
    <definedName name="AA.SessionToUploadId">""</definedName>
    <definedName name="AA.StartWorkType">""</definedName>
    <definedName name="AA.SubyearType">"Q"</definedName>
    <definedName name="AA.TemplateUpgradeAttempted">"TRUE"</definedName>
    <definedName name="AA.TemplateVersion">"6.1.0.0"</definedName>
    <definedName name="AA.UpdateType">"Regular"</definedName>
    <definedName name="AA.VerifyUnitsAtModelVersion">"Q1-2019.23"</definedName>
    <definedName name="CIQWBGuid" hidden="1">"aef63951-a779-44b8-9c2f-44f160f8ecc5"</definedName>
    <definedName name="FP.DataSource">'Front Page'!$H$16</definedName>
    <definedName name="FP.DataSourceName">'Front Page'!$H$15</definedName>
    <definedName name="FP.Disclaimer">'Front Page'!$C$22</definedName>
    <definedName name="FP.LastPrice">'Front Page'!$H$20</definedName>
    <definedName name="FP.LastPriceDate">'Front Page'!$F$20</definedName>
    <definedName name="FP.RealTimeToggle">'Front Page'!$H$18</definedName>
    <definedName name="FP.UpdateDate">'Front Page'!$H$11</definedName>
    <definedName name="FP.UpdateEvent">'Front Page'!$H$13</definedName>
    <definedName name="FP_Comment">'Front Page'!$P$9:$P$16</definedName>
    <definedName name="GD.CompanyName">Guidance!$B$1</definedName>
    <definedName name="GD.MRQ">Guidance!$F$2</definedName>
    <definedName name="GD_Difference_Mid_Absolute">Guidance!$O:$O</definedName>
    <definedName name="GD_Difference_Mid_Relative">Guidance!$P:$P</definedName>
    <definedName name="GD_Guidance_High">Guidance!$I:$I</definedName>
    <definedName name="GD_Guidance_Low">Guidance!$H:$H</definedName>
    <definedName name="GD_Guidance_Mid">Guidance!$J:$J</definedName>
    <definedName name="GD_Header_Column">Guidance!$5:$5</definedName>
    <definedName name="GD_Header_Section">Guidance!$4:$4</definedName>
    <definedName name="GD_Index">Guidance!$A:$A</definedName>
    <definedName name="GD_Item">Guidance!$D:$D</definedName>
    <definedName name="GD_Item_FiscalPeriod">Guidance!$F:$F</definedName>
    <definedName name="GD_Item_Name">Guidance!$E:$E</definedName>
    <definedName name="GD_Model_Output">Guidance!$M:$M</definedName>
    <definedName name="GD_Model_Type">Guidance!$L:$L</definedName>
    <definedName name="GD_Type">Guidance!$B:$B</definedName>
    <definedName name="GD_Update_Date">Guidance!$R:$R</definedName>
    <definedName name="GD_Update_Link">Guidance!$S:$S</definedName>
    <definedName name="HP.MRFX">Model!$B$726</definedName>
    <definedName name="HP.ReportCurrency">Model!$B$725</definedName>
    <definedName name="HP.Ticker">Model!$A$2</definedName>
    <definedName name="HP.TradeCurrency">Model!$B$723</definedName>
    <definedName name="HP.TradeCurrency.HardCoded">Model!$B$724</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E_BR" hidden="1">"c10"</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P_BR" hidden="1">"c34"</definedName>
    <definedName name="IQ_AR_BR" hidden="1">"c41"</definedName>
    <definedName name="IQ_ASSET_BACKED_FDIC" hidden="1">"c6301"</definedName>
    <definedName name="IQ_ASSET_WRITEDOWN_BR" hidden="1">"c50"</definedName>
    <definedName name="IQ_ASSET_WRITEDOWN_CF_BR" hidden="1">"c53"</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OARD_MEMBER_FAX" hidden="1">"c2100"</definedName>
    <definedName name="IQ_BOARD_MEMBER_OFFICE" hidden="1">"c2098"</definedName>
    <definedName name="IQ_BOARD_MEMBER_PHONE" hidden="1">"c2099"</definedName>
    <definedName name="IQ_BONDRATING_FITCH" hidden="1">"c223"</definedName>
    <definedName name="IQ_BONDRATING_FITCH_DATE" hidden="1">"c241"</definedName>
    <definedName name="IQ_BONDRATING_SP" hidden="1">"c224"</definedName>
    <definedName name="IQ_BONDRATING_SP_DATE" hidden="1">"c242"</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PEX_BR" hidden="1">"c111"</definedName>
    <definedName name="IQ_CASH_DIVIDENDS_NET_INCOME_FDIC" hidden="1">"c6738"</definedName>
    <definedName name="IQ_CASH_IN_PROCESS_FDIC" hidden="1">"c6386"</definedName>
    <definedName name="IQ_CCE_FDIC" hidden="1">"c6296"</definedName>
    <definedName name="IQ_CH" hidden="1">110000</definedName>
    <definedName name="IQ_CHANGE_AP_BR" hidden="1">"c135"</definedName>
    <definedName name="IQ_CHANGE_AR_BR" hidden="1">"c142"</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OTHER_NET_OPER_ASSETS_BR" hidden="1">"c3595"</definedName>
    <definedName name="IQ_CHANGE_OTHER_WORK_CAP_BR" hidden="1">"c154"</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APIC_BR" hidden="1">"c185"</definedName>
    <definedName name="IQ_COMMON_FDIC" hidden="1">"c6350"</definedName>
    <definedName name="IQ_COMMON_ISSUED_BR" hidden="1">"c199"</definedName>
    <definedName name="IQ_COMMON_REP_BR" hidden="1">"c208"</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RT_DEBT" hidden="1">"c224"</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FEE" hidden="1">"c231"</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EARNING_ASSETS_FDIC" hidden="1">"c6360"</definedName>
    <definedName name="IQ_EARNING_ASSETS_YIELD_FDIC" hidden="1">"c6724"</definedName>
    <definedName name="IQ_EARNINGS_COVERAGE_NET_CHARGE_OFFS_FDIC" hidden="1">"c6735"</definedName>
    <definedName name="IQ_EBIT_10K" hidden="1">"IQ_EBIT_10K"</definedName>
    <definedName name="IQ_EBIT_10Q" hidden="1">"IQ_EBIT_10Q"</definedName>
    <definedName name="IQ_EBIT_10Q1" hidden="1">"IQ_EBIT_10Q1"</definedName>
    <definedName name="IQ_EBIT_GROWTH_1" hidden="1">"c157"</definedName>
    <definedName name="IQ_EBIT_GROWTH_2" hidden="1">"c161"</definedName>
    <definedName name="IQ_EBITDA_10K" hidden="1">"IQ_EBITDA_10K"</definedName>
    <definedName name="IQ_EBITDA_10Q" hidden="1">"IQ_EBITDA_10Q"</definedName>
    <definedName name="IQ_EBITDA_10Q1" hidden="1">"IQ_EBITDA_10Q1"</definedName>
    <definedName name="IQ_EBITDA_GROWTH_1" hidden="1">"c156"</definedName>
    <definedName name="IQ_EBITDA_GROWTH_2" hidden="1">"c160"</definedName>
    <definedName name="IQ_EBITDA_NO_EST" hidden="1">"c267"</definedName>
    <definedName name="IQ_EBT_BR" hidden="1">"c378"</definedName>
    <definedName name="IQ_EBT_EXCL_BR" hidden="1">"c381"</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 hidden="1">"IQ_EPS"</definedName>
    <definedName name="IQ_EPS_10K" hidden="1">"IQ_EPS_10K"</definedName>
    <definedName name="IQ_EPS_10Q" hidden="1">"IQ_EPS_10Q"</definedName>
    <definedName name="IQ_EPS_10Q1" hidden="1">"IQ_EPS_10Q1"</definedName>
    <definedName name="IQ_EPS_NO_EST" hidden="1">"c271"</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EPS_SURPRISE" hidden="1">"c1635"</definedName>
    <definedName name="IQ_ESTIMATED_ASSESSABLE_DEPOSITS_FDIC" hidden="1">"c6490"</definedName>
    <definedName name="IQ_ESTIMATED_INSURED_DEPOSITS_FDIC" hidden="1">"c6491"</definedName>
    <definedName name="IQ_EV_OVER_REVENUE_EST" hidden="1">"c165"</definedName>
    <definedName name="IQ_EV_OVER_REVENUE_EST_1" hidden="1">"c166"</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_BR" hidden="1">"c412"</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NO_EST" hidden="1">"c276"</definedName>
    <definedName name="IQ_FH" hidden="1">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_CONTRACTS_FDIC" hidden="1">"c6517"</definedName>
    <definedName name="IQ_FX_CONTRACTS_SPOT_FDIC" hidden="1">"c6356"</definedName>
    <definedName name="IQ_FY" hidden="1">1000</definedName>
    <definedName name="IQ_FY_DATE" hidden="1">"IQ_FY_DATE"</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C_BNK" hidden="1">"c488"</definedName>
    <definedName name="IQ_GAIN_INVEST_REV_BR" hidden="1">"c496"</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ROSS_GW" hidden="1">"c519"</definedName>
    <definedName name="IQ_GROSS_INTAN" hidden="1">"c520"</definedName>
    <definedName name="IQ_GW_AMORT_BR" hidden="1">"c532"</definedName>
    <definedName name="IQ_GW_INTAN_AMORT_BR" hidden="1">"c1470"</definedName>
    <definedName name="IQ_GW_INTAN_AMORT_CF_BR" hidden="1">"c1473"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_EQUITY_BR" hidden="1">"c550"</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SETTLE_BR" hidden="1">"c572"</definedName>
    <definedName name="IQ_INSIDER_3MTH_BOUGHT" hidden="1">"c1534"</definedName>
    <definedName name="IQ_INSIDER_3MTH_NET" hidden="1">"c1535"</definedName>
    <definedName name="IQ_INSIDER_3MTH_SOLD" hidden="1">"c1533"</definedName>
    <definedName name="IQ_INSIDER_6MTH_BOUGHT" hidden="1">"c1537"</definedName>
    <definedName name="IQ_INSIDER_6MTH_NET" hidden="1">"c1538"</definedName>
    <definedName name="IQ_INSIDER_6MTH_SOLD" hidden="1">"c1536"</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BR" hidden="1">"c586"</definedName>
    <definedName name="IQ_INT_EXP_TOTAL_FDIC" hidden="1">"c6569"</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INC_10K" hidden="1">"IQ_INTEREST_INC_10K"</definedName>
    <definedName name="IQ_INTEREST_INC_10Q" hidden="1">"IQ_INTEREST_INC_10Q"</definedName>
    <definedName name="IQ_INTEREST_INC_10Q1" hidden="1">"IQ_INTEREST_INC_10Q1"</definedName>
    <definedName name="IQ_INTEREST_LT_DEBT" hidden="1">"c2086"</definedName>
    <definedName name="IQ_INTEREST_RATE_CONTRACTS_FDIC" hidden="1">"c6512"</definedName>
    <definedName name="IQ_INTEREST_RATE_EXPOSURES_FDIC" hidden="1">"c6662"</definedName>
    <definedName name="IQ_INVEST_LOANS_CF_BR" hidden="1">"c630"</definedName>
    <definedName name="IQ_INVEST_SECURITY_CF_BR" hidden="1">"c639"</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_BR" hidden="1">"c649"</definedName>
    <definedName name="IQ_LIFE_INSURANCE_ASSETS_FDIC" hidden="1">"c6372"</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CF_BR" hidden="1">"c661"</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_DEBT_BR" hidden="1">"c676"</definedName>
    <definedName name="IQ_LT_DEBT_ISSUED_BR" hidden="1">"c683"</definedName>
    <definedName name="IQ_LT_DEBT_REPAID_BR" hidden="1">"c691"</definedName>
    <definedName name="IQ_LT_INVEST_BR" hidden="1">"c698"</definedName>
    <definedName name="IQ_LT_SENIOR_DEBT" hidden="1">"c702"</definedName>
    <definedName name="IQ_LT_SUB_DEBT" hidden="1">"c703"</definedName>
    <definedName name="IQ_LTM" hidden="1">2000</definedName>
    <definedName name="IQ_LTM_DATE" hidden="1">"IQ_LTM_DATE"</definedName>
    <definedName name="IQ_LTMMONTH" hidden="1">120000</definedName>
    <definedName name="IQ_MARKTCAP" hidden="1">"c258"</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_BR" hidden="1">"c715"</definedName>
    <definedName name="IQ_MERGER_RESTRUCTURE_BR" hidden="1">"c721"</definedName>
    <definedName name="IQ_MINORITY_INTEREST_BR" hidden="1">"c729"</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TD" hidden="1">800000</definedName>
    <definedName name="IQ_MULTIFAMILY_RESIDENTIAL_LOANS_FDIC" hidden="1">"c6311"</definedName>
    <definedName name="IQ_NAMES_REVISION_DATE_" hidden="1">42619.6072569444</definedName>
    <definedName name="IQ_NAV_ACT_OR_EST" hidden="1">"c2225"</definedName>
    <definedName name="IQ_NET_CHARGE_OFFS_FDIC" hidden="1">"c6641"</definedName>
    <definedName name="IQ_NET_CHARGE_OFFS_LOANS_FDIC" hidden="1">"c6751"</definedName>
    <definedName name="IQ_NET_DEBT_ISSUED_BR" hidden="1">"c753"</definedName>
    <definedName name="IQ_NET_INC_10K" hidden="1">"IQ_NET_INC_10K"</definedName>
    <definedName name="IQ_NET_INC_10Q" hidden="1">"IQ_NET_INC_10Q"</definedName>
    <definedName name="IQ_NET_INC_10Q1" hidden="1">"IQ_NET_INC_10Q1"</definedName>
    <definedName name="IQ_NET_INC_GROWTH_1" hidden="1">"c158"</definedName>
    <definedName name="IQ_NET_INC_GROWTH_2" hidden="1">"c162"</definedName>
    <definedName name="IQ_NET_INCOME_FDIC" hidden="1">"c6587"</definedName>
    <definedName name="IQ_NET_INT_INC_BNK_FDIC" hidden="1">"c6570"</definedName>
    <definedName name="IQ_NET_INT_INC_BR" hidden="1">"c765"</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ER_INC_BR" hidden="1">"c850"</definedName>
    <definedName name="IQ_OPTIONS_EXCERCISED" hidden="1">"c2116"</definedName>
    <definedName name="IQ_OPTIONS_OS" hidden="1">"c858"</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MORT_BR" hidden="1">"c5566"</definedName>
    <definedName name="IQ_OTHER_ASSETS_BR" hidden="1">"c862"</definedName>
    <definedName name="IQ_OTHER_ASSETS_FDIC" hidden="1">"c6338"</definedName>
    <definedName name="IQ_OTHER_BORROWED_FUNDS_FDIC" hidden="1">"c6345"</definedName>
    <definedName name="IQ_OTHER_CA_SUPPL_BR" hidden="1">"c871"</definedName>
    <definedName name="IQ_OTHER_CL_SUPPL_BR" hidden="1">"c880"</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QUITY_BR" hidden="1">"c888"</definedName>
    <definedName name="IQ_OTHER_FINANCE_ACT_BR" hidden="1">"c895"</definedName>
    <definedName name="IQ_OTHER_FINANCE_ACT_SUPPL_BR" hidden="1">"c901"</definedName>
    <definedName name="IQ_OTHER_INSURANCE_FEES_FDIC" hidden="1">"c6672"</definedName>
    <definedName name="IQ_OTHER_INTAN_BR" hidden="1">"c909"</definedName>
    <definedName name="IQ_OTHER_INTANGIBLE_FDIC" hidden="1">"c6337"</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T_ASSETS_BR" hidden="1">"c948"</definedName>
    <definedName name="IQ_OTHER_NON_INT_EXP_FDIC" hidden="1">"c6578"</definedName>
    <definedName name="IQ_OTHER_NON_INT_EXPENSE_FDIC" hidden="1">"c6679"</definedName>
    <definedName name="IQ_OTHER_NON_INT_INC_FDIC" hidden="1">"c6676"</definedName>
    <definedName name="IQ_OTHER_NON_OPER_EXP_BR" hidden="1">"c957"</definedName>
    <definedName name="IQ_OTHER_NON_OPER_EXP_SUPPL_BR" hidden="1">"c962"</definedName>
    <definedName name="IQ_OTHER_OFF_BS_LIAB_FDIC" hidden="1">"c6533"</definedName>
    <definedName name="IQ_OTHER_OPER_ACT_BR" hidden="1">"c985"</definedName>
    <definedName name="IQ_OTHER_OPER_BR" hidden="1">"c990"</definedName>
    <definedName name="IQ_OTHER_OPER_SUPPL_BR" hidden="1">"c994"</definedName>
    <definedName name="IQ_OTHER_OPER_TOT_BR" hidden="1">"c1000"</definedName>
    <definedName name="IQ_OTHER_RE_OWNED_FDIC" hidden="1">"c6330"</definedName>
    <definedName name="IQ_OTHER_REV_BR" hidden="1">"c1011"</definedName>
    <definedName name="IQ_OTHER_REV_SUPPL_BR" hidden="1">"c1016"</definedName>
    <definedName name="IQ_OTHER_SAVINGS_DEPOSITS_FDIC" hidden="1">"c6554"</definedName>
    <definedName name="IQ_OTHER_TRANSACTIONS_FDIC" hidden="1">"c6504"</definedName>
    <definedName name="IQ_OTHER_UNUSED_COMMITMENTS_FDIC" hidden="1">"c6530"</definedName>
    <definedName name="IQ_OTHER_UNUSUAL_BR" hidden="1">"c1561"</definedName>
    <definedName name="IQ_OTHER_UNUSUAL_SUPPL_BR" hidden="1">"c1496"</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INSURED_FDIC" hidden="1">"c6374"</definedName>
    <definedName name="IQ_PLEDGED_SECURITIES_FDIC" hidden="1">"c6401"</definedName>
    <definedName name="IQ_PRE_TAX_INCOME_FDIC" hidden="1">"c6581"</definedName>
    <definedName name="IQ_PREF_ISSUED_BR" hidden="1">"c1047"</definedName>
    <definedName name="IQ_PREF_OTHER_BR" hidden="1">"c1055"</definedName>
    <definedName name="IQ_PREF_REP_BR" hidden="1">"c1062"</definedName>
    <definedName name="IQ_PREFERRED_FDIC" hidden="1">"c6349"</definedName>
    <definedName name="IQ_PREMISES_EQUIPMENT_FDIC" hidden="1">"c6577"</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EPS_EST" hidden="1">"c174"</definedName>
    <definedName name="IQ_PRICE_OVER_EPS_EST_1" hidden="1">"c175"</definedName>
    <definedName name="IQ_PRICEDATETIME" hidden="1">"IQ_PRICEDATETIME"</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_BR" hidden="1">"c1106"</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BROK" hidden="1">"c1115"</definedName>
    <definedName name="IQ_RETURN_ASSETS_FDIC" hidden="1">"c6730"</definedName>
    <definedName name="IQ_RETURN_EQUITY_BROK" hidden="1">"c1120"</definedName>
    <definedName name="IQ_RETURN_EQUITY_FDIC" hidden="1">"c6732"</definedName>
    <definedName name="IQ_REVALUATION_GAINS_FDIC" hidden="1">"c6428"</definedName>
    <definedName name="IQ_REVALUATION_LOSSES_FDIC" hidden="1">"c6429"</definedName>
    <definedName name="IQ_REVENUE_10K" hidden="1">"IQ_REVENUE_10K"</definedName>
    <definedName name="IQ_REVENUE_10Q" hidden="1">"IQ_REVENUE_10Q"</definedName>
    <definedName name="IQ_REVENUE_10Q1" hidden="1">"IQ_REVENUE_10Q1"</definedName>
    <definedName name="IQ_REVENUE_GROWTH_1" hidden="1">"c155"</definedName>
    <definedName name="IQ_REVENUE_GROWTH_2" hidden="1">"c159"</definedName>
    <definedName name="IQ_REVENUE_NO_EST" hidden="1">"c263"</definedName>
    <definedName name="IQ_RISK_WEIGHTED_ASSETS_FDIC" hidden="1">"c6370"</definedName>
    <definedName name="IQ_SALARY_FDIC" hidden="1">"c6576"</definedName>
    <definedName name="IQ_SALE_CONVERSION_RETIREMENT_STOCK_FDIC" hidden="1">"c6661"</definedName>
    <definedName name="IQ_SALE_INTAN_CF_BR" hidden="1">"c1133"</definedName>
    <definedName name="IQ_SALE_PPE_CF_BR" hidden="1">"c1139"</definedName>
    <definedName name="IQ_SALE_REAL_ESTATE_CF_BR" hidden="1">"c1145"</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R_BR" hidden="1">"c1231"</definedName>
    <definedName name="IQ_TOTAL_ASSETS_FDIC" hidden="1">"c6339"</definedName>
    <definedName name="IQ_TOTAL_CHARGE_OFFS_FDIC" hidden="1">"c6603"</definedName>
    <definedName name="IQ_TOTAL_DEBT_ISSUED_BR" hidden="1">"c1253"</definedName>
    <definedName name="IQ_TOTAL_DEBT_REPAID_BR" hidden="1">"c1260"</definedName>
    <definedName name="IQ_TOTAL_DEBT_SECURITIES_FDIC" hidden="1">"c6410"</definedName>
    <definedName name="IQ_TOTAL_DEPOSITS_FDIC" hidden="1">"c6342"</definedName>
    <definedName name="IQ_TOTAL_EMPLOYEES_FDIC" hidden="1">"c6355"</definedName>
    <definedName name="IQ_TOTAL_LIAB_BR" hidden="1">"c1278"</definedName>
    <definedName name="IQ_TOTAL_LIAB_EQUITY_FDIC" hidden="1">"c6354"</definedName>
    <definedName name="IQ_TOTAL_LIABILITIES_FDIC" hidden="1">"c6348"</definedName>
    <definedName name="IQ_TOTAL_OPER_EXP_BR" hidden="1">"c1284"</definedName>
    <definedName name="IQ_TOTAL_PENSION_OBLIGATION" hidden="1">"c1292"</definedName>
    <definedName name="IQ_TOTAL_RECOVERIES_FDIC" hidden="1">"c6622"</definedName>
    <definedName name="IQ_TOTAL_REV_BNK_FDIC" hidden="1">"c6786"</definedName>
    <definedName name="IQ_TOTAL_REV_BR" hidden="1">"c1303"</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OTAL_UNUSUAL_BR" hidden="1">"c5517"</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OTHER_EQUITY_BR" hidden="1">"c1314"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_REV_CURRENT_BR" hidden="1">"c1324"</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IQRA8" hidden="1">"$A$9:$A$260"</definedName>
    <definedName name="IQRAC10" hidden="1">"$AC$11:$AC$40"</definedName>
    <definedName name="IQRAD10" hidden="1">"$AD$11:$AD$40"</definedName>
    <definedName name="IQRAG10" hidden="1">"$AG$11:$AG$70"</definedName>
    <definedName name="IQRAH10" hidden="1">"$AH$11:$AH$70"</definedName>
    <definedName name="IQRAK10" hidden="1">"$AK$11:$AK$100"</definedName>
    <definedName name="IQRAL10" hidden="1">"$AL$11:$AL$100"</definedName>
    <definedName name="IQRB2" hidden="1">"$B$3:$B$1261"</definedName>
    <definedName name="IQRB8" hidden="1">"$B$9:$B$260"</definedName>
    <definedName name="IQRC8" hidden="1">"$C$9:$C$260"</definedName>
    <definedName name="IQRH11" hidden="1">"$H$12:$H$41"</definedName>
    <definedName name="IQRL11" hidden="1">"$L$12:$L$41"</definedName>
    <definedName name="IQRM11" hidden="1">"$M$12:$M$41"</definedName>
    <definedName name="MO.CFY">Model!$B$730</definedName>
    <definedName name="MO.CompanyName">Model!$A$1</definedName>
    <definedName name="MO.DataSourceIndex">Model!$B$732</definedName>
    <definedName name="MO.DataSourceName">Model!$A$4</definedName>
    <definedName name="MO.FirstForecastedFiscalYear">Model!$B$731</definedName>
    <definedName name="MO.LastPrice">Model!$B$3</definedName>
    <definedName name="MO.LastPriceDate">Model!$B$720</definedName>
    <definedName name="MO.LastPriceFormula">Model!$B$722</definedName>
    <definedName name="MO.LastPriceHardcoded">Model!$B$719</definedName>
    <definedName name="MO.MRFP">Model!$B$729</definedName>
    <definedName name="MO.MRFPColumnNumber">Model!$B$728</definedName>
    <definedName name="MO.MRFX.Hardcoded">Model!$B$727</definedName>
    <definedName name="MO.RealTime">Model!$B$4</definedName>
    <definedName name="MO.RealTimeStockPriceToggle">Model!$B$721</definedName>
    <definedName name="MO.ReportCurrency">Model!$B$725</definedName>
    <definedName name="MO.ReportFX">Model!$A$5</definedName>
    <definedName name="MO.Ticker">Model!$A$2</definedName>
    <definedName name="MO.Ticker.Bloomberg">Model!$A$656</definedName>
    <definedName name="MO.Ticker.CapIQ">Model!$A$657</definedName>
    <definedName name="MO.Ticker.FactSet">Model!$A$658</definedName>
    <definedName name="MO.Ticker.Thomson">Model!$A$659</definedName>
    <definedName name="MO.TradingCurrency">Model!$A$3</definedName>
    <definedName name="MO.ValuationToggle">Model!$B$396</definedName>
    <definedName name="MO_AN_FCF_Adj">Model!$288:$288</definedName>
    <definedName name="MO_BS_AP">Model!$599:$599</definedName>
    <definedName name="MO_BS_AR">Model!$578:$578</definedName>
    <definedName name="MO_BS_AR_TR">Model!$578:$578</definedName>
    <definedName name="MO_BS_CA">Model!$583:$583</definedName>
    <definedName name="MO_BS_CL">Model!$606:$606</definedName>
    <definedName name="MO_BS_ContractAssets">Model!$581:$581</definedName>
    <definedName name="MO_BS_Goodwill">Model!$592:$592</definedName>
    <definedName name="MO_BS_Intangibles">Model!$591:$591</definedName>
    <definedName name="MO_BS_INV">Model!$579:$579</definedName>
    <definedName name="MO_BS_NCA">Model!$595:$595</definedName>
    <definedName name="MO_BS_NCI">Model!$624:$624</definedName>
    <definedName name="MO_BS_NCL">Model!$615:$615</definedName>
    <definedName name="MO_BS_OL_Current">Model!$604:$604</definedName>
    <definedName name="MO_BS_OL_NonCurrent">Model!$613:$613</definedName>
    <definedName name="MO_BS_PPE">Model!$586:$586</definedName>
    <definedName name="MO_BS_SE">Model!$623:$623</definedName>
    <definedName name="MO_BS_TA">Model!$596:$596</definedName>
    <definedName name="MO_BS_TL">Model!$616:$616</definedName>
    <definedName name="MO_BS_TLSE">Model!$625:$625</definedName>
    <definedName name="MO_BSS_Cash">Model!$377:$377</definedName>
    <definedName name="MO_BSS_Debt">Model!$380:$380</definedName>
    <definedName name="MO_BSS_Debt_LT">Model!$379:$379</definedName>
    <definedName name="MO_BSS_Debt_Net">Model!$382:$382</definedName>
    <definedName name="MO_BSS_Debt_ST">Model!$378:$378</definedName>
    <definedName name="MO_BSS_Debt_ToCF">Model!$393:$393</definedName>
    <definedName name="MO_BSS_Debt_ToEBITDA">Model!$392:$392</definedName>
    <definedName name="MO_BSS_IE">Model!$384:$384</definedName>
    <definedName name="MO_BSS_IE_Net">Model!$388:$388</definedName>
    <definedName name="MO_BSS_II">Model!$386:$386</definedName>
    <definedName name="MO_BSS_InterestRate_Cash">Model!$387:$387</definedName>
    <definedName name="MO_BSS_InterestRate_Debt">Model!$385:$385</definedName>
    <definedName name="MO_BSS_NetInterestCoverage">Model!$391:$391</definedName>
    <definedName name="MO_BSS_NetInterestRate_Debt">Model!$389:$389</definedName>
    <definedName name="MO_BSS_OL">Model!$381:$381</definedName>
    <definedName name="MO_CCFS_Balance_Begin">Model!$479:$479</definedName>
    <definedName name="MO_CCFS_Balance_End">Model!$480:$480</definedName>
    <definedName name="MO_CCFS_CFF">Model!$474:$474</definedName>
    <definedName name="MO_CCFS_CFI">Model!$463:$463</definedName>
    <definedName name="MO_CCFS_CFO">Model!$452:$452</definedName>
    <definedName name="MO_CCFS_CFO_BeforeWC">Model!$436:$436</definedName>
    <definedName name="MO_CCFS_FX">Model!$476:$476</definedName>
    <definedName name="MO_CCFS_NetChange">Model!$477:$477</definedName>
    <definedName name="MO_CFS_Balance_Begin">Model!$543:$543</definedName>
    <definedName name="MO_CFS_Balance_End">Model!$544:$544</definedName>
    <definedName name="MO_CFS_Buyback">Model!$536:$536</definedName>
    <definedName name="MO_CFS_CFF">Model!$538:$538</definedName>
    <definedName name="MO_CFS_CFI">Model!$527:$527</definedName>
    <definedName name="MO_CFS_CFO">Model!$516:$516</definedName>
    <definedName name="MO_CFS_CFO_BeforeWC">Model!$500:$500</definedName>
    <definedName name="MO_CFS_FX">Model!$540:$540</definedName>
    <definedName name="MO_CFS_NetChange">Model!$541:$541</definedName>
    <definedName name="MO_CFSum_Acquisition">Model!$362:$362</definedName>
    <definedName name="MO_CFSum_Capex">Model!$359:$359</definedName>
    <definedName name="MO_CFSum_CFO_BeforeWC">Model!$356:$356</definedName>
    <definedName name="MO_CFSum_CFPS">Model!$357:$357</definedName>
    <definedName name="MO_CFSum_Divestiture">Model!$363:$363</definedName>
    <definedName name="MO_CFSum_Dividend">Model!$364:$364</definedName>
    <definedName name="MO_CFSum_DPS">Model!$365:$365</definedName>
    <definedName name="MO_CFSum_FCF_PostDivPostAD">Model!$373:$373</definedName>
    <definedName name="MO_CFSum_FCF_PostDivPostADPostDebtPostBuyback">Model!$374:$374</definedName>
    <definedName name="MO_CFSum_FCF_PostDivPreAD">Model!$372:$372</definedName>
    <definedName name="MO_CFSum_FCF_PreDiv">Model!$371:$371</definedName>
    <definedName name="MO_CFSum_NetDebtIssuance">Model!$367:$367</definedName>
    <definedName name="MO_CFSum_NetShares">Model!$368:$368</definedName>
    <definedName name="MO_CFSum_NetShares_Price">Model!$369:$369</definedName>
    <definedName name="MO_Checks_Bottom">Model!$C$630:$XFD$651</definedName>
    <definedName name="MO_Checks_BS">Model!$627:$627</definedName>
    <definedName name="MO_Checks_CF">Model!$546:$546</definedName>
    <definedName name="MO_Checks_IS">Model!$265:$265</definedName>
    <definedName name="MO_Common_Column_A">Model!$A:$A</definedName>
    <definedName name="MO_Common_Column_B">Model!$B:$B</definedName>
    <definedName name="MO_Common_ColumnHeader">Model!$5:$5</definedName>
    <definedName name="MO_Common_CompanySubtitle">Model!$2:$2</definedName>
    <definedName name="MO_Common_CompanyTitle">Model!$1:$1</definedName>
    <definedName name="MO_Common_FPDays">Model!$3:$3</definedName>
    <definedName name="MO_Common_QEndDate">Model!$4:$4</definedName>
    <definedName name="MO_GA_TotalRevenue">Model!$15:$15</definedName>
    <definedName name="MO_IS_COGS">Model!$249:$249</definedName>
    <definedName name="MO_IS_EBIT">Model!$257:$257</definedName>
    <definedName name="MO_IS_EBT">Model!$261:$261</definedName>
    <definedName name="MO_IS_FirstRow">Model!$227:$227</definedName>
    <definedName name="MO_IS_GP">Model!$250:$250</definedName>
    <definedName name="MO_IS_NI_ContinOp">Model!$263:$263</definedName>
    <definedName name="MO_IS_REV">Model!$237:$237</definedName>
    <definedName name="MO_MA_COGS">Model!$208:$208</definedName>
    <definedName name="MO_MA_COGS_Adj">Model!$209:$209</definedName>
    <definedName name="MO_MA_EBIT">Model!$222:$222</definedName>
    <definedName name="MO_MA_EBIT_Adj">Model!$223:$223</definedName>
    <definedName name="MO_MA_EBITDA">Model!$218:$218</definedName>
    <definedName name="MO_MA_EBITDA_Adj">Model!$219:$219</definedName>
    <definedName name="MO_MA_GM">Model!$210:$210</definedName>
    <definedName name="MO_MA_GM_Adj">Model!$211:$211</definedName>
    <definedName name="MO_MA_RD">Model!$214:$214</definedName>
    <definedName name="MO_MA_RD_Adj">Model!$215:$215</definedName>
    <definedName name="MO_MA_SGA">Model!$216:$216</definedName>
    <definedName name="MO_MA_SGA_Adj">Model!$217:$217</definedName>
    <definedName name="MO_RIS_Adjustments_Dilution_GAAP">Model!$337:$337</definedName>
    <definedName name="MO_RIS_Adjustments_Dilution_NONGAAP">Model!$340:$340</definedName>
    <definedName name="MO_RIS_Adjustments_NONGAAP">Model!$339:$339</definedName>
    <definedName name="MO_RIS_COGS">Model!$305:$305</definedName>
    <definedName name="MO_RIS_DA">Model!$314:$314</definedName>
    <definedName name="MO_RIS_DAintangibles">Model!$315:$315</definedName>
    <definedName name="MO_RIS_DAintangibles_operating">Model!$316:$316</definedName>
    <definedName name="MO_RIS_DisCont">Model!$333:$333</definedName>
    <definedName name="MO_RIS_Dividend_Prefs">Model!$335:$335</definedName>
    <definedName name="MO_RIS_EBIT">Model!$320:$320</definedName>
    <definedName name="MO_RIS_EBIT_Adj">Model!$321:$321</definedName>
    <definedName name="MO_RIS_EBITDA">Model!$310:$310</definedName>
    <definedName name="MO_RIS_EBITDA_Adj">Model!$311:$311</definedName>
    <definedName name="MO_RIS_EBT">Model!$328:$328</definedName>
    <definedName name="MO_RIS_EPS_WAB">Model!$346:$346</definedName>
    <definedName name="MO_RIS_EPS_WAD">Model!$347:$347</definedName>
    <definedName name="MO_RIS_EPS_WAD_Adj">Model!$348:$348</definedName>
    <definedName name="MO_RIS_GP">Model!$306:$306</definedName>
    <definedName name="MO_RIS_IE">Model!$324:$324</definedName>
    <definedName name="MO_RIS_II">Model!$325:$325</definedName>
    <definedName name="MO_RIS_NCI">Model!$334:$334</definedName>
    <definedName name="MO_RIS_NI_ContinOp">Model!$332:$332</definedName>
    <definedName name="MO_RIS_NI_GAAP_Basic">Model!$336:$336</definedName>
    <definedName name="MO_RIS_NI_GAAP_Diluted">Model!$338:$338</definedName>
    <definedName name="MO_RIS_NI_NONGAAP_Diluted">Model!$341:$341</definedName>
    <definedName name="MO_RIS_OI">Model!$326:$326</definedName>
    <definedName name="MO_RIS_OI_Operating">Model!$318:$318</definedName>
    <definedName name="MO_RIS_OTI">Model!$327:$327</definedName>
    <definedName name="MO_RIS_OTI_Operating">Model!$319:$319</definedName>
    <definedName name="MO_RIS_RD">Model!$308:$308</definedName>
    <definedName name="MO_RIS_REV">Model!$302:$302</definedName>
    <definedName name="MO_RIS_SBC">Model!$317:$317</definedName>
    <definedName name="MO_RIS_SGA">Model!$309:$309</definedName>
    <definedName name="MO_RIS_ShareCount_WAB">Model!$351:$351</definedName>
    <definedName name="MO_RIS_ShareCount_WAD">Model!$352:$352</definedName>
    <definedName name="MO_RIS_ShareCount_WAD_Adj">Model!$353:$353</definedName>
    <definedName name="MO_RIS_Tax_Current">Model!$330:$330</definedName>
    <definedName name="MO_RIS_Tax_Deferred">Model!$331:$331</definedName>
    <definedName name="MO_RIS_TaxRate_Current">Model!$343:$343</definedName>
    <definedName name="MO_RIS_TaxRate_Deferred">Model!$344:$344</definedName>
    <definedName name="MO_Section_AdjustedNumbers">Model!$267:$267</definedName>
    <definedName name="MO_Section_BalanceSheet">Model!$573:$573</definedName>
    <definedName name="MO_Section_BalanceSheetSummary">Model!$376:$376</definedName>
    <definedName name="MO_Section_CashFlowStatement">Model!$482:$482</definedName>
    <definedName name="MO_Section_CashFlowSummary">Model!$355:$355</definedName>
    <definedName name="MO_Section_Copyright">Model!$734:$734</definedName>
    <definedName name="MO_Section_CumulativeCashFlowStatement">Model!$418:$418</definedName>
    <definedName name="MO_Section_GrowthAnalysis">Model!$6:$6</definedName>
    <definedName name="MO_Section_IncomeStatement">Model!$226:$226</definedName>
    <definedName name="MO_Section_KeyMetricsAdditionalData">Model!$54:$54</definedName>
    <definedName name="MO_Section_KeyMetricsPerformanceObligations">Model!$47:$47</definedName>
    <definedName name="MO_Section_LastRow">Model!$734:$734</definedName>
    <definedName name="MO_Section_MarginAnalysis">Model!$207:$207</definedName>
    <definedName name="MO_Section_ModelChecks">Model!$629:$629</definedName>
    <definedName name="MO_Section_RevisedIncomeStatement">Model!$301:$301</definedName>
    <definedName name="MO_Section_SegmentedResultsCostofRevenueBreakdown">Model!$30:$30</definedName>
    <definedName name="MO_Section_SegmentedResultsHistoricalRevenueBreakdown20102017">Model!$116:$116</definedName>
    <definedName name="MO_Section_SegmentedResultsRevenueBreakdownFS_1">Model!$17:$17</definedName>
    <definedName name="MO_Section_SegmentedRevenueHistoricalBreakdown20102017">Model!$79:$79</definedName>
    <definedName name="MO_Section_Tables">Model!$653:$653</definedName>
    <definedName name="MO_Section_Valuation">Model!$395:$395</definedName>
    <definedName name="MO_Section_WorkingCapitalForecasting">Model!$548:$548</definedName>
    <definedName name="MO_SNA_FPStartDate">Model!$687:$687</definedName>
    <definedName name="MO_SNA_IsHistoricalPeriod">Model!$688:$688</definedName>
    <definedName name="MO_SNA_LastDataRow">Model!$625:$625</definedName>
    <definedName name="MO_SPT_FXAverage">Model!$710:$710</definedName>
    <definedName name="MO_SPT_FXAverage_Sources">Model!$711:$715</definedName>
    <definedName name="MO_SPT_StockAverage">Model!$703:$703</definedName>
    <definedName name="MO_SPT_StockAverage_Sources">Model!$704:$708</definedName>
    <definedName name="MO_SPT_StockHigh">Model!$689:$689</definedName>
    <definedName name="MO_SPT_StockHigh_Sources">Model!$690:$694</definedName>
    <definedName name="MO_SPT_StockLow">Model!$696:$696</definedName>
    <definedName name="MO_SPT_StockLow_Sources">Model!$697:$701</definedName>
    <definedName name="MO_SubSection_BS_CA">Model!$574:$574</definedName>
    <definedName name="MO_SubSection_BS_CL">Model!$598:$598</definedName>
    <definedName name="MO_SubSection_BS_NCA">Model!$585:$585</definedName>
    <definedName name="MO_SubSection_BS_NCL">Model!$608:$608</definedName>
    <definedName name="MO_SubSection_BS_SE">Model!$618:$618</definedName>
    <definedName name="MO_SubSection_CCFS_CFF">Model!$465:$465</definedName>
    <definedName name="MO_SubSection_CCFS_CFI">Model!$454:$454</definedName>
    <definedName name="MO_SubSection_CCFS_CFO">Model!$419:$419</definedName>
    <definedName name="MO_SubSection_CFS_CFF">Model!$529:$529</definedName>
    <definedName name="MO_SubSection_CFS_CFI">Model!$518:$518</definedName>
    <definedName name="MO_SubSection_CFS_CFO">Model!$483:$483</definedName>
    <definedName name="MO_VA_EV">Model!$398:$398</definedName>
    <definedName name="MO_VA_EV_ToEBITDA">Model!$402:$402</definedName>
    <definedName name="MO_VA_EV_ToSales">Model!$401:$401</definedName>
    <definedName name="MO_VA_EVCalc_NCI">Model!$414:$414</definedName>
    <definedName name="MO_VA_EVCalc_Other">Model!$416:$416</definedName>
    <definedName name="MO_VA_EVCalc_Prefs">Model!$415:$415</definedName>
    <definedName name="MO_VA_FCFYield_ToEV">Model!$405:$405</definedName>
    <definedName name="MO_VA_FCFYield_ToMktCap">Model!$404:$404</definedName>
    <definedName name="MO_VA_FX_Average">Model!$410:$410</definedName>
    <definedName name="MO_VA_MarketCap">Model!$397:$397</definedName>
    <definedName name="MO_VA_P_ToCF">Model!$403:$403</definedName>
    <definedName name="MO_VA_P_ToE">Model!$400:$400</definedName>
    <definedName name="MO_VA_StockPrice">Model!$396:$396</definedName>
    <definedName name="MO_VA_StockPrice_Avg">Model!$409:$409</definedName>
    <definedName name="MO_VA_StockPrice_High">Model!$407:$407</definedName>
    <definedName name="MO_VA_StockPrice_Low">Model!$408:$408</definedName>
    <definedName name="MO_VA_StockPrice_TradingCurrency">Model!$411:$411</definedName>
    <definedName name="_xlnm.Print_Area" localSheetId="3">Model!$A$1:$AW$625</definedName>
    <definedName name="_xlnm.Print_Area" localSheetId="5">'Summary Page'!$A$1:$AW$132</definedName>
    <definedName name="_xlnm.Print_Titles" localSheetId="3">Model!$5:$5</definedName>
    <definedName name="SP.CompanyName">'Summary Page'!$A$1</definedName>
    <definedName name="SP.ReportFX">'Summary Page'!$B$2</definedName>
    <definedName name="SP.ValuationToggle">'Summary Page'!$B$4</definedName>
    <definedName name="SP_BSR_Capital">'Summary Page'!$93:$93</definedName>
    <definedName name="SP_BSR_CashFlow">'Summary Page'!$92:$92</definedName>
    <definedName name="SP_BSR_CashFlow_LTM">'Summary Page'!$95:$95</definedName>
    <definedName name="SP_BSR_CL">'Summary Page'!$114:$114</definedName>
    <definedName name="SP_BSR_CL_Avg">'Summary Page'!$115:$115</definedName>
    <definedName name="SP_BSR_Debt_Avg">'Summary Page'!$109:$109</definedName>
    <definedName name="SP_BSR_EBITDA">'Summary Page'!$91:$91</definedName>
    <definedName name="SP_BSR_EBITDA_LTM">'Summary Page'!$94:$94</definedName>
    <definedName name="SP_BSR_SE">'Summary Page'!$100:$100</definedName>
    <definedName name="SP_BSR_SE_Avg">'Summary Page'!$101:$101</definedName>
    <definedName name="SP_BSR_TA">'Summary Page'!$105:$105</definedName>
    <definedName name="SP_BSR_TA_Avg">'Summary Page'!$106:$106</definedName>
    <definedName name="SP_CFA_Acquisition">'Summary Page'!$76:$76</definedName>
    <definedName name="SP_CFA_Capex">'Summary Page'!$72:$72</definedName>
    <definedName name="SP_CFA_CFO_BeforeWC">'Summary Page'!$71:$71</definedName>
    <definedName name="SP_CFA_CFO_PerShare">'Summary Page'!$84:$84</definedName>
    <definedName name="SP_CFA_Debt">'Summary Page'!$80:$80</definedName>
    <definedName name="SP_CFA_Div">'Summary Page'!$74:$74</definedName>
    <definedName name="SP_CFA_Div_PerShare">'Summary Page'!$86:$86</definedName>
    <definedName name="SP_CFA_Divestiture">'Summary Page'!$77:$77</definedName>
    <definedName name="SP_CFA_Equity">'Summary Page'!$79:$79</definedName>
    <definedName name="SP_CFA_FCF_PerShare">'Summary Page'!$85:$85</definedName>
    <definedName name="SP_CFA_FCF_PostDiv">'Summary Page'!$75:$75</definedName>
    <definedName name="SP_CFA_FCF_PreDiv">'Summary Page'!$73:$73</definedName>
    <definedName name="SP_CFA_NetChange">'Summary Page'!$82:$82</definedName>
    <definedName name="SP_CFA_Other">'Summary Page'!$81:$81</definedName>
    <definedName name="SP_CFA_Payout_vsEPS">'Summary Page'!$88:$88</definedName>
    <definedName name="SP_CFA_Payout_vsFCF">'Summary Page'!$87:$87</definedName>
    <definedName name="SP_CFA_WC">'Summary Page'!$78:$78</definedName>
    <definedName name="SP_Checks_SummaryPage">'Summary Page'!$C$135:$XFD$139</definedName>
    <definedName name="SP_Common_Column_A">'Summary Page'!$A:$A</definedName>
    <definedName name="SP_Common_Column_B">'Summary Page'!$B:$B</definedName>
    <definedName name="SP_Common_ColumnHeader">'Summary Page'!$2:$2</definedName>
    <definedName name="SP_Common_QEndDate">'Summary Page'!$1:$1</definedName>
    <definedName name="SP_CS_Cash">'Summary Page'!$7:$7</definedName>
    <definedName name="SP_CS_Debt">'Summary Page'!$8:$8</definedName>
    <definedName name="SP_CS_EV">'Summary Page'!$11:$11</definedName>
    <definedName name="SP_CS_EVCalc_Other">'Summary Page'!$10:$10</definedName>
    <definedName name="SP_CS_MarketCap">'Summary Page'!$6:$6</definedName>
    <definedName name="SP_CS_OL">'Summary Page'!$9:$9</definedName>
    <definedName name="SP_CS_ShareCount">'Summary Page'!$5:$5</definedName>
    <definedName name="SP_CS_StockPrice">'Summary Page'!$4:$4</definedName>
    <definedName name="SP_GF_COGS">'Summary Page'!$41:$41</definedName>
    <definedName name="SP_GF_DA">'Summary Page'!$46:$46</definedName>
    <definedName name="SP_GF_DisCont">'Summary Page'!$52:$52</definedName>
    <definedName name="SP_GF_Div_Prefs">'Summary Page'!$54:$54</definedName>
    <definedName name="SP_GF_EBITDA">'Summary Page'!$44:$44</definedName>
    <definedName name="SP_GF_EBT">'Summary Page'!$50:$50</definedName>
    <definedName name="SP_GF_EPS_GAAP">'Summary Page'!$56:$56</definedName>
    <definedName name="SP_GF_IE">'Summary Page'!$48:$48</definedName>
    <definedName name="SP_GF_IE_Net">'Summary Page'!$48:$48</definedName>
    <definedName name="SP_GF_NCI">'Summary Page'!$53:$53</definedName>
    <definedName name="SP_GF_NI">'Summary Page'!$55:$55</definedName>
    <definedName name="SP_GF_OI">'Summary Page'!$49:$49</definedName>
    <definedName name="SP_GF_RD">'Summary Page'!$43:$43</definedName>
    <definedName name="SP_GF_Rev">'Summary Page'!$40:$40</definedName>
    <definedName name="SP_GF_SBC">'Summary Page'!$45:$45</definedName>
    <definedName name="SP_GF_SGA">'Summary Page'!$42:$42</definedName>
    <definedName name="SP_GF_Tax">'Summary Page'!$51:$51</definedName>
    <definedName name="SP_MA_COGS">'Summary Page'!$64:$64</definedName>
    <definedName name="SP_MA_EBITDA">'Summary Page'!$67:$67</definedName>
    <definedName name="SP_MA_EBITDA_Adj">'Summary Page'!$68:$68</definedName>
    <definedName name="SP_MA_RD">'Summary Page'!$66:$66</definedName>
    <definedName name="SP_MA_SBC">'Summary Page'!$66:$66</definedName>
    <definedName name="SP_MA_SGA">'Summary Page'!$65:$65</definedName>
    <definedName name="SP_NGF_EBITDA">'Summary Page'!$59:$59</definedName>
    <definedName name="SP_NGF_EPS">'Summary Page'!$61:$61</definedName>
    <definedName name="SP_NGF_NI">'Summary Page'!$60:$60</definedName>
    <definedName name="SP_PR_ROA">'Summary Page'!$107:$107</definedName>
    <definedName name="SP_PR_ROCE">'Summary Page'!$117:$117</definedName>
    <definedName name="SP_PR_ROE">'Summary Page'!$102:$102</definedName>
    <definedName name="SP_PR_ROIC">'Summary Page'!$111:$111</definedName>
    <definedName name="SP_PSGM_CFO">'Summary Page'!$123:$123</definedName>
    <definedName name="SP_PSGM_EBITDA_Adj">'Summary Page'!$121:$121</definedName>
    <definedName name="SP_PSGM_FCF">'Summary Page'!$124:$124</definedName>
    <definedName name="SP_PSGM_NI_Adj">'Summary Page'!$122:$122</definedName>
    <definedName name="SP_PSGM_Revenue">'Summary Page'!$120:$120</definedName>
    <definedName name="SP_Section_BalanceSheetRatio">'Summary Page'!$90:$90</definedName>
    <definedName name="SP_Section_CapitalizationSummary">'Summary Page'!$3:$3</definedName>
    <definedName name="SP_Section_CashFlowAnalysis">'Summary Page'!$70:$70</definedName>
    <definedName name="SP_Section_Checks">'Summary Page'!$134:$134</definedName>
    <definedName name="SP_Section_CompanySpecificOperationalData">'Summary Page'!$13:$13</definedName>
    <definedName name="SP_Section_GAAPFinancials">'Summary Page'!$39:$39</definedName>
    <definedName name="SP_Section_MarginAnalysis">'Summary Page'!$63:$63</definedName>
    <definedName name="SP_Section_NonGAAPFinancials">'Summary Page'!$58:$58</definedName>
    <definedName name="SP_Section_PerShareGrowthMetrics">'Summary Page'!$119:$119</definedName>
    <definedName name="SP_Section_ProfitabilityRatio">'Summary Page'!$97:$97</definedName>
    <definedName name="SP_Section_ValuationMetrics">'Summary Page'!$126:$126</definedName>
    <definedName name="SP_VM_EV_ToEBITDA">'Summary Page'!$129:$129</definedName>
    <definedName name="SP_VM_EV_ToSales">'Summary Page'!$128:$128</definedName>
    <definedName name="SP_VM_FCFYield_ToEV">'Summary Page'!$132:$132</definedName>
    <definedName name="SP_VM_FCFYield_ToMktCap">'Summary Page'!$131:$131</definedName>
    <definedName name="SP_VM_P_ToCF">'Summary Page'!$130:$130</definedName>
    <definedName name="SP_VM_P_ToE">'Summary Page'!$127:$127</definedName>
    <definedName name="tb_ConsensusEstimate">Model!$A$674:$AW$684</definedName>
    <definedName name="tb_EntireModel">Model!$A$1:$AW$627</definedName>
    <definedName name="tb_KeyOutputs">Model!$A$666:$A$672</definedName>
    <definedName name="tb_StockPrice">Model!$A$686:$AW$716</definedName>
    <definedName name="tb_Tickers">Model!$A$655:$A$659</definedName>
    <definedName name="tb_UpdateLog">'Update Log'!$C$10:$H$25</definedName>
    <definedName name="tb_ValuationToggle">Model!$A$661:$B$664</definedName>
    <definedName name="UL.CSIN">'Update Log'!$H$7</definedName>
    <definedName name="UL.ModelVersion">'Update Log'!$H$8</definedName>
    <definedName name="UL.MRQ">'Update Log'!$F$7</definedName>
    <definedName name="UL.MRQColNum">'Update Log'!$E$7</definedName>
    <definedName name="z_T2HXNG0168_MO_AN_Acquisitionanddispositioncosts">Model!$269:$269</definedName>
    <definedName name="z_T2HXNG0168_MO_AN_AmortizationExpenserelatedtoCapitalisedSoftwareCostsinclCOGS">Model!$299:$299</definedName>
    <definedName name="z_T2HXNG0168_MO_AN_AmortizationExpenserelatedtoIntangibleAssets">Model!$297:$297</definedName>
    <definedName name="z_T2HXNG0168_MO_AN_AmortizationExpenserelatedtoSoftwareTechnologyinclinCOGS">Model!$296:$296</definedName>
    <definedName name="z_T2HXNG0168_MO_AN_AmortizationExpensesrelatedtoCustomersRelationshipsandTrademarkinclinOPEX">Model!$295:$295</definedName>
    <definedName name="z_T2HXNG0168_MO_AN_amortizationofacquiredintangibleassets">Model!$270:$270</definedName>
    <definedName name="z_T2HXNG0168_MO_AN_Amortizationofdeferreddebtissuancecosts">Model!$271:$271</definedName>
    <definedName name="z_T2HXNG0168_MO_AN_CapitalExpenditures">Model!$287:$287</definedName>
    <definedName name="z_T2HXNG0168_MO_AN_CashFlowfromOperations">Model!$286:$286</definedName>
    <definedName name="z_T2HXNG0168_MO_AN_EffectiveTaxRateonNonGAAPEBT">Model!$284:$284</definedName>
    <definedName name="z_T2HXNG0168_MO_AN_FreeCashFlow">Model!$288:$288</definedName>
    <definedName name="z_T2HXNG0168_MO_AN_impairmentofassetsandrelatedwinddowncosts">Model!$272:$272</definedName>
    <definedName name="z_T2HXNG0168_MO_AN_Impairmentofotherassets">Model!$277:$277</definedName>
    <definedName name="z_T2HXNG0168_MO_AN_incomebeforeprovisionforincometaxesgaap">Model!$268:$268</definedName>
    <definedName name="z_T2HXNG0168_MO_AN_incomebeforeprovisionforincometaxesnongaap">Model!$280:$280</definedName>
    <definedName name="z_T2HXNG0168_MO_AN_lossondispositionofhospitalsolutionsdivisionandrelatedcosts">Model!$278:$278</definedName>
    <definedName name="z_T2HXNG0168_MO_AN_netincomenongaap">Model!$282:$282</definedName>
    <definedName name="z_T2HXNG0168_MO_AN_Othernonrunrateexpenses">Model!$276:$276</definedName>
    <definedName name="z_T2HXNG0168_MO_AN_provisionforincometaxes">Model!$281:$281</definedName>
    <definedName name="z_T2HXNG0168_MO_AN_proxycontestexpense">Model!$279:$279</definedName>
    <definedName name="z_T2HXNG0168_MO_AN_restructuringcosts">Model!$273:$273</definedName>
    <definedName name="z_T2HXNG0168_MO_AN_SBCattributabletoCOGS">Model!$290:$290</definedName>
    <definedName name="z_T2HXNG0168_MO_AN_SBCattributabletoRD">Model!$291:$291</definedName>
    <definedName name="z_T2HXNG0168_MO_AN_SBCattributabletoSGA">Model!$292:$292</definedName>
    <definedName name="z_T2HXNG0168_MO_AN_securitieslitigationdefensecosts">Model!$274:$274</definedName>
    <definedName name="z_T2HXNG0168_MO_AN_sharebasedcompensation">Model!$275:$275</definedName>
    <definedName name="z_T2HXNG0168_MO_AN_TotalSBC">Model!$293:$293</definedName>
    <definedName name="z_T2HXNG0168_MO_BlankRow_AN">Model!$294:$294</definedName>
    <definedName name="z_T2HXNG0168_MO_BlankRow_AN_2">Model!$283:$283</definedName>
    <definedName name="z_T2HXNG0168_MO_BlankRow_AN_3">Model!$289:$289</definedName>
    <definedName name="z_T2HXNG0168_MO_BlankRow_AN_4">Model!$300:$300</definedName>
    <definedName name="z_T2HXNG0168_MO_BlankRow_AN_5">Model!$285:$285</definedName>
    <definedName name="z_T2HXNG0168_MO_BlankRow_AN_6">Model!$298:$298</definedName>
    <definedName name="z_T2HXNG0168_MO_BlankRow_BS_1">Model!$584:$584</definedName>
    <definedName name="z_T2HXNG0168_MO_BlankRow_BS_2">Model!$597:$597</definedName>
    <definedName name="z_T2HXNG0168_MO_BlankRow_BS_3">Model!$607:$607</definedName>
    <definedName name="z_T2HXNG0168_MO_BlankRow_BS_4">Model!$617:$617</definedName>
    <definedName name="z_T2HXNG0168_MO_BlankRow_BS_5">Model!$626:$626</definedName>
    <definedName name="z_T2HXNG0168_MO_BlankRow_BS_6">Model!$628:$628</definedName>
    <definedName name="z_T2HXNG0168_MO_BlankRow_BSS">Model!$394:$394</definedName>
    <definedName name="z_T2HXNG0168_MO_BlankRow_BSS_1">Model!$383:$383</definedName>
    <definedName name="z_T2HXNG0168_MO_BlankRow_BSS_2">Model!$390:$390</definedName>
    <definedName name="z_T2HXNG0168_MO_BlankRow_CCFS">Model!$453:$453</definedName>
    <definedName name="z_T2HXNG0168_MO_BlankRow_CCFS_1">Model!$464:$464</definedName>
    <definedName name="z_T2HXNG0168_MO_BlankRow_CCFS_2">Model!$475:$475</definedName>
    <definedName name="z_T2HXNG0168_MO_BlankRow_CCFS_3">Model!$478:$478</definedName>
    <definedName name="z_T2HXNG0168_MO_BlankRow_CCFS_4">Model!$481:$481</definedName>
    <definedName name="z_T2HXNG0168_MO_BlankRow_CFS_2">Model!$517:$517</definedName>
    <definedName name="z_T2HXNG0168_MO_BlankRow_CFS_3">Model!$528:$528</definedName>
    <definedName name="z_T2HXNG0168_MO_BlankRow_CFS_4">Model!$539:$539</definedName>
    <definedName name="z_T2HXNG0168_MO_BlankRow_CFS_5">Model!$542:$542</definedName>
    <definedName name="z_T2HXNG0168_MO_BlankRow_CFS_6">Model!$545:$545</definedName>
    <definedName name="z_T2HXNG0168_MO_BlankRow_CFS_7">Model!$547:$547</definedName>
    <definedName name="z_T2HXNG0168_MO_BlankRow_CFSum">Model!$370:$370</definedName>
    <definedName name="z_T2HXNG0168_MO_BlankRow_CFSum_1">Model!$375:$375</definedName>
    <definedName name="z_T2HXNG0168_MO_BlankRow_CFSum_2">Model!$366:$366</definedName>
    <definedName name="z_T2HXNG0168_MO_BlankRow_GA">Model!$16:$16</definedName>
    <definedName name="z_T2HXNG0168_MO_BlankRow_IS">Model!$264:$264</definedName>
    <definedName name="z_T2HXNG0168_MO_BlankRow_IS_1">Model!$266:$266</definedName>
    <definedName name="z_T2HXNG0168_MO_BlankRow_MA">Model!$213:$213</definedName>
    <definedName name="z_T2HXNG0168_MO_BlankRow_MA_1">Model!$221:$221</definedName>
    <definedName name="z_T2HXNG0168_MO_BlankRow_MA_2">Model!$399:$399</definedName>
    <definedName name="z_T2HXNG0168_MO_BlankRow_MA_3">Model!$412:$412</definedName>
    <definedName name="z_T2HXNG0168_MO_BlankRow_MA_4">Model!$417:$417</definedName>
    <definedName name="z_T2HXNG0168_MO_BlankRow_MA_5">Model!$406:$406</definedName>
    <definedName name="z_T2HXNG0168_MO_BlankRow_MA_6">Model!$225:$225</definedName>
    <definedName name="z_T2HXNG0168_MO_BlankRow_OS">Model!$27:$27</definedName>
    <definedName name="z_T2HXNG0168_MO_BlankRow_OS_14">"Deleted"</definedName>
    <definedName name="z_T2HXNG0168_MO_BlankRow_OS_27">Model!$29:$29</definedName>
    <definedName name="z_T2HXNG0168_MO_BlankRow_OS_28">Model!$35:$35</definedName>
    <definedName name="z_T2HXNG0168_MO_BlankRow_OS_29">Model!$38:$38</definedName>
    <definedName name="z_T2HXNG0168_MO_BlankRow_OS_30">Model!$43:$43</definedName>
    <definedName name="z_T2HXNG0168_MO_BlankRow_OS_31">Model!$46:$46</definedName>
    <definedName name="z_T2HXNG0168_MO_BlankRow_OS_32">Model!$49:$49</definedName>
    <definedName name="z_T2HXNG0168_MO_BlankRow_OS_33">Model!$53:$53</definedName>
    <definedName name="z_T2HXNG0168_MO_BlankRow_OS_34">Model!$56:$56</definedName>
    <definedName name="z_T2HXNG0168_MO_BlankRow_OS_35">Model!$61:$61</definedName>
    <definedName name="z_T2HXNG0168_MO_BlankRow_OS_36">Model!$66:$66</definedName>
    <definedName name="z_T2HXNG0168_MO_BlankRow_OS_37">Model!$71:$71</definedName>
    <definedName name="z_T2HXNG0168_MO_BlankRow_OS_38">Model!$76:$76</definedName>
    <definedName name="z_T2HXNG0168_MO_BlankRow_OS_39">Model!$78:$78</definedName>
    <definedName name="z_T2HXNG0168_MO_BlankRow_OS_40">Model!$88:$88</definedName>
    <definedName name="z_T2HXNG0168_MO_BlankRow_OS_41">Model!$97:$97</definedName>
    <definedName name="z_T2HXNG0168_MO_BlankRow_OS_42">Model!$106:$106</definedName>
    <definedName name="z_T2HXNG0168_MO_BlankRow_OS_43">Model!$115:$115</definedName>
    <definedName name="z_T2HXNG0168_MO_BlankRow_OS_44">Model!$137:$137</definedName>
    <definedName name="z_T2HXNG0168_MO_BlankRow_OS_45">Model!$163:$163</definedName>
    <definedName name="z_T2HXNG0168_MO_BlankRow_OS_46">Model!$169:$169</definedName>
    <definedName name="z_T2HXNG0168_MO_BlankRow_OS_47">Model!$174:$174</definedName>
    <definedName name="z_T2HXNG0168_MO_BlankRow_OS_48">Model!$181:$181</definedName>
    <definedName name="z_T2HXNG0168_MO_BlankRow_OS_49">Model!$188:$188</definedName>
    <definedName name="z_T2HXNG0168_MO_BlankRow_OS_50">Model!$193:$193</definedName>
    <definedName name="z_T2HXNG0168_MO_BlankRow_OS_51">Model!$201:$201</definedName>
    <definedName name="z_T2HXNG0168_MO_BlankRow_OS_52">Model!$206:$206</definedName>
    <definedName name="z_T2HXNG0168_MO_BlankRow_OS_53">Model!$554:$554</definedName>
    <definedName name="z_T2HXNG0168_MO_BlankRow_OS_54">Model!$557:$557</definedName>
    <definedName name="z_T2HXNG0168_MO_BlankRow_OS_55">Model!$560:$560</definedName>
    <definedName name="z_T2HXNG0168_MO_BlankRow_OS_56">Model!$563:$563</definedName>
    <definedName name="z_T2HXNG0168_MO_BlankRow_OS_57">Model!$568:$568</definedName>
    <definedName name="z_T2HXNG0168_MO_BlankRow_OS_58">Model!$572:$572</definedName>
    <definedName name="z_T2HXNG0168_MO_BlankRow_OS_7">Model!$80:$80</definedName>
    <definedName name="z_T2HXNG0168_MO_BlankRow_RIS">Model!$304:$304</definedName>
    <definedName name="z_T2HXNG0168_MO_BlankRow_RIS_1">Model!$307:$307</definedName>
    <definedName name="z_T2HXNG0168_MO_BlankRow_RIS_10">Model!$354:$354</definedName>
    <definedName name="z_T2HXNG0168_MO_BlankRow_RIS_2">Model!$313:$313</definedName>
    <definedName name="z_T2HXNG0168_MO_BlankRow_RIS_3">Model!$323:$323</definedName>
    <definedName name="z_T2HXNG0168_MO_BlankRow_RIS_4">Model!$329:$329</definedName>
    <definedName name="z_T2HXNG0168_MO_BlankRow_RIS_5">Model!$342:$342</definedName>
    <definedName name="z_T2HXNG0168_MO_BlankRow_RIS_6">Model!$345:$345</definedName>
    <definedName name="z_T2HXNG0168_MO_BlankRow_RIS_9">Model!$350:$350</definedName>
    <definedName name="z_T2HXNG0168_MO_BS_Accountspayable">Model!$599:$599</definedName>
    <definedName name="z_T2HXNG0168_MO_BS_Accountsreceivable">Model!$578:$578</definedName>
    <definedName name="z_T2HXNG0168_MO_BS_accruedcompensationandrelatedbenefits">Model!$601:$601</definedName>
    <definedName name="z_T2HXNG0168_MO_BS_Accumulatedothercomprehensiveloss">Model!$621:$621</definedName>
    <definedName name="z_T2HXNG0168_MO_BS_additionalpaidincapital">Model!$620:$620</definedName>
    <definedName name="z_T2HXNG0168_MO_BS_BSCheck">Model!$627:$627</definedName>
    <definedName name="z_T2HXNG0168_MO_BS_capitalizedsoftwarecosts">Model!$589:$589</definedName>
    <definedName name="z_T2HXNG0168_MO_BS_cashandcashequivalents">Model!$575:$575</definedName>
    <definedName name="z_T2HXNG0168_MO_BS_commonstock">Model!$619:$619</definedName>
    <definedName name="z_T2HXNG0168_MO_BS_Contractassets">Model!$581:$581</definedName>
    <definedName name="z_T2HXNG0168_MO_BS_Contractassets_1">Model!$593:$593</definedName>
    <definedName name="z_T2HXNG0168_MO_BS_CurrentAssets">Model!$574:$574</definedName>
    <definedName name="z_T2HXNG0168_MO_BS_CurrentLiabilities">Model!$598:$598</definedName>
    <definedName name="z_T2HXNG0168_MO_BS_deferredcompensation">Model!$611:$611</definedName>
    <definedName name="z_T2HXNG0168_MO_BS_deferredincometaxes">Model!$588:$588</definedName>
    <definedName name="z_T2HXNG0168_MO_BS_deferredincometaxes_1">Model!$610:$610</definedName>
    <definedName name="z_T2HXNG0168_MO_BS_deferredrevenue">Model!$600:$600</definedName>
    <definedName name="z_T2HXNG0168_MO_BS_deferredrevenue_1">Model!$609:$609</definedName>
    <definedName name="z_T2HXNG0168_MO_BS_Dividendspayable">Model!$603:$603</definedName>
    <definedName name="z_T2HXNG0168_MO_BS_Equipmentandimprovements">Model!$586:$586</definedName>
    <definedName name="z_T2HXNG0168_MO_BS_Goodwill">Model!$592:$592</definedName>
    <definedName name="z_T2HXNG0168_MO_BS_incometaxespayable">Model!$602:$602</definedName>
    <definedName name="z_T2HXNG0168_MO_BS_incometaxesreceivable">Model!$580:$580</definedName>
    <definedName name="z_T2HXNG0168_MO_BS_Intangibles">Model!$591:$591</definedName>
    <definedName name="z_T2HXNG0168_MO_BS_Inventories">Model!$579:$579</definedName>
    <definedName name="z_T2HXNG0168_MO_BS_lineofcredit">Model!$612:$612</definedName>
    <definedName name="z_T2HXNG0168_MO_BS_marketablesecurities">Model!$577:$577</definedName>
    <definedName name="z_T2HXNG0168_MO_BS_NCI">Model!$624:$624</definedName>
    <definedName name="z_T2HXNG0168_MO_BS_NetIncomeonReportedISNIonRevised">Model!$631:$631</definedName>
    <definedName name="z_T2HXNG0168_MO_BS_NetIncomeonRevisedISNIonCFstatement">Model!$630:$630</definedName>
    <definedName name="z_T2HXNG0168_MO_BS_NonCurrentAssets">Model!$585:$585</definedName>
    <definedName name="z_T2HXNG0168_MO_BS_NonCurrentLiabilities">Model!$608:$608</definedName>
    <definedName name="z_T2HXNG0168_MO_BS_Operatingleaseassets">Model!$587:$587</definedName>
    <definedName name="z_T2HXNG0168_MO_BS_Operatingleaseliabilities">Model!$604:$604</definedName>
    <definedName name="z_T2HXNG0168_MO_BS_Operatingleaseliabilities_1">Model!$613:$613</definedName>
    <definedName name="z_T2HXNG0168_MO_BS_Otherassets">Model!$594:$594</definedName>
    <definedName name="z_T2HXNG0168_MO_BS_Othercurrentliabilities">Model!$605:$605</definedName>
    <definedName name="z_T2HXNG0168_MO_BS_Otherintangibles">Model!$590:$590</definedName>
    <definedName name="z_T2HXNG0168_MO_BS_Othernoncurrentliabilities">Model!$614:$614</definedName>
    <definedName name="z_T2HXNG0168_MO_BS_Prepaidexpensesandothercurrentassets">Model!$582:$582</definedName>
    <definedName name="z_T2HXNG0168_MO_BS_restrictedcashandcashequivalents">Model!$576:$576</definedName>
    <definedName name="z_T2HXNG0168_MO_BS_retainedearnings">Model!$622:$622</definedName>
    <definedName name="z_T2HXNG0168_MO_BS_ShareholdersEquity">Model!$618:$618</definedName>
    <definedName name="z_T2HXNG0168_MO_BS_TotalAssets">Model!$596:$596</definedName>
    <definedName name="z_T2HXNG0168_MO_BS_TotalCurrentAssets">Model!$583:$583</definedName>
    <definedName name="z_T2HXNG0168_MO_BS_TotalCurrentLiabilities">Model!$606:$606</definedName>
    <definedName name="z_T2HXNG0168_MO_BS_TotalLiabilities">Model!$616:$616</definedName>
    <definedName name="z_T2HXNG0168_MO_BS_TotalLiabilitiesSE">Model!$625:$625</definedName>
    <definedName name="z_T2HXNG0168_MO_BS_TotalNonCurrentAssets">Model!$595:$595</definedName>
    <definedName name="z_T2HXNG0168_MO_BS_TotalNonCurrentliabilities">Model!$615:$615</definedName>
    <definedName name="z_T2HXNG0168_MO_BS_TotalSE">Model!$623:$623</definedName>
    <definedName name="z_T2HXNG0168_MO_BSS_Cash">Model!$377:$377</definedName>
    <definedName name="z_T2HXNG0168_MO_BSS_Debt">Model!$380:$380</definedName>
    <definedName name="z_T2HXNG0168_MO_BSS_DebtCashFlow">Model!$393:$393</definedName>
    <definedName name="z_T2HXNG0168_MO_BSS_DebtEBITDA">Model!$392:$392</definedName>
    <definedName name="z_T2HXNG0168_MO_BSS_EBITDANetInterestExpense">Model!$391:$391</definedName>
    <definedName name="z_T2HXNG0168_MO_BSS_EffectiveInterestRateonCash">Model!$387:$387</definedName>
    <definedName name="z_T2HXNG0168_MO_BSS_EffectiveInterestRateonDebt">Model!$385:$385</definedName>
    <definedName name="z_T2HXNG0168_MO_BSS_EffectiveNetInterestRateonDebt">Model!$389:$389</definedName>
    <definedName name="z_T2HXNG0168_MO_BSS_InterestExpense">Model!$384:$384</definedName>
    <definedName name="z_T2HXNG0168_MO_BSS_InterestIncome">Model!$386:$386</definedName>
    <definedName name="z_T2HXNG0168_MO_BSS_LTDebt">Model!$379:$379</definedName>
    <definedName name="z_T2HXNG0168_MO_BSS_NetDebt">Model!$382:$382</definedName>
    <definedName name="z_T2HXNG0168_MO_BSS_NetInterestExpenseIncome">Model!$388:$388</definedName>
    <definedName name="z_T2HXNG0168_MO_BSS_OperatingLeaseLiabilities">Model!$381:$381</definedName>
    <definedName name="z_T2HXNG0168_MO_BSS_STDebt">Model!$378:$378</definedName>
    <definedName name="z_T2HXNG0168_MO_CCFS_accountspayable">Model!$442:$442</definedName>
    <definedName name="z_T2HXNG0168_MO_CCFS_accountsreceivable">Model!$437:$437</definedName>
    <definedName name="z_T2HXNG0168_MO_CCFS_accruedcompensationandrelatedbenefits">Model!$444:$444</definedName>
    <definedName name="z_T2HXNG0168_MO_CCFS_additionstocapitalizedsoftwarecosts">Model!$455:$455</definedName>
    <definedName name="z_T2HXNG0168_MO_CCFS_additionstoequipmentandimprovements">Model!$457:$457</definedName>
    <definedName name="z_T2HXNG0168_MO_CCFS_amortizationofcapitalizedsoftwarecosts">Model!$422:$422</definedName>
    <definedName name="z_T2HXNG0168_MO_CCFS_Amortizationofdebtissuancecosts">Model!$424:$424</definedName>
    <definedName name="z_T2HXNG0168_MO_CCFS_Amortizationofotherintangibles">Model!$423:$423</definedName>
    <definedName name="z_T2HXNG0168_MO_CCFS_BeginningCashBalance">Model!$479:$479</definedName>
    <definedName name="z_T2HXNG0168_MO_CCFS_Cancellationofsharesrelatedtotaxwithholdingsforvestingofequityawards">Model!$473:$473</definedName>
    <definedName name="z_T2HXNG0168_MO_CCFS_CFF">Model!$465:$465</definedName>
    <definedName name="z_T2HXNG0168_MO_CCFS_CFI">Model!$454:$454</definedName>
    <definedName name="z_T2HXNG0168_MO_CCFS_CFO">Model!$419:$419</definedName>
    <definedName name="z_T2HXNG0168_MO_CCFS_CFObeforeWC">Model!$436:$436</definedName>
    <definedName name="z_T2HXNG0168_MO_CCFS_changeinfairvalueofcontingentconsideration">Model!$432:$432</definedName>
    <definedName name="z_T2HXNG0168_MO_CCFS_Contractassets">Model!$448:$448</definedName>
    <definedName name="z_T2HXNG0168_MO_CCFS_Contractliabilities">Model!$449:$449</definedName>
    <definedName name="z_T2HXNG0168_MO_CCFS_deferredcompensation">Model!$447:$447</definedName>
    <definedName name="z_T2HXNG0168_MO_CCFS_deferredincometaxes">Model!$430:$430</definedName>
    <definedName name="z_T2HXNG0168_MO_CCFS_deferredrevenue">Model!$443:$443</definedName>
    <definedName name="z_T2HXNG0168_MO_CCFS_depreciation">Model!$421:$421</definedName>
    <definedName name="z_T2HXNG0168_MO_CCFS_Dividendspaid">Model!$469:$469</definedName>
    <definedName name="z_T2HXNG0168_MO_CCFS_EndingCashBalance">Model!$480:$480</definedName>
    <definedName name="z_T2HXNG0168_MO_CCFS_excesstaxbenefitfromsharebasedcompensation">Model!$431:$431</definedName>
    <definedName name="z_T2HXNG0168_MO_CCFS_FX">Model!$476:$476</definedName>
    <definedName name="z_T2HXNG0168_MO_CCFS_healthfusionworkingcapitaladjustmentpayment">Model!$462:$462</definedName>
    <definedName name="z_T2HXNG0168_MO_CCFS_impairmentofassets">Model!$434:$434</definedName>
    <definedName name="z_T2HXNG0168_MO_CCFS_incometaxes">Model!$445:$445</definedName>
    <definedName name="z_T2HXNG0168_MO_CCFS_incometaxesreceivable">Model!$439:$439</definedName>
    <definedName name="z_T2HXNG0168_MO_CCFS_inventories">Model!$438:$438</definedName>
    <definedName name="z_T2HXNG0168_MO_CCFS_lossondisposalofequipmentandimprovements">Model!$425:$425</definedName>
    <definedName name="z_T2HXNG0168_MO_CCFS_lossondispositionofhospitalsolutionsdivision">Model!$433:$433</definedName>
    <definedName name="z_T2HXNG0168_MO_CCFS_NetCFF">Model!$474:$474</definedName>
    <definedName name="z_T2HXNG0168_MO_CCFS_NetCFI">Model!$463:$463</definedName>
    <definedName name="z_T2HXNG0168_MO_CCFS_NetCFO">Model!$452:$452</definedName>
    <definedName name="z_T2HXNG0168_MO_CCFS_NetChangeinCashBalance">Model!$477:$477</definedName>
    <definedName name="z_T2HXNG0168_MO_CCFS_netincomeloss">Model!$420:$420</definedName>
    <definedName name="z_T2HXNG0168_MO_CCFS_Noncashoperatingleasecosts">Model!$426:$426</definedName>
    <definedName name="z_T2HXNG0168_MO_CCFS_Operatingleaseliabilities">Model!$450:$450</definedName>
    <definedName name="z_T2HXNG0168_MO_CCFS_Otherassets">Model!$441:$441</definedName>
    <definedName name="z_T2HXNG0168_MO_CCFS_Otherassetsandliabilities">Model!$451:$451</definedName>
    <definedName name="z_T2HXNG0168_MO_CCFS_Othercurrentassets">Model!$440:$440</definedName>
    <definedName name="z_T2HXNG0168_MO_CCFS_Othercurrentliabilities">Model!$446:$446</definedName>
    <definedName name="z_T2HXNG0168_MO_CCFS_Paymentofcontingentconsiderationrelatedtoacquisitions">Model!$471:$471</definedName>
    <definedName name="z_T2HXNG0168_MO_CCFS_Paymentofdebtissuancecosts">Model!$470:$470</definedName>
    <definedName name="z_T2HXNG0168_MO_CCFS_Paymentsforacquisitions">Model!$461:$461</definedName>
    <definedName name="z_T2HXNG0168_MO_CCFS_principalrepaymentsonlineofcredit">Model!$467:$467</definedName>
    <definedName name="z_T2HXNG0168_MO_CCFS_proceedsfordisposalofequipmentandimprovements">Model!$459:$459</definedName>
    <definedName name="z_T2HXNG0168_MO_CCFS_Proceedsfromcorporateownedlifeinsurancepolicies">Model!$458:$458</definedName>
    <definedName name="z_T2HXNG0168_MO_CCFS_proceedsfromissuanceofsharesunderemployeeplans">Model!$468:$468</definedName>
    <definedName name="z_T2HXNG0168_MO_CCFS_proceedsfromlineofcredit">Model!$466:$466</definedName>
    <definedName name="z_T2HXNG0168_MO_CCFS_proceedsfromsalesandmaturitiesofmarketablesecurities">Model!$456:$456</definedName>
    <definedName name="z_T2HXNG0168_MO_CCFS_Provisionforbaddebts">Model!$427:$427</definedName>
    <definedName name="z_T2HXNG0168_MO_CCFS_provisionforinventoryobsolescence">Model!$428:$428</definedName>
    <definedName name="z_T2HXNG0168_MO_CCFS_purchasesofmarketablesecurities">Model!$460:$460</definedName>
    <definedName name="z_T2HXNG0168_MO_CCFS_Repurchaseofcommonstocks">Model!$472:$472</definedName>
    <definedName name="z_T2HXNG0168_MO_CCFS_restructuringcosts">Model!$435:$435</definedName>
    <definedName name="z_T2HXNG0168_MO_CCFS_sharebasedcompensation">Model!$429:$429</definedName>
    <definedName name="z_T2HXNG0168_MO_CFS_accountspayable">Model!$506:$506</definedName>
    <definedName name="z_T2HXNG0168_MO_CFS_accountsreceivable">Model!$501:$501</definedName>
    <definedName name="z_T2HXNG0168_MO_CFS_accruedcompensationandrelatedbenefits">Model!$508:$508</definedName>
    <definedName name="z_T2HXNG0168_MO_CFS_additionstocapitalizedsoftwarecosts">Model!$519:$519</definedName>
    <definedName name="z_T2HXNG0168_MO_CFS_additionstoequipmentandimprovements">Model!$521:$521</definedName>
    <definedName name="z_T2HXNG0168_MO_CFS_amortizationofcapitalizedsoftwarecosts">Model!$486:$486</definedName>
    <definedName name="z_T2HXNG0168_MO_CFS_Amortizationofdebtissuancecosts">Model!$488:$488</definedName>
    <definedName name="z_T2HXNG0168_MO_CFS_Amortizationofotherintangibles">Model!$487:$487</definedName>
    <definedName name="z_T2HXNG0168_MO_CFS_BeginningCashBalance">Model!$543:$543</definedName>
    <definedName name="z_T2HXNG0168_MO_CFS_Cancellationofsharesrelatedtotaxwithholdingsforvestingofequityawards">Model!$537:$537</definedName>
    <definedName name="z_T2HXNG0168_MO_CFS_CFCheck">Model!$546:$546</definedName>
    <definedName name="z_T2HXNG0168_MO_CFS_CFF">Model!$529:$529</definedName>
    <definedName name="z_T2HXNG0168_MO_CFS_CFI">Model!$518:$518</definedName>
    <definedName name="z_T2HXNG0168_MO_CFS_CFO">Model!$483:$483</definedName>
    <definedName name="z_T2HXNG0168_MO_CFS_CFObeforeWC">Model!$500:$500</definedName>
    <definedName name="z_T2HXNG0168_MO_CFS_changeinfairvalueofcontingentconsideration">Model!$496:$496</definedName>
    <definedName name="z_T2HXNG0168_MO_CFS_Contractassets">Model!$512:$512</definedName>
    <definedName name="z_T2HXNG0168_MO_CFS_Contractliabilities">Model!$513:$513</definedName>
    <definedName name="z_T2HXNG0168_MO_CFS_deferredcompensation">Model!$511:$511</definedName>
    <definedName name="z_T2HXNG0168_MO_CFS_deferredincometaxes">Model!$494:$494</definedName>
    <definedName name="z_T2HXNG0168_MO_CFS_deferredrevenue">Model!$507:$507</definedName>
    <definedName name="z_T2HXNG0168_MO_CFS_depreciation">Model!$485:$485</definedName>
    <definedName name="z_T2HXNG0168_MO_CFS_Dividendspaid">Model!$533:$533</definedName>
    <definedName name="z_T2HXNG0168_MO_CFS_EndingCashBalance">Model!$544:$544</definedName>
    <definedName name="z_T2HXNG0168_MO_CFS_excesstaxbenefitfromsharebasedcompensation">Model!$495:$495</definedName>
    <definedName name="z_T2HXNG0168_MO_CFS_FX">Model!$540:$540</definedName>
    <definedName name="z_T2HXNG0168_MO_CFS_healthfusionworkingcapitaladjustmentpayment">Model!$526:$526</definedName>
    <definedName name="z_T2HXNG0168_MO_CFS_impairmentofassets">Model!$498:$498</definedName>
    <definedName name="z_T2HXNG0168_MO_CFS_incometaxes">Model!$509:$509</definedName>
    <definedName name="z_T2HXNG0168_MO_CFS_incometaxesreceivable">Model!$503:$503</definedName>
    <definedName name="z_T2HXNG0168_MO_CFS_inventories">Model!$502:$502</definedName>
    <definedName name="z_T2HXNG0168_MO_CFS_lossondisposalofequipmentandimprovements">Model!$489:$489</definedName>
    <definedName name="z_T2HXNG0168_MO_CFS_lossondispositionofhospitalsolutionsdivision">Model!$497:$497</definedName>
    <definedName name="z_T2HXNG0168_MO_CFS_NetCFF">Model!$538:$538</definedName>
    <definedName name="z_T2HXNG0168_MO_CFS_NetCFI">Model!$527:$527</definedName>
    <definedName name="z_T2HXNG0168_MO_CFS_NetCFO">Model!$516:$516</definedName>
    <definedName name="z_T2HXNG0168_MO_CFS_NetChangeinCashBalance">Model!$541:$541</definedName>
    <definedName name="z_T2HXNG0168_MO_CFS_netincomeloss">Model!$484:$484</definedName>
    <definedName name="z_T2HXNG0168_MO_CFS_Noncashoperatingleasecosts">Model!$490:$490</definedName>
    <definedName name="z_T2HXNG0168_MO_CFS_Operatingleaseliabilities">Model!$514:$514</definedName>
    <definedName name="z_T2HXNG0168_MO_CFS_Otherassets">Model!$505:$505</definedName>
    <definedName name="z_T2HXNG0168_MO_CFS_Otherassetsandliabilities">Model!$515:$515</definedName>
    <definedName name="z_T2HXNG0168_MO_CFS_Othercurrentassets">Model!$504:$504</definedName>
    <definedName name="z_T2HXNG0168_MO_CFS_Othercurrentliabilities">Model!$510:$510</definedName>
    <definedName name="z_T2HXNG0168_MO_CFS_Paymentofcontingentconsiderationrelatedtoacquisitions">Model!$535:$535</definedName>
    <definedName name="z_T2HXNG0168_MO_CFS_Paymentofdebtissuancecosts">Model!$534:$534</definedName>
    <definedName name="z_T2HXNG0168_MO_CFS_Paymentsforacquisitions">Model!$525:$525</definedName>
    <definedName name="z_T2HXNG0168_MO_CFS_principalrepaymentsonlineofcredit">Model!$531:$531</definedName>
    <definedName name="z_T2HXNG0168_MO_CFS_proceedsfordisposalofequipmentandimprovements">Model!$523:$523</definedName>
    <definedName name="z_T2HXNG0168_MO_CFS_Proceedsfromcorporateownedlifeinsurancepolicies">Model!$522:$522</definedName>
    <definedName name="z_T2HXNG0168_MO_CFS_proceedsfromissuanceofsharesunderemployeeplans">Model!$532:$532</definedName>
    <definedName name="z_T2HXNG0168_MO_CFS_proceedsfromlineofcredit">Model!$530:$530</definedName>
    <definedName name="z_T2HXNG0168_MO_CFS_proceedsfromsalesandmaturitiesofmarketablesecurities">Model!$520:$520</definedName>
    <definedName name="z_T2HXNG0168_MO_CFS_Provisionforbaddebts">Model!$491:$491</definedName>
    <definedName name="z_T2HXNG0168_MO_CFS_provisionforinventoryobsolescence">Model!$492:$492</definedName>
    <definedName name="z_T2HXNG0168_MO_CFS_purchasesofmarketablesecurities">Model!$524:$524</definedName>
    <definedName name="z_T2HXNG0168_MO_CFS_Repurchaseofcommonstocks">Model!$536:$536</definedName>
    <definedName name="z_T2HXNG0168_MO_CFS_restructuringcosts">Model!$499:$499</definedName>
    <definedName name="z_T2HXNG0168_MO_CFS_sharebasedcompensation">Model!$493:$493</definedName>
    <definedName name="z_T2HXNG0168_MO_CFSum__12">Model!$361:$361</definedName>
    <definedName name="z_T2HXNG0168_MO_CFSum_Acquisitions">Model!$362:$362</definedName>
    <definedName name="z_T2HXNG0168_MO_CFSum_Capex">Model!$359:$359</definedName>
    <definedName name="z_T2HXNG0168_MO_CFSum_CashFlowPerDilutedShare">Model!$357:$357</definedName>
    <definedName name="z_T2HXNG0168_MO_CFSum_ConsensusEstimatesCapex">Model!$360:$360</definedName>
    <definedName name="z_T2HXNG0168_MO_CFSum_consensusestimatescashflowperdilutedshare">Model!$358:$358</definedName>
    <definedName name="z_T2HXNG0168_MO_CFSum_Divestiture">Model!$363:$363</definedName>
    <definedName name="z_T2HXNG0168_MO_CFSum_DividendPaid">Model!$364:$364</definedName>
    <definedName name="z_T2HXNG0168_MO_CFSum_DividendPerShare">Model!$365:$365</definedName>
    <definedName name="z_T2HXNG0168_MO_CFSum_EstimatedSharePriceforIssuanceBuybacks">Model!$369:$369</definedName>
    <definedName name="z_T2HXNG0168_MO_CFSum_FCF">Model!$371:$371</definedName>
    <definedName name="z_T2HXNG0168_MO_CFSum_FCF_1">Model!$372:$372</definedName>
    <definedName name="z_T2HXNG0168_MO_CFSum_FCF_2">Model!$373:$373</definedName>
    <definedName name="z_T2HXNG0168_MO_CFSum_FCFPostDivDebtBuyback">Model!$374:$374</definedName>
    <definedName name="z_T2HXNG0168_MO_CFSum_NetDebtIssuanceRepayment">Model!$367:$367</definedName>
    <definedName name="z_T2HXNG0168_MO_CFSum_NetShareIssuanceBuybacks">Model!$368:$368</definedName>
    <definedName name="z_T2HXNG0168_MO_CFSum_OperatingCashFlowbeforeWC">Model!$356:$356</definedName>
    <definedName name="z_T2HXNG0168_MO_GA_Electronicdatainterchangeanddataservicesrevenuesgrowth">Model!$10:$10</definedName>
    <definedName name="z_T2HXNG0168_MO_GA_Managedservicesrevenuesgrowth">Model!$9:$9</definedName>
    <definedName name="z_T2HXNG0168_MO_GA_Othernonrecurringservicesrevenuesgrowth">Model!$13:$13</definedName>
    <definedName name="z_T2HXNG0168_MO_GA_Softwarelicenseandhardwarerevenuesgrowth">Model!$12:$12</definedName>
    <definedName name="z_T2HXNG0168_MO_GA_Subscriptionservicesrevenuesgrowth">Model!$7:$7</definedName>
    <definedName name="z_T2HXNG0168_MO_GA_Supportandmaintenancerevenuesgrowth">Model!$8:$8</definedName>
    <definedName name="z_T2HXNG0168_MO_GA_Totalrecurringrevenuesgrowth">Model!$11:$11</definedName>
    <definedName name="z_T2HXNG0168_MO_GA_Totalsoftwarehardwareandothernonrecurringrevenuesgrowth">Model!$14:$14</definedName>
    <definedName name="z_T2HXNG0168_MO_Header_ColumnHeader">Model!$5:$5</definedName>
    <definedName name="z_T2HXNG0168_MO_Header_CompanySubTitle">Model!$2:$2</definedName>
    <definedName name="z_T2HXNG0168_MO_Header_CompanyTitle">Model!$1:$1</definedName>
    <definedName name="z_T2HXNG0168_MO_Header_FPDays">Model!$3:$3</definedName>
    <definedName name="z_T2HXNG0168_MO_Header_QEndDate">Model!$4:$4</definedName>
    <definedName name="z_T2HXNG0168_MO_IS_amortizationofacquiredintangibleassets">Model!$253:$253</definedName>
    <definedName name="z_T2HXNG0168_MO_IS_Amortizationofcapitalizedsoftwarecostsandacquiredintangibleassets">Model!$248:$248</definedName>
    <definedName name="z_T2HXNG0168_MO_IS_electronicdatainterchangeanddataservices">Model!$232:$232</definedName>
    <definedName name="z_T2HXNG0168_MO_IS_electronicdatainterchangeanddataservices_1">Model!$243:$243</definedName>
    <definedName name="z_T2HXNG0168_MO_IS_grossprofit">Model!$250:$250</definedName>
    <definedName name="z_T2HXNG0168_MO_IS_impairmentofassets">Model!$254:$254</definedName>
    <definedName name="z_T2HXNG0168_MO_IS_incomefromoperations">Model!$257:$257</definedName>
    <definedName name="z_T2HXNG0168_MO_IS_incomelossbeforeprovisionforbenefitofincometaxes">Model!$261:$261</definedName>
    <definedName name="z_T2HXNG0168_MO_IS_interestexpense">Model!$259:$259</definedName>
    <definedName name="z_T2HXNG0168_MO_IS_interestincome">Model!$258:$258</definedName>
    <definedName name="z_T2HXNG0168_MO_IS_ISCheck">Model!$265:$265</definedName>
    <definedName name="z_T2HXNG0168_MO_IS_netincomeloss">Model!$263:$263</definedName>
    <definedName name="z_T2HXNG0168_MO_IS_Otherexpense">Model!$260:$260</definedName>
    <definedName name="z_T2HXNG0168_MO_IS_professionalservices">Model!$233:$233</definedName>
    <definedName name="z_T2HXNG0168_MO_IS_professionalservices_1">Model!$244:$244</definedName>
    <definedName name="z_T2HXNG0168_MO_IS_provisionforbenefitofincometaxes">Model!$262:$262</definedName>
    <definedName name="z_T2HXNG0168_MO_IS_Recurring">Model!$235:$235</definedName>
    <definedName name="z_T2HXNG0168_MO_IS_Recurring_1">Model!$246:$246</definedName>
    <definedName name="z_T2HXNG0168_MO_IS_researchanddevelopmentcosts">Model!$252:$252</definedName>
    <definedName name="z_T2HXNG0168_MO_IS_restructuringcosts">Model!$255:$255</definedName>
    <definedName name="z_T2HXNG0168_MO_IS_revenuecyclemanagementandrelatedservices">Model!$231:$231</definedName>
    <definedName name="z_T2HXNG0168_MO_IS_revenuecyclemanagementandrelatedservices_1">Model!$242:$242</definedName>
    <definedName name="z_T2HXNG0168_MO_IS_selling">Model!$251:$251</definedName>
    <definedName name="z_T2HXNG0168_MO_IS_Softwarehardware">Model!$236:$236</definedName>
    <definedName name="z_T2HXNG0168_MO_IS_Softwarehardware_1">Model!$247:$247</definedName>
    <definedName name="z_T2HXNG0168_MO_IS_softwarelicenseandhardware">Model!$227:$227</definedName>
    <definedName name="z_T2HXNG0168_MO_IS_softwarelicenseandhardware_1">Model!$238:$238</definedName>
    <definedName name="z_T2HXNG0168_MO_IS_softwarerelatedsubscriptionservices">Model!$228:$228</definedName>
    <definedName name="z_T2HXNG0168_MO_IS_softwarerelatedsubscriptionservices_1">Model!$239:$239</definedName>
    <definedName name="z_T2HXNG0168_MO_IS_supportandmaintenance">Model!$230:$230</definedName>
    <definedName name="z_T2HXNG0168_MO_IS_supportandmaintenance_1">Model!$241:$241</definedName>
    <definedName name="z_T2HXNG0168_MO_IS_totalcostofmaintenanceedi">Model!$245:$245</definedName>
    <definedName name="z_T2HXNG0168_MO_IS_Totalcostofrevenue">Model!$249:$249</definedName>
    <definedName name="z_T2HXNG0168_MO_IS_totalmaintenanceedi">Model!$234:$234</definedName>
    <definedName name="z_T2HXNG0168_MO_IS_totaloperatingexpenses">Model!$256:$256</definedName>
    <definedName name="z_T2HXNG0168_MO_IS_Totalrevenue">Model!$237:$237</definedName>
    <definedName name="z_T2HXNG0168_MO_IS_totalsoftware">Model!$229:$229</definedName>
    <definedName name="z_T2HXNG0168_MO_IS_totalsoftware_1">Model!$240:$240</definedName>
    <definedName name="z_T2HXNG0168_MO_MA_AdjustedEBITDAMargin">Model!$219:$219</definedName>
    <definedName name="z_T2HXNG0168_MO_MA_AdjustedEBITMargin">Model!$223:$223</definedName>
    <definedName name="z_T2HXNG0168_MO_MA_AverageFXRate">Model!$410:$410</definedName>
    <definedName name="z_T2HXNG0168_MO_MA_COGSMargin_2">Model!$208:$208</definedName>
    <definedName name="z_T2HXNG0168_MO_MA_COGSMarginadjforSBCandAmortizationExpense">Model!$209:$209</definedName>
    <definedName name="z_T2HXNG0168_MO_MA_consensusestimatesadjustedebitdamargin">Model!$220:$220</definedName>
    <definedName name="z_T2HXNG0168_MO_MA_ConsensusEstimatesEBITMargin">Model!$224:$224</definedName>
    <definedName name="z_T2HXNG0168_MO_MA_consensusestimatesgrossmargin">Model!$212:$212</definedName>
    <definedName name="z_T2HXNG0168_MO_MA_EBITDAMargin">Model!$218:$218</definedName>
    <definedName name="z_T2HXNG0168_MO_MA_EBITMargin">Model!$222:$222</definedName>
    <definedName name="z_T2HXNG0168_MO_MA_EVSalesAvg">Model!$401:$401</definedName>
    <definedName name="z_T2HXNG0168_MO_MA_GrossMargin_2">Model!$210:$210</definedName>
    <definedName name="z_T2HXNG0168_MO_MA_GrossMarginadjforSBCandAmortizationExpense">Model!$211:$211</definedName>
    <definedName name="z_T2HXNG0168_MO_MA_RDMargin">Model!$215:$215</definedName>
    <definedName name="z_T2HXNG0168_MO_MA_RDMargin_1">Model!$214:$214</definedName>
    <definedName name="z_T2HXNG0168_MO_MA_SGAMargin">Model!$217:$217</definedName>
    <definedName name="z_T2HXNG0168_MO_MA_SGAMargin_1">Model!$216:$216</definedName>
    <definedName name="z_T2HXNG0168_MO_MA_StockPriceTradingCurAvg">Model!$411:$411</definedName>
    <definedName name="z_T2HXNG0168_MO_OS_AccruedCompensationandRelatedBenefits">Model!$552:$552</definedName>
    <definedName name="z_T2HXNG0168_MO_OS_AccruedCompensationandRelatedBenefitsasofLTMNetRevenue">Model!$570:$570</definedName>
    <definedName name="z_T2HXNG0168_MO_OS_AmortizationofCapitalizedSoftwareCostsandAcquiredIntangibleAssets">Model!$33:$33</definedName>
    <definedName name="z_T2HXNG0168_MO_OS_AmortizationofCapitalizedSoftwareCostsandAcquiredIntangibleAssets_1">Model!$41:$41</definedName>
    <definedName name="z_T2HXNG0168_MO_OS_ARRfromEDIandDataServicesRevenueGrowthRate">Model!$75:$75</definedName>
    <definedName name="z_T2HXNG0168_MO_OS_ARRfromManagedServicesRevenueGrowthRate">Model!$70:$70</definedName>
    <definedName name="z_T2HXNG0168_MO_OS_ARRfromSubscriptionServicesRevenueGrowthRate">Model!$60:$60</definedName>
    <definedName name="z_T2HXNG0168_MO_OS_ARRfromSupportandMaintenanceRevenueGrowthRate">Model!$65:$65</definedName>
    <definedName name="z_T2HXNG0168_MO_OS_AverageAccountsPayable_1">Model!$562:$562</definedName>
    <definedName name="z_T2HXNG0168_MO_OS_AverageAccountsReceivable_1">Model!$556:$556</definedName>
    <definedName name="z_T2HXNG0168_MO_OS_AverageAnnualisedEDIandDataServicesRevenueperProvider">Model!$73:$73</definedName>
    <definedName name="z_T2HXNG0168_MO_OS_AverageAnnualisedManagedServicesRevenueperProvider">Model!$68:$68</definedName>
    <definedName name="z_T2HXNG0168_MO_OS_AverageAnnualisedSubscriptionServicesRevenueperProvider">Model!$58:$58</definedName>
    <definedName name="z_T2HXNG0168_MO_OS_AverageAnnualisedSupportandMaintenanceRevenueperProvider">Model!$63:$63</definedName>
    <definedName name="z_T2HXNG0168_MO_OS_AverageDailyEDIandDataServicesRevenueperProvider">Model!$72:$72</definedName>
    <definedName name="z_T2HXNG0168_MO_OS_AverageDailyManagedServicesRevenueperProvider">Model!$67:$67</definedName>
    <definedName name="z_T2HXNG0168_MO_OS_AverageDailySubscriptionServicesRevenueperProvider">Model!$57:$57</definedName>
    <definedName name="z_T2HXNG0168_MO_OS_AverageDailySupportandMaintenanceRevenueperProvider">Model!$62:$62</definedName>
    <definedName name="z_T2HXNG0168_MO_OS_AverageInventories_1">Model!$559:$559</definedName>
    <definedName name="z_T2HXNG0168_MO_OS_CapitalisedCommissionsCostsCurrent">Model!$50:$50</definedName>
    <definedName name="z_T2HXNG0168_MO_OS_CapitalisedCommissionsCostsNoncurrent">Model!$51:$51</definedName>
    <definedName name="z_T2HXNG0168_MO_OS_CashConversionCycle_1">Model!$567:$567</definedName>
    <definedName name="z_T2HXNG0168_MO_OS_ConsolidatedCOGS">Model!$180:$180</definedName>
    <definedName name="z_T2HXNG0168_MO_OS_ConsolidatedGrossProfit">Model!$187:$187</definedName>
    <definedName name="z_T2HXNG0168_MO_OS_ConsolidatedOperatingIncome">Model!$200:$200</definedName>
    <definedName name="z_T2HXNG0168_MO_OS_ConsolidatedRevenue">Model!$168:$168</definedName>
    <definedName name="z_T2HXNG0168_MO_OS_CorporateandUnallocatedCosts">Model!$199:$199</definedName>
    <definedName name="z_T2HXNG0168_MO_OS_CostofRevenueMarginRecurringRevenue">Model!$36:$36</definedName>
    <definedName name="z_T2HXNG0168_MO_OS_CostofRevenueMarginSoftwareHardwareandotherNonrecurringRevenue">Model!$37:$37</definedName>
    <definedName name="z_T2HXNG0168_MO_OS_CostofRevenueRecurringRevenue">Model!$31:$31</definedName>
    <definedName name="z_T2HXNG0168_MO_OS_CostofRevenueSoftwareHardwareandotherNonrecurringRevenue">Model!$32:$32</definedName>
    <definedName name="z_T2HXNG0168_MO_OS_DaysInventoriesOutstanding">Model!$565:$565</definedName>
    <definedName name="z_T2HXNG0168_MO_OS_DaysPayablesOutstanding">Model!$566:$566</definedName>
    <definedName name="z_T2HXNG0168_MO_OS_DaysSalesOutstanding_1">Model!$564:$564</definedName>
    <definedName name="z_T2HXNG0168_MO_OS_EDIHospitalSolutionsDivisionRevenue">Model!$151:$151</definedName>
    <definedName name="z_T2HXNG0168_MO_OS_EDINextGenDivisionRevenue">Model!$148:$148</definedName>
    <definedName name="z_T2HXNG0168_MO_OS_EDIQSIDentalDivisionRevenue">Model!$150:$150</definedName>
    <definedName name="z_T2HXNG0168_MO_OS_EDIRCMServicesDivisionRevenue">Model!$149:$149</definedName>
    <definedName name="z_T2HXNG0168_MO_OS_EDIRevenue">Model!$152:$152</definedName>
    <definedName name="z_T2HXNG0168_MO_OS_ElectronicDataInterchangeandDataServicesGrossMargin">Model!$112:$112</definedName>
    <definedName name="z_T2HXNG0168_MO_OS_ElectronicDataInterchangeandDataServicesGrossProfit_2">Model!$103:$103</definedName>
    <definedName name="z_T2HXNG0168_MO_OS_ElectronicDataInterchangeandDataServicesRevenue_4">Model!$85:$85</definedName>
    <definedName name="z_T2HXNG0168_MO_OS_ElectronicDataInterchangeandDataServicesRevenueGrowth_1">Model!$94:$94</definedName>
    <definedName name="z_T2HXNG0168_MO_OS_Electronicdatainterchangeanddataservicesrevenues">Model!$21:$21</definedName>
    <definedName name="z_T2HXNG0168_MO_OS_EndingAccountsPayable_1">Model!$561:$561</definedName>
    <definedName name="z_T2HXNG0168_MO_OS_EndingAccountsReceivable_1">Model!$555:$555</definedName>
    <definedName name="z_T2HXNG0168_MO_OS_EndingInventories_1">Model!$558:$558</definedName>
    <definedName name="z_T2HXNG0168_MO_OS_EstimatedAnnualRecurringRevenueARRfromSubscriptionServicesRevenue">Model!$59:$59</definedName>
    <definedName name="z_T2HXNG0168_MO_OS_EstimatedARRfromEDIandDataServicesRevenue">Model!$74:$74</definedName>
    <definedName name="z_T2HXNG0168_MO_OS_EstimatedARRfromManagedServicesRevenue">Model!$69:$69</definedName>
    <definedName name="z_T2HXNG0168_MO_OS_EstimatedARRfromSupportandMaintenanceRevenue">Model!$64:$64</definedName>
    <definedName name="z_T2HXNG0168_MO_OS_GrossMarginRecurringRevenue">Model!$44:$44</definedName>
    <definedName name="z_T2HXNG0168_MO_OS_GrossMarginSoftwareHardwareandotherNonrecurringRevenue">Model!$45:$45</definedName>
    <definedName name="z_T2HXNG0168_MO_OS_GrossProfitRecurringRevenue">Model!$39:$39</definedName>
    <definedName name="z_T2HXNG0168_MO_OS_GrossProfitSoftwareHardwareandotherNonrecurringRevenue">Model!$40:$40</definedName>
    <definedName name="z_T2HXNG0168_MO_OS_HardwareandThirdPartySoftwareHospitalSolutionsDivisionRevenue">Model!$125:$125</definedName>
    <definedName name="z_T2HXNG0168_MO_OS_HardwareandThirdPartySoftwareNextGenDivisionRevenue">Model!$122:$122</definedName>
    <definedName name="z_T2HXNG0168_MO_OS_HardwareandThirdPartySoftwareQSIDentalDivisionRevenue">Model!$124:$124</definedName>
    <definedName name="z_T2HXNG0168_MO_OS_HardwareandThirdPartySoftwareRCMServicesDivisionRevenue">Model!$123:$123</definedName>
    <definedName name="z_T2HXNG0168_MO_OS_HardwareandThirdPartySoftwareRevenue">Model!$126:$126</definedName>
    <definedName name="z_T2HXNG0168_MO_OS_HospitalSolutionsDivisionCOGS">Model!$178:$178</definedName>
    <definedName name="z_T2HXNG0168_MO_OS_HospitalSolutionsDivisionGrossMargin">Model!$192:$192</definedName>
    <definedName name="z_T2HXNG0168_MO_OS_HospitalSolutionsDivisionGrossProfit">Model!$185:$185</definedName>
    <definedName name="z_T2HXNG0168_MO_OS_HospitalSolutionsDivisionOperatingIncome">Model!$197:$197</definedName>
    <definedName name="z_T2HXNG0168_MO_OS_HospitalSolutionsDivisionOperatingMargin">Model!$205:$205</definedName>
    <definedName name="z_T2HXNG0168_MO_OS_HospitalSolutionsDivisionRevenue_1">Model!$167:$167</definedName>
    <definedName name="z_T2HXNG0168_MO_OS_HospitalSolutionsDivisionRevenueGrowth">Model!$173:$173</definedName>
    <definedName name="z_T2HXNG0168_MO_OS_ImplementationandTrainingServicesHospitalSolutionsDivisionRevenue">Model!$130:$130</definedName>
    <definedName name="z_T2HXNG0168_MO_OS_ImplementationandTrainingServicesNextGenDivisionRevenue">Model!$127:$127</definedName>
    <definedName name="z_T2HXNG0168_MO_OS_ImplementationandTrainingServicesQSIDentalDivisionRevenue">Model!$129:$129</definedName>
    <definedName name="z_T2HXNG0168_MO_OS_ImplementationandTrainingServicesRCMServicesDivisionRevenue">Model!$128:$128</definedName>
    <definedName name="z_T2HXNG0168_MO_OS_ImplementationandTrainingServicesRevenue">Model!$131:$131</definedName>
    <definedName name="z_T2HXNG0168_MO_OS_LTMCOGSadjforSBCandAmortizationExpense">Model!$550:$550</definedName>
    <definedName name="z_T2HXNG0168_MO_OS_LTMNetRevenue">Model!$549:$549</definedName>
    <definedName name="z_T2HXNG0168_MO_OS_MaintenanceEDIRCMandOtherServicesHospitalSolutionsDivisionRevenue">Model!$161:$161</definedName>
    <definedName name="z_T2HXNG0168_MO_OS_MaintenanceEDIRCMandOtherServicesNextGenDivisionRevenue">Model!$158:$158</definedName>
    <definedName name="z_T2HXNG0168_MO_OS_MaintenanceEDIRCMandOtherServicesQSIDentalDivisionRevenue">Model!$160:$160</definedName>
    <definedName name="z_T2HXNG0168_MO_OS_MaintenanceEDIRCMandOtherServicesRCMServicesDivisionRevenue">Model!$159:$159</definedName>
    <definedName name="z_T2HXNG0168_MO_OS_MaintenanceEDIRCMandOtherServicesRevenue">Model!$162:$162</definedName>
    <definedName name="z_T2HXNG0168_MO_OS_MaintenanceHospitalSolutionsDivisionRevenue">Model!$141:$141</definedName>
    <definedName name="z_T2HXNG0168_MO_OS_MaintenanceNextGenDivisionRevenue">Model!$138:$138</definedName>
    <definedName name="z_T2HXNG0168_MO_OS_MaintenanceQSIDentalDivisionRevenue">Model!$140:$140</definedName>
    <definedName name="z_T2HXNG0168_MO_OS_MaintenanceRCMServicesDivisionRevenue">Model!$139:$139</definedName>
    <definedName name="z_T2HXNG0168_MO_OS_MaintenanceRevenue">Model!$142:$142</definedName>
    <definedName name="z_T2HXNG0168_MO_OS_Managedservicesrevenues">Model!$20:$20</definedName>
    <definedName name="z_T2HXNG0168_MO_OS_NextGenDivisionCOGS">Model!$175:$175</definedName>
    <definedName name="z_T2HXNG0168_MO_OS_NextGenDivisionGrossMargin">Model!$189:$189</definedName>
    <definedName name="z_T2HXNG0168_MO_OS_NextGenDivisionGrossProfit">Model!$182:$182</definedName>
    <definedName name="z_T2HXNG0168_MO_OS_NextGenDivisionOperatingIncome">Model!$194:$194</definedName>
    <definedName name="z_T2HXNG0168_MO_OS_NextGenDivisionOperatingMargin">Model!$202:$202</definedName>
    <definedName name="z_T2HXNG0168_MO_OS_NextGenDivisionRevenue_1">Model!$164:$164</definedName>
    <definedName name="z_T2HXNG0168_MO_OS_NextGenDivisionRevenueGrowth">Model!$170:$170</definedName>
    <definedName name="z_T2HXNG0168_MO_OS_OtherCurrentLiabilities">Model!$553:$553</definedName>
    <definedName name="z_T2HXNG0168_MO_OS_OtherCurrentLiabilitiesasofLTMNetRevenue">Model!$571:$571</definedName>
    <definedName name="z_T2HXNG0168_MO_OS_OtherHospitalSolutionsDivisionRevenue">Model!$156:$156</definedName>
    <definedName name="z_T2HXNG0168_MO_OS_OtherNextGenDivisionRevenue">Model!$153:$153</definedName>
    <definedName name="z_T2HXNG0168_MO_OS_Othernonrecurringservicesrevenues">Model!$24:$24</definedName>
    <definedName name="z_T2HXNG0168_MO_OS_OtherQSIDentalDivisionRevenue">Model!$155:$155</definedName>
    <definedName name="z_T2HXNG0168_MO_OS_OtherRCMServicesDivisionRevenue">Model!$154:$154</definedName>
    <definedName name="z_T2HXNG0168_MO_OS_PrepaidExpensesandOtherCurrentAssets">Model!$551:$551</definedName>
    <definedName name="z_T2HXNG0168_MO_OS_PrepaidExpensesandOtherCurrentAssetsasofLTMNetRevenue">Model!$569:$569</definedName>
    <definedName name="z_T2HXNG0168_MO_OS_ProfessionalServicesGrossMargin_1">Model!$113:$113</definedName>
    <definedName name="z_T2HXNG0168_MO_OS_ProfessionalServicesGrossProfit_1">Model!$104:$104</definedName>
    <definedName name="z_T2HXNG0168_MO_OS_ProfessionalServicesRevenue_2">Model!$86:$86</definedName>
    <definedName name="z_T2HXNG0168_MO_OS_ProfessionalServicesRevenue_4">Model!$157:$157</definedName>
    <definedName name="z_T2HXNG0168_MO_OS_ProfessionalServicesRevenueGrowth_1">Model!$95:$95</definedName>
    <definedName name="z_T2HXNG0168_MO_OS_ProvidersUsingNextGensSolutions">Model!$55:$55</definedName>
    <definedName name="z_T2HXNG0168_MO_OS_QSIDentalDivisionCOGS">Model!$177:$177</definedName>
    <definedName name="z_T2HXNG0168_MO_OS_QSIDentalDivisionGrossMargin">Model!$191:$191</definedName>
    <definedName name="z_T2HXNG0168_MO_OS_QSIDentalDivisionGrossProfit">Model!$184:$184</definedName>
    <definedName name="z_T2HXNG0168_MO_OS_QSIDentalDivisionOperatingIncome">Model!$196:$196</definedName>
    <definedName name="z_T2HXNG0168_MO_OS_QSIDentalDivisionOperatingMargin">Model!$204:$204</definedName>
    <definedName name="z_T2HXNG0168_MO_OS_QSIDentalDivisionRevenue_1">Model!$166:$166</definedName>
    <definedName name="z_T2HXNG0168_MO_OS_QSIDentalDivisionRevenueGrowth">Model!$172:$172</definedName>
    <definedName name="z_T2HXNG0168_MO_OS_RCMRCMServicesDivisionRevenue">Model!$144:$144</definedName>
    <definedName name="z_T2HXNG0168_MO_OS_RCMRevenue">Model!$147:$147</definedName>
    <definedName name="z_T2HXNG0168_MO_OS_RCMServicesDivisionCOGS">Model!$176:$176</definedName>
    <definedName name="z_T2HXNG0168_MO_OS_RCMServicesDivisionGrossMargin">Model!$190:$190</definedName>
    <definedName name="z_T2HXNG0168_MO_OS_RCMServicesDivisionGrossProfit">Model!$183:$183</definedName>
    <definedName name="z_T2HXNG0168_MO_OS_RCMServicesDivisionOperatingIncome">Model!$195:$195</definedName>
    <definedName name="z_T2HXNG0168_MO_OS_RCMServicesDivisionOperatingMargin">Model!$203:$203</definedName>
    <definedName name="z_T2HXNG0168_MO_OS_RCMServicesDivisionRevenue_1">Model!$165:$165</definedName>
    <definedName name="z_T2HXNG0168_MO_OS_RCMServicesDivisionRevenueGrowth">Model!$171:$171</definedName>
    <definedName name="z_T2HXNG0168_MO_OS_RecurringRevenueasofTotalRevenue">Model!$28:$28</definedName>
    <definedName name="z_T2HXNG0168_MO_OS_RevenueCycleManagementandRelatedServicesGrossMargin_1">Model!$111:$111</definedName>
    <definedName name="z_T2HXNG0168_MO_OS_RevenueCycleManagementandRelatedServicesGrossProfit_1">Model!$102:$102</definedName>
    <definedName name="z_T2HXNG0168_MO_OS_RevenueCycleManagementandRelatedServicesRevenue_2">Model!$84:$84</definedName>
    <definedName name="z_T2HXNG0168_MO_OS_RevenueCycleManagementandRelatedServicesRevenueGrowth_1">Model!$93:$93</definedName>
    <definedName name="z_T2HXNG0168_MO_OS_SoftwareHospitalSolutionsDivisionRevenue">Model!$120:$120</definedName>
    <definedName name="z_T2HXNG0168_MO_OS_SoftwareLicenseandHardwareGrossMargin_1">Model!$107:$107</definedName>
    <definedName name="z_T2HXNG0168_MO_OS_SoftwareLicenseandHardwareGrossProfit_1">Model!$98:$98</definedName>
    <definedName name="z_T2HXNG0168_MO_OS_SoftwareLicenseandHardwareRevenueGrowth_1">Model!$89:$89</definedName>
    <definedName name="z_T2HXNG0168_MO_OS_Softwarelicenseandhardwarerevenues">Model!$23:$23</definedName>
    <definedName name="z_T2HXNG0168_MO_OS_SoftwareNextGenDivisionRevenue">Model!$117:$117</definedName>
    <definedName name="z_T2HXNG0168_MO_OS_SoftwareQSIDentalDivisionRevenue">Model!$119:$119</definedName>
    <definedName name="z_T2HXNG0168_MO_OS_SoftwareRCMServicesDivisionRevenue">Model!$118:$118</definedName>
    <definedName name="z_T2HXNG0168_MO_OS_SoftwareRelatedSubscriptionServicesGrossMargin_1">Model!$108:$108</definedName>
    <definedName name="z_T2HXNG0168_MO_OS_SoftwareRelatedSubscriptionServicesGrossProfit_1">Model!$99:$99</definedName>
    <definedName name="z_T2HXNG0168_MO_OS_SoftwareRelatedSubscriptionServicesRevenue_2">Model!$81:$81</definedName>
    <definedName name="z_T2HXNG0168_MO_OS_SoftwareRelatedSubscriptionServicesRevenueGrowth_1">Model!$90:$90</definedName>
    <definedName name="z_T2HXNG0168_MO_OS_SoftwareRevenue">Model!$121:$121</definedName>
    <definedName name="z_T2HXNG0168_MO_OS_Subscriptionservicesrevenues">Model!$18:$18</definedName>
    <definedName name="z_T2HXNG0168_MO_OS_SupportandMaintenanceGrossMargin_1">Model!$110:$110</definedName>
    <definedName name="z_T2HXNG0168_MO_OS_SupportandMaintenanceGrossProfit_1">Model!$101:$101</definedName>
    <definedName name="z_T2HXNG0168_MO_OS_SupportandMaintenanceRevenue_4">Model!$83:$83</definedName>
    <definedName name="z_T2HXNG0168_MO_OS_SupportandMaintenanceRevenueGrowth_1">Model!$92:$92</definedName>
    <definedName name="z_T2HXNG0168_MO_OS_Supportandmaintenancerevenues">Model!$19:$19</definedName>
    <definedName name="z_T2HXNG0168_MO_OS_SystemSalesHospitalSolutionsDivisionRevenue">Model!$135:$135</definedName>
    <definedName name="z_T2HXNG0168_MO_OS_SystemSalesNextGenDivisionRevenue">Model!$132:$132</definedName>
    <definedName name="z_T2HXNG0168_MO_OS_SystemSalesQSIDentalDivisionRevenue">Model!$134:$134</definedName>
    <definedName name="z_T2HXNG0168_MO_OS_SystemSalesRCMServicesDivisionRevenue">Model!$133:$133</definedName>
    <definedName name="z_T2HXNG0168_MO_OS_SystemSalesRevenue">Model!$136:$136</definedName>
    <definedName name="z_T2HXNG0168_MO_OS_TotalBookings">Model!$77:$77</definedName>
    <definedName name="z_T2HXNG0168_MO_OS_TotalCapitalisedCommissionsCosts">Model!$52:$52</definedName>
    <definedName name="z_T2HXNG0168_MO_OS_TotalCostofRevenue">Model!$34:$34</definedName>
    <definedName name="z_T2HXNG0168_MO_OS_TotalGrossProfit_1">Model!$42:$42</definedName>
    <definedName name="z_T2HXNG0168_MO_OS_TotalMaintenanceEDIRCMandOtherServicesGrossMargin">Model!$114:$114</definedName>
    <definedName name="z_T2HXNG0168_MO_OS_TotalMaintenanceEDIRCMandOtherServicesGrossProfit">Model!$105:$105</definedName>
    <definedName name="z_T2HXNG0168_MO_OS_TotalMaintenanceEDIRCMandOtherServicesRevenue">Model!$87:$87</definedName>
    <definedName name="z_T2HXNG0168_MO_OS_TotalMaintenanceEDIRCMandOtherServicesRevenueGrowth">Model!$96:$96</definedName>
    <definedName name="z_T2HXNG0168_MO_OS_Totalrecurringrevenues">Model!$22:$22</definedName>
    <definedName name="z_T2HXNG0168_MO_OS_Totalrevenuegrowth">Model!$15:$15</definedName>
    <definedName name="z_T2HXNG0168_MO_OS_Totalrevenues">Model!$26:$26</definedName>
    <definedName name="z_T2HXNG0168_MO_OS_TotalSegmentedOperatingIncome">Model!$198:$198</definedName>
    <definedName name="z_T2HXNG0168_MO_OS_Totalsoftwarehardwareandothernonrecurringrevenues">Model!$25:$25</definedName>
    <definedName name="z_T2HXNG0168_MO_OS_TotalSoftwareHardwareandRelatedGrossMargin">Model!$109:$109</definedName>
    <definedName name="z_T2HXNG0168_MO_OS_TotalSoftwareHardwareandRelatedGrossProfit">Model!$100:$100</definedName>
    <definedName name="z_T2HXNG0168_MO_OS_TotalSoftwareHardwareandRelatedRevenue">Model!$82:$82</definedName>
    <definedName name="z_T2HXNG0168_MO_OS_TotalSoftwareHardwareandRelatedRevenueGrowth">Model!$91:$91</definedName>
    <definedName name="z_T2HXNG0168_MO_OS_TransactionPriceAllocatedtoRemainingPerformanceObligation">Model!$48:$48</definedName>
    <definedName name="z_T2HXNG0168_MO_OS_UnallocatedCOGS">Model!$179:$179</definedName>
    <definedName name="z_T2HXNG0168_MO_OS_UnallocatedCOGS_1">Model!$186:$186</definedName>
    <definedName name="z_T2HXNG0168_MO_RIS_AdjustedEarningsPerShareWAD">Model!$348:$348</definedName>
    <definedName name="z_T2HXNG0168_MO_RIS_AdjustedEBIT_1">Model!$321:$321</definedName>
    <definedName name="z_T2HXNG0168_MO_RIS_AdjustedEBITDANoAdjustments">Model!$311:$311</definedName>
    <definedName name="z_T2HXNG0168_MO_RIS_AdjustedNetIncome">Model!$341:$341</definedName>
    <definedName name="z_T2HXNG0168_MO_RIS_AdjustedSharesOutstandingWAD">Model!$353:$353</definedName>
    <definedName name="z_T2HXNG0168_MO_RIS_AdjustmentsforConvertibleSecurities">Model!$337:$337</definedName>
    <definedName name="z_T2HXNG0168_MO_RIS_AmortizationofIntangiblesincludedinCOGS">Model!$315:$315</definedName>
    <definedName name="z_T2HXNG0168_MO_RIS_AmortizationofintangiblesIncludedinOperatingExpenses">Model!$316:$316</definedName>
    <definedName name="z_T2HXNG0168_MO_RIS_COGSadjforDA">Model!$305:$305</definedName>
    <definedName name="z_T2HXNG0168_MO_RIS_consensusestimatesadjustedearningspersharewad">Model!$349:$349</definedName>
    <definedName name="z_T2HXNG0168_MO_RIS_consensusestimatesadjustedebitda">Model!$312:$312</definedName>
    <definedName name="z_T2HXNG0168_MO_RIS_ConsensusEstimatesEBIT">Model!$322:$322</definedName>
    <definedName name="z_T2HXNG0168_MO_RIS_consensusestimatesnetrevenue">Model!$303:$303</definedName>
    <definedName name="z_T2HXNG0168_MO_RIS_Currenttax">Model!$330:$330</definedName>
    <definedName name="z_T2HXNG0168_MO_RIS_Currenttaxrate">Model!$343:$343</definedName>
    <definedName name="z_T2HXNG0168_MO_RIS_DA">Model!$314:$314</definedName>
    <definedName name="z_T2HXNG0168_MO_RIS_Deferredtax">Model!$331:$331</definedName>
    <definedName name="z_T2HXNG0168_MO_RIS_Deferredtaxrate">Model!$344:$344</definedName>
    <definedName name="z_T2HXNG0168_MO_RIS_DilutedNetIncometoCommonShareholders">Model!$338:$338</definedName>
    <definedName name="z_T2HXNG0168_MO_RIS_DiscontinuedOperations">Model!$333:$333</definedName>
    <definedName name="z_T2HXNG0168_MO_RIS_EarningsPerShareWAB">Model!$346:$346</definedName>
    <definedName name="z_T2HXNG0168_MO_RIS_EarningsPerShareWAD">Model!$347:$347</definedName>
    <definedName name="z_T2HXNG0168_MO_RIS_EarningstoPreferredandOtherSecurities">Model!$335:$335</definedName>
    <definedName name="z_T2HXNG0168_MO_RIS_EBIT">Model!$320:$320</definedName>
    <definedName name="z_T2HXNG0168_MO_RIS_EBITDA">Model!$310:$310</definedName>
    <definedName name="z_T2HXNG0168_MO_RIS_EBT">Model!$328:$328</definedName>
    <definedName name="z_T2HXNG0168_MO_RIS_GrossProfit">Model!$306:$306</definedName>
    <definedName name="z_T2HXNG0168_MO_RIS_Interestexpense">Model!$324:$324</definedName>
    <definedName name="z_T2HXNG0168_MO_RIS_Interestincome">Model!$325:$325</definedName>
    <definedName name="z_T2HXNG0168_MO_RIS_NetIncomefromContinuedOperation">Model!$332:$332</definedName>
    <definedName name="z_T2HXNG0168_MO_RIS_NetIncometoCommonShareholders">Model!$336:$336</definedName>
    <definedName name="z_T2HXNG0168_MO_RIS_NetIncometoNCI">Model!$334:$334</definedName>
    <definedName name="z_T2HXNG0168_MO_RIS_NetRevenue">Model!$302:$302</definedName>
    <definedName name="z_T2HXNG0168_MO_RIS_NonGAAPAdjustments">Model!$339:$339</definedName>
    <definedName name="z_T2HXNG0168_MO_RIS_NonGAAPAdjustmentsforDilutiveSecurities">Model!$340:$340</definedName>
    <definedName name="z_T2HXNG0168_MO_RIS_Onetimeitem">Model!$327:$327</definedName>
    <definedName name="z_T2HXNG0168_MO_RIS_Onetimeitem_1">Model!$319:$319</definedName>
    <definedName name="z_T2HXNG0168_MO_RIS_Otheritems">Model!$326:$326</definedName>
    <definedName name="z_T2HXNG0168_MO_RIS_Otheritems_1">Model!$318:$318</definedName>
    <definedName name="z_T2HXNG0168_MO_RIS_RD">Model!$308:$308</definedName>
    <definedName name="z_T2HXNG0168_MO_RIS_SBC">Model!$317:$317</definedName>
    <definedName name="z_T2HXNG0168_MO_RIS_SGAadjforSBC">Model!$309:$309</definedName>
    <definedName name="z_T2HXNG0168_MO_RIS_SharesOutstandingWAB">Model!$351:$351</definedName>
    <definedName name="z_T2HXNG0168_MO_RIS_SharesOutstandingWAD">Model!$352:$352</definedName>
    <definedName name="z_T2HXNG0168_MO_Section_AN_AdjustedNumbers">Model!$267:$267</definedName>
    <definedName name="z_T2HXNG0168_MO_Section_BS_BalanceSheet">Model!$573:$573</definedName>
    <definedName name="z_T2HXNG0168_MO_Section_BS_ModelChecks">Model!$629:$629</definedName>
    <definedName name="z_T2HXNG0168_MO_Section_BSS_BalanceSheetSummary">Model!$376:$376</definedName>
    <definedName name="z_T2HXNG0168_MO_Section_CCFS_CumulativeCashFlowStatement">Model!$418:$418</definedName>
    <definedName name="z_T2HXNG0168_MO_Section_CFS_CashFlowStatement">Model!$482:$482</definedName>
    <definedName name="z_T2HXNG0168_MO_Section_CFSum_CashFlowSummary">Model!$355:$355</definedName>
    <definedName name="z_T2HXNG0168_MO_Section_GA_GrowthAnalysis">Model!$6:$6</definedName>
    <definedName name="z_T2HXNG0168_MO_Section_IS_IncomeStatement">Model!$226:$226</definedName>
    <definedName name="z_T2HXNG0168_MO_Section_MA_MarginAnalysis">Model!$207:$207</definedName>
    <definedName name="z_T2HXNG0168_MO_Section_OS_KeyMetricsAdditionalDataMDAFSCC">Model!$54:$54</definedName>
    <definedName name="z_T2HXNG0168_MO_Section_OS_KeyMetricsPerformanceObligationsFS">Model!$47:$47</definedName>
    <definedName name="z_T2HXNG0168_MO_Section_OS_SegmentedResultsCostofRevenueBreakdownFS">Model!$30:$30</definedName>
    <definedName name="z_T2HXNG0168_MO_Section_OS_SegmentedResultsHistoricalRevenueBreakdown20102015MDAFS">Model!$116:$116</definedName>
    <definedName name="z_T2HXNG0168_MO_Section_OS_SegmentedResultsHistoricalRevenueBreakdown20102017FS">Model!$79:$79</definedName>
    <definedName name="z_T2HXNG0168_MO_Section_OS_SegmentedResultsRevenueBreakdownFS_1">Model!$17:$17</definedName>
    <definedName name="z_T2HXNG0168_MO_Section_OS_WorkingCapitalForecasting">Model!$548:$548</definedName>
    <definedName name="z_T2HXNG0168_MO_Section_RIS_RevisedIncomeStatement">Model!$301:$301</definedName>
    <definedName name="z_T2HXNG0168_MO_Section_TB_Tables">Model!$653:$653</definedName>
    <definedName name="z_T2HXNG0168_MO_Section_VA_Valuation">Model!$395:$395</definedName>
    <definedName name="z_T2HXNG0168_MO_SubSection_OS_RCMHospitalSolutionsDivisionRevenue">Model!$146:$146</definedName>
    <definedName name="z_T2HXNG0168_MO_SubSection_OS_RCMNextGenDivisionRevenue">Model!$143:$143</definedName>
    <definedName name="z_T2HXNG0168_MO_SubSection_OS_RCMQSIDentalDivisionRevenue">Model!$145:$145</definedName>
    <definedName name="z_T2HXNG0168_MO_VA_EnterpriseValueAverage">Model!$398:$398</definedName>
    <definedName name="z_T2HXNG0168_MO_VA_enterprisevaluecomponents">Model!$413:$413</definedName>
    <definedName name="z_T2HXNG0168_MO_VA_EVEBITDAAverage">Model!$402:$402</definedName>
    <definedName name="z_T2HXNG0168_MO_VA_FCFYieldtoAverageEnterpriseValue">Model!$405:$405</definedName>
    <definedName name="z_T2HXNG0168_MO_VA_FCFYieldtoAverageMarketCap">Model!$404:$404</definedName>
    <definedName name="z_T2HXNG0168_MO_VA_MarketCapAverage">Model!$397:$397</definedName>
    <definedName name="z_T2HXNG0168_MO_VA_NoncontrollingInterest">Model!$414:$414</definedName>
    <definedName name="z_T2HXNG0168_MO_VA_OtherEVComponents">Model!$416:$416</definedName>
    <definedName name="z_T2HXNG0168_MO_VA_PCFAverage">Model!$403:$403</definedName>
    <definedName name="z_T2HXNG0168_MO_VA_PEAverage">Model!$400:$400</definedName>
    <definedName name="z_T2HXNG0168_MO_VA_PreferredShares">Model!$415:$415</definedName>
    <definedName name="z_T2HXNG0168_MO_VA_StockAvg">Model!$409:$409</definedName>
    <definedName name="z_T2HXNG0168_MO_VA_StockHigh">Model!$407:$407</definedName>
    <definedName name="z_T2HXNG0168_MO_VA_StockLow">Model!$408:$408</definedName>
    <definedName name="z_T2HXNG0168_MO_VA_StockPriceAverage">Model!$396:$396</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21" i="11" l="1"/>
  <c r="F121" i="11" s="1"/>
  <c r="B117" i="11"/>
  <c r="I117" i="11" s="1"/>
  <c r="G124" i="11"/>
  <c r="H124" i="11" s="1"/>
  <c r="I124" i="11" s="1"/>
  <c r="F124" i="11"/>
  <c r="H121" i="11" l="1"/>
  <c r="G121" i="11"/>
  <c r="E121" i="11"/>
  <c r="I121" i="11"/>
  <c r="H117" i="11"/>
  <c r="F117" i="11"/>
  <c r="G117" i="11"/>
  <c r="E117" i="11"/>
  <c r="D16" i="11" l="1"/>
  <c r="D119" i="12"/>
  <c r="E119" i="12" s="1"/>
  <c r="F119" i="12" s="1"/>
  <c r="G119" i="12" s="1"/>
  <c r="C119" i="12"/>
  <c r="E113" i="12"/>
  <c r="D113" i="12"/>
  <c r="C113" i="12"/>
  <c r="I103" i="12"/>
  <c r="F95" i="12"/>
  <c r="H56" i="12"/>
  <c r="G56" i="12"/>
  <c r="F56" i="12"/>
  <c r="E56" i="12"/>
  <c r="D56" i="12"/>
  <c r="C56" i="12"/>
  <c r="M37" i="12"/>
  <c r="L37" i="12"/>
  <c r="K37" i="12"/>
  <c r="J37" i="12"/>
  <c r="I37" i="12"/>
  <c r="B34" i="12"/>
  <c r="C34" i="12" s="1"/>
  <c r="D33" i="12"/>
  <c r="E33" i="12" s="1"/>
  <c r="F33" i="12" s="1"/>
  <c r="G33" i="12" s="1"/>
  <c r="H33" i="12" s="1"/>
  <c r="I33" i="12" s="1"/>
  <c r="J33" i="12" s="1"/>
  <c r="K33" i="12" s="1"/>
  <c r="L33" i="12" s="1"/>
  <c r="M33" i="12" s="1"/>
  <c r="B12" i="12"/>
  <c r="M103" i="12" s="1"/>
  <c r="M5" i="12" a="1"/>
  <c r="M5" i="12" s="1"/>
  <c r="B4" i="12"/>
  <c r="G118" i="12" l="1"/>
  <c r="C42" i="12"/>
  <c r="D34" i="12"/>
  <c r="C61" i="12"/>
  <c r="L103" i="12"/>
  <c r="H103" i="12"/>
  <c r="D103" i="12"/>
  <c r="E95" i="12"/>
  <c r="K103" i="12"/>
  <c r="G103" i="12"/>
  <c r="C103" i="12"/>
  <c r="H95" i="12"/>
  <c r="D95" i="12"/>
  <c r="J103" i="12"/>
  <c r="F103" i="12"/>
  <c r="G95" i="12"/>
  <c r="B42" i="12"/>
  <c r="E103" i="12"/>
  <c r="E34" i="12" l="1"/>
  <c r="E120" i="12"/>
  <c r="D120" i="12"/>
  <c r="G120" i="12"/>
  <c r="C120" i="12"/>
  <c r="B120" i="12"/>
  <c r="F120" i="12"/>
  <c r="F34" i="12" l="1"/>
  <c r="F134" i="12"/>
  <c r="F126" i="12"/>
  <c r="F123" i="12"/>
  <c r="F144" i="12"/>
  <c r="D144" i="12"/>
  <c r="D123" i="12"/>
  <c r="D126" i="12"/>
  <c r="D134" i="12"/>
  <c r="G134" i="12"/>
  <c r="G126" i="12"/>
  <c r="G144" i="12"/>
  <c r="G123" i="12"/>
  <c r="B134" i="12"/>
  <c r="B126" i="12"/>
  <c r="B123" i="12"/>
  <c r="B144" i="12"/>
  <c r="E144" i="12"/>
  <c r="E123" i="12"/>
  <c r="E134" i="12"/>
  <c r="E126" i="12"/>
  <c r="C134" i="12"/>
  <c r="C126" i="12"/>
  <c r="C144" i="12"/>
  <c r="C123" i="12"/>
  <c r="G34" i="12" l="1"/>
  <c r="H34" i="12" l="1"/>
  <c r="I34" i="12" s="1"/>
  <c r="J34" i="12" s="1"/>
  <c r="K34" i="12" s="1"/>
  <c r="L34" i="12" s="1"/>
  <c r="M34" i="12" s="1"/>
  <c r="G280" i="11" l="1"/>
  <c r="C280" i="11"/>
  <c r="C281" i="11" s="1"/>
  <c r="C279" i="11"/>
  <c r="G278" i="11"/>
  <c r="H278" i="11" s="1"/>
  <c r="I278" i="11" s="1"/>
  <c r="F278" i="11"/>
  <c r="C275" i="11"/>
  <c r="F275" i="11" s="1"/>
  <c r="H274" i="11"/>
  <c r="H280" i="11" s="1"/>
  <c r="E274" i="11"/>
  <c r="E280" i="11" s="1"/>
  <c r="D274" i="11"/>
  <c r="D280" i="11" s="1"/>
  <c r="G273" i="11"/>
  <c r="H273" i="11" s="1"/>
  <c r="I273" i="11" s="1"/>
  <c r="F273" i="11"/>
  <c r="I270" i="11"/>
  <c r="G270" i="11"/>
  <c r="E270" i="11"/>
  <c r="I269" i="11"/>
  <c r="H269" i="11"/>
  <c r="H270" i="11" s="1"/>
  <c r="G269" i="11"/>
  <c r="F269" i="11"/>
  <c r="F270" i="11" s="1"/>
  <c r="E269" i="11"/>
  <c r="J264" i="11"/>
  <c r="D263" i="11"/>
  <c r="J262" i="11"/>
  <c r="F260" i="11"/>
  <c r="D260" i="11"/>
  <c r="D256" i="11"/>
  <c r="J253" i="11"/>
  <c r="I253" i="11"/>
  <c r="H253" i="11"/>
  <c r="G253" i="11"/>
  <c r="F253" i="11"/>
  <c r="F254" i="11" s="1"/>
  <c r="F255" i="11" s="1"/>
  <c r="E253" i="11"/>
  <c r="E254" i="11" s="1"/>
  <c r="E255" i="11" s="1"/>
  <c r="F252" i="11"/>
  <c r="G252" i="11" s="1"/>
  <c r="H252" i="11" s="1"/>
  <c r="Q250" i="11"/>
  <c r="Q249" i="11"/>
  <c r="Q248" i="11"/>
  <c r="D248" i="11"/>
  <c r="G249" i="11" s="1"/>
  <c r="G256" i="11" s="1"/>
  <c r="Q247" i="11"/>
  <c r="G247" i="11"/>
  <c r="Q246" i="11"/>
  <c r="H246" i="11"/>
  <c r="Q245" i="11"/>
  <c r="G245" i="11"/>
  <c r="H245" i="11" s="1"/>
  <c r="I245" i="11" s="1"/>
  <c r="J245" i="11" s="1"/>
  <c r="Q244" i="11"/>
  <c r="R244" i="11" s="1"/>
  <c r="Q243" i="11"/>
  <c r="R243" i="11" s="1"/>
  <c r="Q242" i="11"/>
  <c r="Q251" i="11" s="1"/>
  <c r="H240" i="11"/>
  <c r="H247" i="11" s="1"/>
  <c r="H249" i="11" s="1"/>
  <c r="H256" i="11" s="1"/>
  <c r="V235" i="11"/>
  <c r="V236" i="11" s="1"/>
  <c r="V238" i="11" s="1"/>
  <c r="G115" i="11"/>
  <c r="H115" i="11" s="1"/>
  <c r="I115" i="11" s="1"/>
  <c r="F115" i="11"/>
  <c r="E80" i="11"/>
  <c r="B39" i="11"/>
  <c r="B38" i="11"/>
  <c r="B37" i="11"/>
  <c r="B36" i="11"/>
  <c r="B35" i="11"/>
  <c r="V28" i="11"/>
  <c r="U28" i="11"/>
  <c r="T28" i="11"/>
  <c r="S28" i="11"/>
  <c r="R28" i="11"/>
  <c r="Q28" i="11"/>
  <c r="P28" i="11"/>
  <c r="O28" i="11"/>
  <c r="N28" i="11"/>
  <c r="E25" i="11"/>
  <c r="D25" i="11"/>
  <c r="H13" i="11"/>
  <c r="M11" i="11"/>
  <c r="H11" i="11"/>
  <c r="H14" i="11" s="1"/>
  <c r="D10" i="11"/>
  <c r="C10" i="11" a="1"/>
  <c r="C10" i="11" s="1"/>
  <c r="B7" i="11"/>
  <c r="B3" i="11"/>
  <c r="G261" i="11" l="1"/>
  <c r="G262" i="11" s="1"/>
  <c r="G264" i="11" s="1"/>
  <c r="F261" i="11"/>
  <c r="F262" i="11" s="1"/>
  <c r="F264" i="11" s="1"/>
  <c r="I261" i="11"/>
  <c r="I262" i="11" s="1"/>
  <c r="I264" i="11" s="1"/>
  <c r="H261" i="11"/>
  <c r="H262" i="11" s="1"/>
  <c r="H264" i="11" s="1"/>
  <c r="H254" i="11"/>
  <c r="H255" i="11" s="1"/>
  <c r="I252" i="11"/>
  <c r="J252" i="11" s="1"/>
  <c r="J254" i="11" s="1"/>
  <c r="J255" i="11" s="1"/>
  <c r="M10" i="11"/>
  <c r="H10" i="11"/>
  <c r="H15" i="11" s="1"/>
  <c r="R250" i="11"/>
  <c r="R251" i="11"/>
  <c r="R246" i="11"/>
  <c r="R249" i="11"/>
  <c r="R248" i="11"/>
  <c r="R245" i="11"/>
  <c r="R247" i="11"/>
  <c r="G254" i="11"/>
  <c r="G255" i="11" s="1"/>
  <c r="F25" i="11"/>
  <c r="F247" i="11"/>
  <c r="F249" i="11" s="1"/>
  <c r="F256" i="11" s="1"/>
  <c r="E279" i="11" s="1"/>
  <c r="E249" i="11"/>
  <c r="E256" i="11" s="1"/>
  <c r="D279" i="11" s="1"/>
  <c r="D281" i="11" s="1"/>
  <c r="I249" i="11"/>
  <c r="I256" i="11" s="1"/>
  <c r="F274" i="11"/>
  <c r="F280" i="11" s="1"/>
  <c r="D275" i="11"/>
  <c r="H275" i="11"/>
  <c r="G275" i="11"/>
  <c r="J249" i="11"/>
  <c r="J256" i="11" s="1"/>
  <c r="E275" i="11"/>
  <c r="I275" i="11"/>
  <c r="R242" i="11"/>
  <c r="S251" i="11" s="1"/>
  <c r="I274" i="11"/>
  <c r="I280" i="11" s="1"/>
  <c r="E281" i="11" l="1"/>
  <c r="F279" i="11"/>
  <c r="G279" i="11" s="1"/>
  <c r="G281" i="11" s="1"/>
  <c r="F281" i="11"/>
  <c r="I254" i="11"/>
  <c r="I255" i="11" s="1"/>
  <c r="H279" i="11"/>
  <c r="H281" i="11" s="1"/>
  <c r="G25" i="11"/>
  <c r="I279" i="11" l="1"/>
  <c r="I281" i="11" s="1"/>
  <c r="H25" i="11"/>
  <c r="I25" i="11" l="1"/>
  <c r="J25" i="11" l="1"/>
  <c r="K25" i="11" l="1"/>
  <c r="L25" i="11" l="1"/>
  <c r="M25" i="11" l="1"/>
  <c r="N25" i="11" s="1"/>
  <c r="O25" i="11" s="1"/>
  <c r="P25" i="11" s="1"/>
  <c r="Q25" i="11" s="1"/>
  <c r="R25" i="11" s="1"/>
  <c r="S25" i="11" s="1"/>
  <c r="T25" i="11" s="1"/>
  <c r="U25" i="11" s="1"/>
  <c r="V25" i="11" s="1"/>
  <c r="H16" i="7" l="1"/>
  <c r="H8" i="8"/>
  <c r="H7" i="8"/>
  <c r="F7" i="8"/>
  <c r="A132" i="9"/>
  <c r="A131" i="9"/>
  <c r="A130" i="9"/>
  <c r="A129" i="9"/>
  <c r="A128" i="9"/>
  <c r="A127" i="9"/>
  <c r="I116" i="9"/>
  <c r="H116" i="9"/>
  <c r="G116" i="9"/>
  <c r="C116" i="9"/>
  <c r="I110" i="9"/>
  <c r="H110" i="9"/>
  <c r="G110" i="9"/>
  <c r="AW86" i="9"/>
  <c r="AV86" i="9"/>
  <c r="AU86" i="9"/>
  <c r="AS86" i="9"/>
  <c r="AR86" i="9"/>
  <c r="AQ86" i="9"/>
  <c r="AP86" i="9"/>
  <c r="AN86" i="9"/>
  <c r="AM86" i="9"/>
  <c r="AL86" i="9"/>
  <c r="AK86" i="9"/>
  <c r="AI86" i="9"/>
  <c r="AH86" i="9"/>
  <c r="AG86" i="9"/>
  <c r="AF86" i="9"/>
  <c r="AD86" i="9"/>
  <c r="AC86" i="9"/>
  <c r="AB86" i="9"/>
  <c r="AA86" i="9"/>
  <c r="Y86" i="9"/>
  <c r="X86" i="9"/>
  <c r="W86" i="9"/>
  <c r="V86" i="9"/>
  <c r="T86" i="9"/>
  <c r="S86" i="9"/>
  <c r="R86" i="9"/>
  <c r="Q86" i="9"/>
  <c r="O86" i="9"/>
  <c r="N86" i="9"/>
  <c r="M86" i="9"/>
  <c r="L86" i="9"/>
  <c r="J86" i="9"/>
  <c r="I86" i="9"/>
  <c r="H86" i="9"/>
  <c r="G86" i="9"/>
  <c r="F86" i="9"/>
  <c r="E86" i="9"/>
  <c r="D86" i="9"/>
  <c r="C86" i="9"/>
  <c r="AW81" i="9"/>
  <c r="AV81" i="9"/>
  <c r="AU81" i="9"/>
  <c r="AS81" i="9"/>
  <c r="AR81" i="9"/>
  <c r="AQ81" i="9"/>
  <c r="AP81" i="9"/>
  <c r="AN81" i="9"/>
  <c r="AW80" i="9"/>
  <c r="AV80" i="9"/>
  <c r="AU80" i="9"/>
  <c r="AS80" i="9"/>
  <c r="AR80" i="9"/>
  <c r="AQ80" i="9"/>
  <c r="AP80" i="9"/>
  <c r="AN80" i="9"/>
  <c r="AW79" i="9"/>
  <c r="AV79" i="9"/>
  <c r="AU79" i="9"/>
  <c r="AS79" i="9"/>
  <c r="AR79" i="9"/>
  <c r="AQ79" i="9"/>
  <c r="AP79" i="9"/>
  <c r="AN79" i="9"/>
  <c r="AW77" i="9"/>
  <c r="AV77" i="9"/>
  <c r="AU77" i="9"/>
  <c r="AS77" i="9"/>
  <c r="AR77" i="9"/>
  <c r="AQ77" i="9"/>
  <c r="AP77" i="9"/>
  <c r="AN77" i="9"/>
  <c r="A77" i="9"/>
  <c r="AW76" i="9"/>
  <c r="AV76" i="9"/>
  <c r="AU76" i="9"/>
  <c r="AS76" i="9"/>
  <c r="AR76" i="9"/>
  <c r="AQ76" i="9"/>
  <c r="AP76" i="9"/>
  <c r="AN76" i="9"/>
  <c r="A76" i="9"/>
  <c r="A74" i="9"/>
  <c r="A72" i="9"/>
  <c r="A71" i="9"/>
  <c r="A68" i="9"/>
  <c r="A67" i="9"/>
  <c r="A66" i="9"/>
  <c r="A65" i="9"/>
  <c r="A64" i="9"/>
  <c r="A61" i="9"/>
  <c r="A60" i="9"/>
  <c r="A55" i="9"/>
  <c r="AW54" i="9"/>
  <c r="AV54" i="9"/>
  <c r="AU54" i="9"/>
  <c r="AS54" i="9"/>
  <c r="AR54" i="9"/>
  <c r="AQ54" i="9"/>
  <c r="AP54" i="9"/>
  <c r="AN54" i="9"/>
  <c r="AM54" i="9"/>
  <c r="AL54" i="9"/>
  <c r="AK54" i="9"/>
  <c r="AJ54" i="9"/>
  <c r="AI54" i="9"/>
  <c r="AH54" i="9"/>
  <c r="AG54" i="9"/>
  <c r="AF54" i="9"/>
  <c r="AE54" i="9"/>
  <c r="AD54" i="9"/>
  <c r="AC54" i="9"/>
  <c r="AB54" i="9"/>
  <c r="AA54" i="9"/>
  <c r="Z54" i="9"/>
  <c r="Y54" i="9"/>
  <c r="X54" i="9"/>
  <c r="W54" i="9"/>
  <c r="V54" i="9"/>
  <c r="U54" i="9"/>
  <c r="T54" i="9"/>
  <c r="S54" i="9"/>
  <c r="R54" i="9"/>
  <c r="Q54" i="9"/>
  <c r="P54" i="9"/>
  <c r="O54" i="9"/>
  <c r="N54" i="9"/>
  <c r="M54" i="9"/>
  <c r="L54" i="9"/>
  <c r="K54" i="9"/>
  <c r="J54" i="9"/>
  <c r="I54" i="9"/>
  <c r="H54" i="9"/>
  <c r="G54" i="9"/>
  <c r="F54" i="9"/>
  <c r="E54" i="9"/>
  <c r="D54" i="9"/>
  <c r="C54" i="9"/>
  <c r="A54" i="9"/>
  <c r="AW53" i="9"/>
  <c r="AV53" i="9"/>
  <c r="AU53" i="9"/>
  <c r="AS53" i="9"/>
  <c r="AR53" i="9"/>
  <c r="AQ53" i="9"/>
  <c r="AP53" i="9"/>
  <c r="AN53" i="9"/>
  <c r="AM53" i="9"/>
  <c r="AL53" i="9"/>
  <c r="AK53" i="9"/>
  <c r="AJ53" i="9"/>
  <c r="AI53" i="9"/>
  <c r="AH53" i="9"/>
  <c r="AG53" i="9"/>
  <c r="AF53" i="9"/>
  <c r="AE53" i="9"/>
  <c r="AD53" i="9"/>
  <c r="AC53" i="9"/>
  <c r="AB53" i="9"/>
  <c r="AA53" i="9"/>
  <c r="Z53" i="9"/>
  <c r="Y53" i="9"/>
  <c r="X53" i="9"/>
  <c r="W53" i="9"/>
  <c r="V53" i="9"/>
  <c r="U53" i="9"/>
  <c r="T53" i="9"/>
  <c r="S53" i="9"/>
  <c r="R53" i="9"/>
  <c r="Q53" i="9"/>
  <c r="P53" i="9"/>
  <c r="O53" i="9"/>
  <c r="N53" i="9"/>
  <c r="M53" i="9"/>
  <c r="L53" i="9"/>
  <c r="K53" i="9"/>
  <c r="J53" i="9"/>
  <c r="I53" i="9"/>
  <c r="H53" i="9"/>
  <c r="G53" i="9"/>
  <c r="F53" i="9"/>
  <c r="E53" i="9"/>
  <c r="D53" i="9"/>
  <c r="C53" i="9"/>
  <c r="A53" i="9"/>
  <c r="AW52" i="9"/>
  <c r="AV52" i="9"/>
  <c r="AU52" i="9"/>
  <c r="AS52" i="9"/>
  <c r="AR52" i="9"/>
  <c r="AQ52" i="9"/>
  <c r="AP52" i="9"/>
  <c r="AN52" i="9"/>
  <c r="AM52" i="9"/>
  <c r="AL52" i="9"/>
  <c r="AK52" i="9"/>
  <c r="AJ52" i="9"/>
  <c r="AI52" i="9"/>
  <c r="AH52" i="9"/>
  <c r="AG52" i="9"/>
  <c r="AF52" i="9"/>
  <c r="AE52" i="9"/>
  <c r="AD52" i="9"/>
  <c r="AC52" i="9"/>
  <c r="AB52" i="9"/>
  <c r="AA52" i="9"/>
  <c r="Z52" i="9"/>
  <c r="Y52" i="9"/>
  <c r="X52" i="9"/>
  <c r="W52" i="9"/>
  <c r="V52" i="9"/>
  <c r="U52" i="9"/>
  <c r="T52" i="9"/>
  <c r="S52" i="9"/>
  <c r="R52" i="9"/>
  <c r="Q52" i="9"/>
  <c r="P52" i="9"/>
  <c r="O52" i="9"/>
  <c r="N52" i="9"/>
  <c r="M52" i="9"/>
  <c r="L52" i="9"/>
  <c r="K52" i="9"/>
  <c r="J52" i="9"/>
  <c r="I52" i="9"/>
  <c r="H52" i="9"/>
  <c r="G52" i="9"/>
  <c r="F52" i="9"/>
  <c r="E52" i="9"/>
  <c r="D52" i="9"/>
  <c r="C52" i="9"/>
  <c r="A52" i="9"/>
  <c r="A50" i="9"/>
  <c r="AW49" i="9"/>
  <c r="AV49" i="9"/>
  <c r="AU49" i="9"/>
  <c r="AS49" i="9"/>
  <c r="AR49" i="9"/>
  <c r="AQ49" i="9"/>
  <c r="AP49" i="9"/>
  <c r="AN49" i="9"/>
  <c r="A48" i="9"/>
  <c r="A47" i="9"/>
  <c r="A46" i="9"/>
  <c r="A45" i="9"/>
  <c r="A44" i="9"/>
  <c r="A43" i="9"/>
  <c r="A42" i="9"/>
  <c r="A41" i="9"/>
  <c r="A40" i="9"/>
  <c r="AW37" i="9"/>
  <c r="AV37" i="9"/>
  <c r="AU37" i="9"/>
  <c r="AS37" i="9"/>
  <c r="AR37" i="9"/>
  <c r="AQ37" i="9"/>
  <c r="AP37" i="9"/>
  <c r="AN37" i="9"/>
  <c r="Y37" i="9"/>
  <c r="X37" i="9"/>
  <c r="W37" i="9"/>
  <c r="V37" i="9"/>
  <c r="U37" i="9"/>
  <c r="T37" i="9"/>
  <c r="S37" i="9"/>
  <c r="R37" i="9"/>
  <c r="Q37" i="9"/>
  <c r="P37" i="9"/>
  <c r="O37" i="9"/>
  <c r="N37" i="9"/>
  <c r="M37" i="9"/>
  <c r="L37" i="9"/>
  <c r="K37" i="9"/>
  <c r="J37" i="9"/>
  <c r="I37" i="9"/>
  <c r="H37" i="9"/>
  <c r="G37" i="9"/>
  <c r="F37" i="9"/>
  <c r="E37" i="9"/>
  <c r="D37" i="9"/>
  <c r="C37" i="9"/>
  <c r="A37" i="9"/>
  <c r="AW36" i="9"/>
  <c r="AV36" i="9"/>
  <c r="AU36" i="9"/>
  <c r="AS36" i="9"/>
  <c r="AR36" i="9"/>
  <c r="AQ36" i="9"/>
  <c r="AP36" i="9"/>
  <c r="AN36" i="9"/>
  <c r="Y36" i="9"/>
  <c r="X36" i="9"/>
  <c r="W36" i="9"/>
  <c r="V36" i="9"/>
  <c r="U36" i="9"/>
  <c r="T36" i="9"/>
  <c r="S36" i="9"/>
  <c r="R36" i="9"/>
  <c r="Q36" i="9"/>
  <c r="P36" i="9"/>
  <c r="O36" i="9"/>
  <c r="N36" i="9"/>
  <c r="M36" i="9"/>
  <c r="L36" i="9"/>
  <c r="K36" i="9"/>
  <c r="J36" i="9"/>
  <c r="I36" i="9"/>
  <c r="H36" i="9"/>
  <c r="G36" i="9"/>
  <c r="F36" i="9"/>
  <c r="E36" i="9"/>
  <c r="D36" i="9"/>
  <c r="C36" i="9"/>
  <c r="A36" i="9"/>
  <c r="A34" i="9"/>
  <c r="Y32" i="9"/>
  <c r="X32" i="9"/>
  <c r="W32" i="9"/>
  <c r="V32" i="9"/>
  <c r="U32" i="9"/>
  <c r="T32" i="9"/>
  <c r="S32" i="9"/>
  <c r="R32" i="9"/>
  <c r="Q32" i="9"/>
  <c r="P32" i="9"/>
  <c r="O32" i="9"/>
  <c r="N32" i="9"/>
  <c r="M32" i="9"/>
  <c r="L32" i="9"/>
  <c r="K32" i="9"/>
  <c r="J32" i="9"/>
  <c r="I32" i="9"/>
  <c r="H32" i="9"/>
  <c r="G32" i="9"/>
  <c r="F32" i="9"/>
  <c r="E32" i="9"/>
  <c r="D32" i="9"/>
  <c r="C32" i="9"/>
  <c r="A32" i="9"/>
  <c r="Y31" i="9"/>
  <c r="X31" i="9"/>
  <c r="W31" i="9"/>
  <c r="V31" i="9"/>
  <c r="U31" i="9"/>
  <c r="T31" i="9"/>
  <c r="S31" i="9"/>
  <c r="R31" i="9"/>
  <c r="Q31" i="9"/>
  <c r="P31" i="9"/>
  <c r="O31" i="9"/>
  <c r="N31" i="9"/>
  <c r="M31" i="9"/>
  <c r="L31" i="9"/>
  <c r="K31" i="9"/>
  <c r="J31" i="9"/>
  <c r="I31" i="9"/>
  <c r="H31" i="9"/>
  <c r="G31" i="9"/>
  <c r="F31" i="9"/>
  <c r="E31" i="9"/>
  <c r="D31" i="9"/>
  <c r="C31" i="9"/>
  <c r="A31" i="9"/>
  <c r="AM30" i="9"/>
  <c r="AL30" i="9"/>
  <c r="AK30" i="9"/>
  <c r="AJ30" i="9"/>
  <c r="AH30" i="9"/>
  <c r="AG30" i="9"/>
  <c r="AF30" i="9"/>
  <c r="AE30" i="9"/>
  <c r="AC30" i="9"/>
  <c r="AB30" i="9"/>
  <c r="AA30" i="9"/>
  <c r="Z30" i="9"/>
  <c r="Y30" i="9"/>
  <c r="X30" i="9"/>
  <c r="W30" i="9"/>
  <c r="V30" i="9"/>
  <c r="U30" i="9"/>
  <c r="T30" i="9"/>
  <c r="S30" i="9"/>
  <c r="R30" i="9"/>
  <c r="Q30" i="9"/>
  <c r="P30" i="9"/>
  <c r="O30" i="9"/>
  <c r="N30" i="9"/>
  <c r="M30" i="9"/>
  <c r="L30" i="9"/>
  <c r="K30" i="9"/>
  <c r="J30" i="9"/>
  <c r="I30" i="9"/>
  <c r="H30" i="9"/>
  <c r="G30" i="9"/>
  <c r="F30" i="9"/>
  <c r="E30" i="9"/>
  <c r="D30" i="9"/>
  <c r="C30" i="9"/>
  <c r="A30" i="9"/>
  <c r="AM29" i="9"/>
  <c r="AL29" i="9"/>
  <c r="AK29" i="9"/>
  <c r="AJ29" i="9"/>
  <c r="AH29" i="9"/>
  <c r="AG29" i="9"/>
  <c r="AF29" i="9"/>
  <c r="AE29" i="9"/>
  <c r="AC29" i="9"/>
  <c r="AB29" i="9"/>
  <c r="AA29" i="9"/>
  <c r="Z29" i="9"/>
  <c r="Y29" i="9"/>
  <c r="X29" i="9"/>
  <c r="W29" i="9"/>
  <c r="V29" i="9"/>
  <c r="U29" i="9"/>
  <c r="T29" i="9"/>
  <c r="S29" i="9"/>
  <c r="R29" i="9"/>
  <c r="Q29" i="9"/>
  <c r="P29" i="9"/>
  <c r="O29" i="9"/>
  <c r="N29" i="9"/>
  <c r="M29" i="9"/>
  <c r="L29" i="9"/>
  <c r="K29" i="9"/>
  <c r="J29" i="9"/>
  <c r="I29" i="9"/>
  <c r="H29" i="9"/>
  <c r="G29" i="9"/>
  <c r="F29" i="9"/>
  <c r="E29" i="9"/>
  <c r="D29" i="9"/>
  <c r="C29" i="9"/>
  <c r="A29" i="9"/>
  <c r="Y28" i="9"/>
  <c r="X28" i="9"/>
  <c r="W28" i="9"/>
  <c r="V28" i="9"/>
  <c r="U28" i="9"/>
  <c r="T28" i="9"/>
  <c r="S28" i="9"/>
  <c r="R28" i="9"/>
  <c r="Q28" i="9"/>
  <c r="P28" i="9"/>
  <c r="O28" i="9"/>
  <c r="N28" i="9"/>
  <c r="M28" i="9"/>
  <c r="L28" i="9"/>
  <c r="K28" i="9"/>
  <c r="J28" i="9"/>
  <c r="I28" i="9"/>
  <c r="H28" i="9"/>
  <c r="G28" i="9"/>
  <c r="F28" i="9"/>
  <c r="E28" i="9"/>
  <c r="D28" i="9"/>
  <c r="C28" i="9"/>
  <c r="A28" i="9"/>
  <c r="AM27" i="9"/>
  <c r="AL27" i="9"/>
  <c r="AK27" i="9"/>
  <c r="AJ27" i="9"/>
  <c r="AH27" i="9"/>
  <c r="AG27" i="9"/>
  <c r="AF27" i="9"/>
  <c r="AE27" i="9"/>
  <c r="AC27" i="9"/>
  <c r="AB27" i="9"/>
  <c r="AA27" i="9"/>
  <c r="Z27" i="9"/>
  <c r="Y27" i="9"/>
  <c r="X27" i="9"/>
  <c r="W27" i="9"/>
  <c r="V27" i="9"/>
  <c r="U27" i="9"/>
  <c r="T27" i="9"/>
  <c r="S27" i="9"/>
  <c r="R27" i="9"/>
  <c r="Q27" i="9"/>
  <c r="P27" i="9"/>
  <c r="O27" i="9"/>
  <c r="N27" i="9"/>
  <c r="M27" i="9"/>
  <c r="L27" i="9"/>
  <c r="K27" i="9"/>
  <c r="J27" i="9"/>
  <c r="I27" i="9"/>
  <c r="H27" i="9"/>
  <c r="G27" i="9"/>
  <c r="F27" i="9"/>
  <c r="E27" i="9"/>
  <c r="D27" i="9"/>
  <c r="C27" i="9"/>
  <c r="A27" i="9"/>
  <c r="AM26" i="9"/>
  <c r="AL26" i="9"/>
  <c r="AK26" i="9"/>
  <c r="AJ26" i="9"/>
  <c r="AH26" i="9"/>
  <c r="AG26" i="9"/>
  <c r="AF26" i="9"/>
  <c r="AE26" i="9"/>
  <c r="AC26" i="9"/>
  <c r="AB26" i="9"/>
  <c r="AA26" i="9"/>
  <c r="Z26" i="9"/>
  <c r="Y26" i="9"/>
  <c r="X26" i="9"/>
  <c r="W26" i="9"/>
  <c r="V26" i="9"/>
  <c r="U26" i="9"/>
  <c r="T26" i="9"/>
  <c r="S26" i="9"/>
  <c r="R26" i="9"/>
  <c r="Q26" i="9"/>
  <c r="P26" i="9"/>
  <c r="O26" i="9"/>
  <c r="N26" i="9"/>
  <c r="M26" i="9"/>
  <c r="L26" i="9"/>
  <c r="K26" i="9"/>
  <c r="J26" i="9"/>
  <c r="I26" i="9"/>
  <c r="H26" i="9"/>
  <c r="G26" i="9"/>
  <c r="F26" i="9"/>
  <c r="E26" i="9"/>
  <c r="D26" i="9"/>
  <c r="C26" i="9"/>
  <c r="A26" i="9"/>
  <c r="AM25" i="9"/>
  <c r="AL25" i="9"/>
  <c r="AK25" i="9"/>
  <c r="AJ25" i="9"/>
  <c r="AH25" i="9"/>
  <c r="AG25" i="9"/>
  <c r="AF25" i="9"/>
  <c r="AE25" i="9"/>
  <c r="AC25" i="9"/>
  <c r="AB25" i="9"/>
  <c r="AA25" i="9"/>
  <c r="Z25" i="9"/>
  <c r="Y25" i="9"/>
  <c r="X25" i="9"/>
  <c r="W25" i="9"/>
  <c r="V25" i="9"/>
  <c r="U25" i="9"/>
  <c r="T25" i="9"/>
  <c r="S25" i="9"/>
  <c r="R25" i="9"/>
  <c r="Q25" i="9"/>
  <c r="P25" i="9"/>
  <c r="O25" i="9"/>
  <c r="N25" i="9"/>
  <c r="M25" i="9"/>
  <c r="L25" i="9"/>
  <c r="K25" i="9"/>
  <c r="J25" i="9"/>
  <c r="I25" i="9"/>
  <c r="H25" i="9"/>
  <c r="G25" i="9"/>
  <c r="F25" i="9"/>
  <c r="E25" i="9"/>
  <c r="D25" i="9"/>
  <c r="C25" i="9"/>
  <c r="A25" i="9"/>
  <c r="AM24" i="9"/>
  <c r="AL24" i="9"/>
  <c r="AK24" i="9"/>
  <c r="AJ24" i="9"/>
  <c r="AH24" i="9"/>
  <c r="AG24" i="9"/>
  <c r="AF24" i="9"/>
  <c r="AE24" i="9"/>
  <c r="AC24" i="9"/>
  <c r="AB24" i="9"/>
  <c r="AA24" i="9"/>
  <c r="Z24" i="9"/>
  <c r="Y24" i="9"/>
  <c r="X24" i="9"/>
  <c r="W24" i="9"/>
  <c r="V24" i="9"/>
  <c r="U24" i="9"/>
  <c r="T24" i="9"/>
  <c r="S24" i="9"/>
  <c r="R24" i="9"/>
  <c r="Q24" i="9"/>
  <c r="P24" i="9"/>
  <c r="O24" i="9"/>
  <c r="N24" i="9"/>
  <c r="M24" i="9"/>
  <c r="L24" i="9"/>
  <c r="K24" i="9"/>
  <c r="J24" i="9"/>
  <c r="I24" i="9"/>
  <c r="H24" i="9"/>
  <c r="G24" i="9"/>
  <c r="F24" i="9"/>
  <c r="E24" i="9"/>
  <c r="D24" i="9"/>
  <c r="C24" i="9"/>
  <c r="A24" i="9"/>
  <c r="J22" i="9"/>
  <c r="I22" i="9"/>
  <c r="H22" i="9"/>
  <c r="G22" i="9"/>
  <c r="C22" i="9"/>
  <c r="A22" i="9"/>
  <c r="AD21" i="9"/>
  <c r="AC21" i="9"/>
  <c r="AB21" i="9"/>
  <c r="AA21" i="9"/>
  <c r="Z21" i="9"/>
  <c r="Y21" i="9"/>
  <c r="X21" i="9"/>
  <c r="W21" i="9"/>
  <c r="V21" i="9"/>
  <c r="U21" i="9"/>
  <c r="T21" i="9"/>
  <c r="S21" i="9"/>
  <c r="R21" i="9"/>
  <c r="Q21" i="9"/>
  <c r="P21" i="9"/>
  <c r="O21" i="9"/>
  <c r="N21" i="9"/>
  <c r="M21" i="9"/>
  <c r="L21" i="9"/>
  <c r="K21" i="9"/>
  <c r="J21" i="9"/>
  <c r="I21" i="9"/>
  <c r="H21" i="9"/>
  <c r="G21" i="9"/>
  <c r="F21" i="9"/>
  <c r="E21" i="9"/>
  <c r="D21" i="9"/>
  <c r="C21" i="9"/>
  <c r="A21" i="9"/>
  <c r="AW20" i="9"/>
  <c r="AV20" i="9"/>
  <c r="AU20" i="9"/>
  <c r="AS20" i="9"/>
  <c r="AR20" i="9"/>
  <c r="AQ20" i="9"/>
  <c r="AP20" i="9"/>
  <c r="AN20" i="9"/>
  <c r="AD20" i="9"/>
  <c r="AC20" i="9"/>
  <c r="AB20" i="9"/>
  <c r="AA20" i="9"/>
  <c r="Z20" i="9"/>
  <c r="Y20" i="9"/>
  <c r="X20" i="9"/>
  <c r="W20" i="9"/>
  <c r="V20" i="9"/>
  <c r="U20" i="9"/>
  <c r="T20" i="9"/>
  <c r="S20" i="9"/>
  <c r="R20" i="9"/>
  <c r="Q20" i="9"/>
  <c r="P20" i="9"/>
  <c r="O20" i="9"/>
  <c r="N20" i="9"/>
  <c r="M20" i="9"/>
  <c r="L20" i="9"/>
  <c r="K20" i="9"/>
  <c r="J20" i="9"/>
  <c r="I20" i="9"/>
  <c r="H20" i="9"/>
  <c r="G20" i="9"/>
  <c r="F20" i="9"/>
  <c r="E20" i="9"/>
  <c r="D20" i="9"/>
  <c r="C20" i="9"/>
  <c r="A20" i="9"/>
  <c r="AW19" i="9"/>
  <c r="AV19" i="9"/>
  <c r="AU19" i="9"/>
  <c r="AS19" i="9"/>
  <c r="AR19" i="9"/>
  <c r="AQ19" i="9"/>
  <c r="AP19" i="9"/>
  <c r="AN19" i="9"/>
  <c r="AD19" i="9"/>
  <c r="AC19" i="9"/>
  <c r="AB19" i="9"/>
  <c r="AA19" i="9"/>
  <c r="Z19" i="9"/>
  <c r="Y19" i="9"/>
  <c r="X19" i="9"/>
  <c r="W19" i="9"/>
  <c r="V19" i="9"/>
  <c r="U19" i="9"/>
  <c r="T19" i="9"/>
  <c r="S19" i="9"/>
  <c r="R19" i="9"/>
  <c r="Q19" i="9"/>
  <c r="P19" i="9"/>
  <c r="O19" i="9"/>
  <c r="N19" i="9"/>
  <c r="M19" i="9"/>
  <c r="L19" i="9"/>
  <c r="K19" i="9"/>
  <c r="J19" i="9"/>
  <c r="I19" i="9"/>
  <c r="H19" i="9"/>
  <c r="G19" i="9"/>
  <c r="F19" i="9"/>
  <c r="E19" i="9"/>
  <c r="D19" i="9"/>
  <c r="C19" i="9"/>
  <c r="A19" i="9"/>
  <c r="AD18" i="9"/>
  <c r="AC18" i="9"/>
  <c r="AB18" i="9"/>
  <c r="AA18" i="9"/>
  <c r="Z18" i="9"/>
  <c r="Y18" i="9"/>
  <c r="X18" i="9"/>
  <c r="W18" i="9"/>
  <c r="V18" i="9"/>
  <c r="U18" i="9"/>
  <c r="T18" i="9"/>
  <c r="S18" i="9"/>
  <c r="R18" i="9"/>
  <c r="Q18" i="9"/>
  <c r="P18" i="9"/>
  <c r="O18" i="9"/>
  <c r="N18" i="9"/>
  <c r="M18" i="9"/>
  <c r="L18" i="9"/>
  <c r="K18" i="9"/>
  <c r="J18" i="9"/>
  <c r="I18" i="9"/>
  <c r="H18" i="9"/>
  <c r="G18" i="9"/>
  <c r="F18" i="9"/>
  <c r="E18" i="9"/>
  <c r="D18" i="9"/>
  <c r="C18" i="9"/>
  <c r="A18" i="9"/>
  <c r="AW17" i="9"/>
  <c r="AV17" i="9"/>
  <c r="AU17" i="9"/>
  <c r="AS17" i="9"/>
  <c r="AR17" i="9"/>
  <c r="AQ17" i="9"/>
  <c r="AP17" i="9"/>
  <c r="AN17" i="9"/>
  <c r="AD17" i="9"/>
  <c r="AC17" i="9"/>
  <c r="AB17" i="9"/>
  <c r="AA17" i="9"/>
  <c r="Z17" i="9"/>
  <c r="Y17" i="9"/>
  <c r="X17" i="9"/>
  <c r="W17" i="9"/>
  <c r="V17" i="9"/>
  <c r="U17" i="9"/>
  <c r="T17" i="9"/>
  <c r="S17" i="9"/>
  <c r="R17" i="9"/>
  <c r="Q17" i="9"/>
  <c r="P17" i="9"/>
  <c r="O17" i="9"/>
  <c r="N17" i="9"/>
  <c r="M17" i="9"/>
  <c r="L17" i="9"/>
  <c r="K17" i="9"/>
  <c r="J17" i="9"/>
  <c r="I17" i="9"/>
  <c r="H17" i="9"/>
  <c r="G17" i="9"/>
  <c r="F17" i="9"/>
  <c r="E17" i="9"/>
  <c r="D17" i="9"/>
  <c r="C17" i="9"/>
  <c r="A17" i="9"/>
  <c r="AW16" i="9"/>
  <c r="AV16" i="9"/>
  <c r="AU16" i="9"/>
  <c r="AS16" i="9"/>
  <c r="AR16" i="9"/>
  <c r="AQ16" i="9"/>
  <c r="AP16" i="9"/>
  <c r="AN16" i="9"/>
  <c r="AD16" i="9"/>
  <c r="AC16" i="9"/>
  <c r="AB16" i="9"/>
  <c r="AA16" i="9"/>
  <c r="Z16" i="9"/>
  <c r="Y16" i="9"/>
  <c r="X16" i="9"/>
  <c r="W16" i="9"/>
  <c r="V16" i="9"/>
  <c r="U16" i="9"/>
  <c r="T16" i="9"/>
  <c r="S16" i="9"/>
  <c r="R16" i="9"/>
  <c r="Q16" i="9"/>
  <c r="P16" i="9"/>
  <c r="O16" i="9"/>
  <c r="N16" i="9"/>
  <c r="M16" i="9"/>
  <c r="L16" i="9"/>
  <c r="K16" i="9"/>
  <c r="J16" i="9"/>
  <c r="I16" i="9"/>
  <c r="H16" i="9"/>
  <c r="G16" i="9"/>
  <c r="F16" i="9"/>
  <c r="E16" i="9"/>
  <c r="D16" i="9"/>
  <c r="C16" i="9"/>
  <c r="A16" i="9"/>
  <c r="AW15" i="9"/>
  <c r="AV15" i="9"/>
  <c r="AU15" i="9"/>
  <c r="AS15" i="9"/>
  <c r="AR15" i="9"/>
  <c r="AQ15" i="9"/>
  <c r="AP15" i="9"/>
  <c r="AN15" i="9"/>
  <c r="AD15" i="9"/>
  <c r="AC15" i="9"/>
  <c r="AB15" i="9"/>
  <c r="AA15" i="9"/>
  <c r="Z15" i="9"/>
  <c r="Y15" i="9"/>
  <c r="X15" i="9"/>
  <c r="W15" i="9"/>
  <c r="V15" i="9"/>
  <c r="U15" i="9"/>
  <c r="T15" i="9"/>
  <c r="S15" i="9"/>
  <c r="R15" i="9"/>
  <c r="Q15" i="9"/>
  <c r="P15" i="9"/>
  <c r="O15" i="9"/>
  <c r="N15" i="9"/>
  <c r="M15" i="9"/>
  <c r="L15" i="9"/>
  <c r="K15" i="9"/>
  <c r="J15" i="9"/>
  <c r="I15" i="9"/>
  <c r="H15" i="9"/>
  <c r="G15" i="9"/>
  <c r="F15" i="9"/>
  <c r="E15" i="9"/>
  <c r="D15" i="9"/>
  <c r="C15" i="9"/>
  <c r="A15" i="9"/>
  <c r="AW14" i="9"/>
  <c r="AV14" i="9"/>
  <c r="AU14" i="9"/>
  <c r="AS14" i="9"/>
  <c r="AR14" i="9"/>
  <c r="AQ14" i="9"/>
  <c r="AP14" i="9"/>
  <c r="AN14" i="9"/>
  <c r="AD14" i="9"/>
  <c r="AC14" i="9"/>
  <c r="AB14" i="9"/>
  <c r="AA14" i="9"/>
  <c r="Z14" i="9"/>
  <c r="Y14" i="9"/>
  <c r="X14" i="9"/>
  <c r="W14" i="9"/>
  <c r="V14" i="9"/>
  <c r="U14" i="9"/>
  <c r="T14" i="9"/>
  <c r="S14" i="9"/>
  <c r="R14" i="9"/>
  <c r="Q14" i="9"/>
  <c r="P14" i="9"/>
  <c r="O14" i="9"/>
  <c r="N14" i="9"/>
  <c r="M14" i="9"/>
  <c r="L14" i="9"/>
  <c r="K14" i="9"/>
  <c r="J14" i="9"/>
  <c r="I14" i="9"/>
  <c r="H14" i="9"/>
  <c r="G14" i="9"/>
  <c r="F14" i="9"/>
  <c r="E14" i="9"/>
  <c r="D14" i="9"/>
  <c r="C14" i="9"/>
  <c r="A14" i="9"/>
  <c r="A11" i="9"/>
  <c r="A8" i="9"/>
  <c r="A7" i="9"/>
  <c r="A6" i="9"/>
  <c r="AM5" i="9"/>
  <c r="AL5" i="9"/>
  <c r="AK5" i="9"/>
  <c r="AJ5" i="9"/>
  <c r="AI5" i="9"/>
  <c r="AH5" i="9"/>
  <c r="AG5" i="9"/>
  <c r="AF5" i="9"/>
  <c r="AE5" i="9"/>
  <c r="AD5" i="9"/>
  <c r="AC5" i="9"/>
  <c r="AB5" i="9"/>
  <c r="AA5" i="9"/>
  <c r="Z5" i="9"/>
  <c r="Y5" i="9"/>
  <c r="X5" i="9"/>
  <c r="W5" i="9"/>
  <c r="V5" i="9"/>
  <c r="U5" i="9"/>
  <c r="T5" i="9"/>
  <c r="S5" i="9"/>
  <c r="R5" i="9"/>
  <c r="Q5" i="9"/>
  <c r="P5" i="9"/>
  <c r="O5" i="9"/>
  <c r="N5" i="9"/>
  <c r="M5" i="9"/>
  <c r="L5" i="9"/>
  <c r="K5" i="9"/>
  <c r="J5" i="9"/>
  <c r="I5" i="9"/>
  <c r="H5" i="9"/>
  <c r="G5" i="9"/>
  <c r="F5" i="9"/>
  <c r="E5" i="9"/>
  <c r="D5" i="9"/>
  <c r="A5" i="9"/>
  <c r="A4" i="9"/>
  <c r="C2" i="9"/>
  <c r="C1" i="9"/>
  <c r="A1" i="9"/>
  <c r="J31" i="10"/>
  <c r="J30" i="10"/>
  <c r="J28" i="10"/>
  <c r="J27" i="10"/>
  <c r="J25" i="10"/>
  <c r="J24" i="10"/>
  <c r="J22" i="10"/>
  <c r="J21" i="10"/>
  <c r="J19" i="10"/>
  <c r="J18" i="10"/>
  <c r="J16" i="10"/>
  <c r="J15" i="10"/>
  <c r="J13" i="10"/>
  <c r="J12" i="10"/>
  <c r="J10" i="10"/>
  <c r="J9" i="10"/>
  <c r="J7" i="10"/>
  <c r="J6" i="10"/>
  <c r="F2" i="10"/>
  <c r="B1" i="10"/>
  <c r="B731" i="1"/>
  <c r="B730" i="1"/>
  <c r="B721" i="1"/>
  <c r="B720" i="1"/>
  <c r="B719" i="1"/>
  <c r="AW715" i="1"/>
  <c r="AV715" i="1"/>
  <c r="AU715" i="1"/>
  <c r="AT715" i="1"/>
  <c r="AS715" i="1"/>
  <c r="AR715" i="1"/>
  <c r="AQ715" i="1"/>
  <c r="AP715" i="1"/>
  <c r="AO715" i="1"/>
  <c r="AN715" i="1"/>
  <c r="AM715" i="1"/>
  <c r="AL715" i="1"/>
  <c r="AK715" i="1"/>
  <c r="AJ715" i="1"/>
  <c r="AI715" i="1"/>
  <c r="AH715" i="1"/>
  <c r="AG715" i="1"/>
  <c r="AF715" i="1"/>
  <c r="AE715" i="1"/>
  <c r="AD715" i="1"/>
  <c r="AC715" i="1"/>
  <c r="AB715" i="1"/>
  <c r="AA715" i="1"/>
  <c r="Z715" i="1"/>
  <c r="Y715" i="1"/>
  <c r="X715" i="1"/>
  <c r="W715" i="1"/>
  <c r="V715" i="1"/>
  <c r="U715" i="1"/>
  <c r="T715" i="1"/>
  <c r="S715" i="1"/>
  <c r="R715" i="1"/>
  <c r="Q715" i="1"/>
  <c r="P715" i="1"/>
  <c r="O715" i="1"/>
  <c r="N715" i="1"/>
  <c r="M715" i="1"/>
  <c r="L715" i="1"/>
  <c r="K715" i="1"/>
  <c r="J715" i="1"/>
  <c r="I715" i="1"/>
  <c r="H715" i="1"/>
  <c r="G715" i="1"/>
  <c r="F715" i="1"/>
  <c r="E715" i="1"/>
  <c r="D715" i="1"/>
  <c r="C715" i="1"/>
  <c r="AW711" i="1"/>
  <c r="AV711" i="1"/>
  <c r="AU711" i="1"/>
  <c r="AT711" i="1"/>
  <c r="AS711" i="1"/>
  <c r="AR711" i="1"/>
  <c r="AQ711" i="1"/>
  <c r="AP711" i="1"/>
  <c r="AO711" i="1"/>
  <c r="AN711" i="1"/>
  <c r="AW708" i="1"/>
  <c r="AV708" i="1"/>
  <c r="AU708" i="1"/>
  <c r="AT708" i="1"/>
  <c r="AS708" i="1"/>
  <c r="AR708" i="1"/>
  <c r="AQ708" i="1"/>
  <c r="AP708" i="1"/>
  <c r="AO708" i="1"/>
  <c r="AN708" i="1"/>
  <c r="AM708" i="1"/>
  <c r="AL708" i="1"/>
  <c r="AK708" i="1"/>
  <c r="AJ708" i="1"/>
  <c r="AI708" i="1"/>
  <c r="AH708" i="1"/>
  <c r="AG708" i="1"/>
  <c r="AF708" i="1"/>
  <c r="AE708" i="1"/>
  <c r="AD708" i="1"/>
  <c r="AC708" i="1"/>
  <c r="AB708" i="1"/>
  <c r="AA708" i="1"/>
  <c r="Z708" i="1"/>
  <c r="Y708" i="1"/>
  <c r="X708" i="1"/>
  <c r="W708" i="1"/>
  <c r="V708" i="1"/>
  <c r="U708" i="1"/>
  <c r="T708" i="1"/>
  <c r="S708" i="1"/>
  <c r="R708" i="1"/>
  <c r="Q708" i="1"/>
  <c r="P708" i="1"/>
  <c r="O708" i="1"/>
  <c r="N708" i="1"/>
  <c r="M708" i="1"/>
  <c r="L708" i="1"/>
  <c r="K708" i="1"/>
  <c r="J708" i="1"/>
  <c r="I708" i="1"/>
  <c r="H708" i="1"/>
  <c r="G708" i="1"/>
  <c r="F708" i="1"/>
  <c r="E708" i="1"/>
  <c r="D708" i="1"/>
  <c r="C708" i="1"/>
  <c r="AW706" i="1"/>
  <c r="AV706" i="1"/>
  <c r="AU706" i="1"/>
  <c r="AT706" i="1"/>
  <c r="AS706" i="1"/>
  <c r="AR706" i="1"/>
  <c r="AQ706" i="1"/>
  <c r="AP706" i="1"/>
  <c r="AO706" i="1"/>
  <c r="AN706" i="1"/>
  <c r="AM706" i="1"/>
  <c r="AL706" i="1"/>
  <c r="AK706" i="1"/>
  <c r="AJ706" i="1"/>
  <c r="AI706" i="1"/>
  <c r="AH706" i="1"/>
  <c r="AG706" i="1"/>
  <c r="AF706" i="1"/>
  <c r="AE706" i="1"/>
  <c r="AD706" i="1"/>
  <c r="AC706" i="1"/>
  <c r="AB706" i="1"/>
  <c r="AA706" i="1"/>
  <c r="Z706" i="1"/>
  <c r="Y706" i="1"/>
  <c r="X706" i="1"/>
  <c r="W706" i="1"/>
  <c r="V706" i="1"/>
  <c r="U706" i="1"/>
  <c r="T706" i="1"/>
  <c r="S706" i="1"/>
  <c r="R706" i="1"/>
  <c r="Q706" i="1"/>
  <c r="P706" i="1"/>
  <c r="O706" i="1"/>
  <c r="N706" i="1"/>
  <c r="M706" i="1"/>
  <c r="L706" i="1"/>
  <c r="K706" i="1"/>
  <c r="J706" i="1"/>
  <c r="I706" i="1"/>
  <c r="H706" i="1"/>
  <c r="G706" i="1"/>
  <c r="F706" i="1"/>
  <c r="E706" i="1"/>
  <c r="D706" i="1"/>
  <c r="C706" i="1"/>
  <c r="AW701" i="1"/>
  <c r="AV701" i="1"/>
  <c r="AU701" i="1"/>
  <c r="AT701" i="1"/>
  <c r="AS701" i="1"/>
  <c r="AR701" i="1"/>
  <c r="AQ701" i="1"/>
  <c r="AP701" i="1"/>
  <c r="AO701" i="1"/>
  <c r="AN701" i="1"/>
  <c r="AM701" i="1"/>
  <c r="AL701" i="1"/>
  <c r="AK701" i="1"/>
  <c r="AJ701" i="1"/>
  <c r="AI701" i="1"/>
  <c r="AH701" i="1"/>
  <c r="AG701" i="1"/>
  <c r="AF701" i="1"/>
  <c r="AE701" i="1"/>
  <c r="AD701" i="1"/>
  <c r="AC701" i="1"/>
  <c r="AB701" i="1"/>
  <c r="AA701" i="1"/>
  <c r="Z701" i="1"/>
  <c r="Y701" i="1"/>
  <c r="X701" i="1"/>
  <c r="W701" i="1"/>
  <c r="V701" i="1"/>
  <c r="U701" i="1"/>
  <c r="T701" i="1"/>
  <c r="S701" i="1"/>
  <c r="R701" i="1"/>
  <c r="Q701" i="1"/>
  <c r="P701" i="1"/>
  <c r="O701" i="1"/>
  <c r="N701" i="1"/>
  <c r="M701" i="1"/>
  <c r="L701" i="1"/>
  <c r="K701" i="1"/>
  <c r="J701" i="1"/>
  <c r="I701" i="1"/>
  <c r="H701" i="1"/>
  <c r="G701" i="1"/>
  <c r="F701" i="1"/>
  <c r="E701" i="1"/>
  <c r="D701" i="1"/>
  <c r="C701" i="1"/>
  <c r="AW699" i="1"/>
  <c r="AV699" i="1"/>
  <c r="AU699" i="1"/>
  <c r="AT699" i="1"/>
  <c r="AS699" i="1"/>
  <c r="AR699" i="1"/>
  <c r="AQ699" i="1"/>
  <c r="AP699" i="1"/>
  <c r="AO699" i="1"/>
  <c r="AN699" i="1"/>
  <c r="AM699" i="1"/>
  <c r="AL699" i="1"/>
  <c r="AK699" i="1"/>
  <c r="AJ699" i="1"/>
  <c r="AI699" i="1"/>
  <c r="AH699" i="1"/>
  <c r="AG699" i="1"/>
  <c r="AF699" i="1"/>
  <c r="AE699" i="1"/>
  <c r="AD699" i="1"/>
  <c r="AC699" i="1"/>
  <c r="AB699" i="1"/>
  <c r="AA699" i="1"/>
  <c r="Z699" i="1"/>
  <c r="Y699" i="1"/>
  <c r="X699" i="1"/>
  <c r="W699" i="1"/>
  <c r="V699" i="1"/>
  <c r="U699" i="1"/>
  <c r="T699" i="1"/>
  <c r="S699" i="1"/>
  <c r="R699" i="1"/>
  <c r="Q699" i="1"/>
  <c r="P699" i="1"/>
  <c r="O699" i="1"/>
  <c r="N699" i="1"/>
  <c r="M699" i="1"/>
  <c r="L699" i="1"/>
  <c r="K699" i="1"/>
  <c r="J699" i="1"/>
  <c r="I699" i="1"/>
  <c r="H699" i="1"/>
  <c r="G699" i="1"/>
  <c r="F699" i="1"/>
  <c r="E699" i="1"/>
  <c r="D699" i="1"/>
  <c r="C699" i="1"/>
  <c r="AW694" i="1"/>
  <c r="AV694" i="1"/>
  <c r="AU694" i="1"/>
  <c r="AT694" i="1"/>
  <c r="AS694" i="1"/>
  <c r="AR694" i="1"/>
  <c r="AQ694" i="1"/>
  <c r="AP694" i="1"/>
  <c r="AO694" i="1"/>
  <c r="AN694" i="1"/>
  <c r="AM694" i="1"/>
  <c r="AL694" i="1"/>
  <c r="AK694" i="1"/>
  <c r="AJ694" i="1"/>
  <c r="AI694" i="1"/>
  <c r="AH694" i="1"/>
  <c r="AG694" i="1"/>
  <c r="AF694" i="1"/>
  <c r="AE694" i="1"/>
  <c r="AD694" i="1"/>
  <c r="AC694" i="1"/>
  <c r="AB694" i="1"/>
  <c r="AA694" i="1"/>
  <c r="Z694" i="1"/>
  <c r="Y694" i="1"/>
  <c r="X694" i="1"/>
  <c r="W694" i="1"/>
  <c r="V694" i="1"/>
  <c r="U694" i="1"/>
  <c r="T694" i="1"/>
  <c r="S694" i="1"/>
  <c r="R694" i="1"/>
  <c r="Q694" i="1"/>
  <c r="P694" i="1"/>
  <c r="O694" i="1"/>
  <c r="N694" i="1"/>
  <c r="M694" i="1"/>
  <c r="L694" i="1"/>
  <c r="K694" i="1"/>
  <c r="J694" i="1"/>
  <c r="I694" i="1"/>
  <c r="H694" i="1"/>
  <c r="G694" i="1"/>
  <c r="F694" i="1"/>
  <c r="E694" i="1"/>
  <c r="D694" i="1"/>
  <c r="C694" i="1"/>
  <c r="AW692" i="1"/>
  <c r="AV692" i="1"/>
  <c r="AU692" i="1"/>
  <c r="AT692" i="1"/>
  <c r="AS692" i="1"/>
  <c r="AR692" i="1"/>
  <c r="AQ692" i="1"/>
  <c r="AP692" i="1"/>
  <c r="AO692" i="1"/>
  <c r="AN692" i="1"/>
  <c r="AM692" i="1"/>
  <c r="AL692" i="1"/>
  <c r="AK692" i="1"/>
  <c r="AJ692" i="1"/>
  <c r="AI692" i="1"/>
  <c r="AH692" i="1"/>
  <c r="AG692" i="1"/>
  <c r="AF692" i="1"/>
  <c r="AE692" i="1"/>
  <c r="AD692" i="1"/>
  <c r="AC692" i="1"/>
  <c r="AB692" i="1"/>
  <c r="AA692" i="1"/>
  <c r="Z692" i="1"/>
  <c r="Y692" i="1"/>
  <c r="X692" i="1"/>
  <c r="W692" i="1"/>
  <c r="V692" i="1"/>
  <c r="U692" i="1"/>
  <c r="T692" i="1"/>
  <c r="S692" i="1"/>
  <c r="R692" i="1"/>
  <c r="Q692" i="1"/>
  <c r="P692" i="1"/>
  <c r="O692" i="1"/>
  <c r="N692" i="1"/>
  <c r="M692" i="1"/>
  <c r="L692" i="1"/>
  <c r="K692" i="1"/>
  <c r="J692" i="1"/>
  <c r="I692" i="1"/>
  <c r="H692" i="1"/>
  <c r="G692" i="1"/>
  <c r="F692" i="1"/>
  <c r="E692" i="1"/>
  <c r="D692" i="1"/>
  <c r="C692" i="1"/>
  <c r="AW688" i="1"/>
  <c r="AV688" i="1"/>
  <c r="AU688" i="1"/>
  <c r="AT688" i="1"/>
  <c r="AS688" i="1"/>
  <c r="AR688" i="1"/>
  <c r="AQ688" i="1"/>
  <c r="AP688" i="1"/>
  <c r="AO688" i="1"/>
  <c r="AN688" i="1"/>
  <c r="AM688" i="1"/>
  <c r="AL688" i="1"/>
  <c r="AK688" i="1"/>
  <c r="AJ688" i="1"/>
  <c r="AI688" i="1"/>
  <c r="AH688" i="1"/>
  <c r="AG688" i="1"/>
  <c r="AF688" i="1"/>
  <c r="AE688" i="1"/>
  <c r="AD688" i="1"/>
  <c r="AC688" i="1"/>
  <c r="AB688" i="1"/>
  <c r="AA688" i="1"/>
  <c r="Z688" i="1"/>
  <c r="Y688" i="1"/>
  <c r="X688" i="1"/>
  <c r="W688" i="1"/>
  <c r="V688" i="1"/>
  <c r="U688" i="1"/>
  <c r="T688" i="1"/>
  <c r="S688" i="1"/>
  <c r="R688" i="1"/>
  <c r="Q688" i="1"/>
  <c r="P688" i="1"/>
  <c r="O688" i="1"/>
  <c r="N688" i="1"/>
  <c r="M688" i="1"/>
  <c r="L688" i="1"/>
  <c r="K688" i="1"/>
  <c r="J688" i="1"/>
  <c r="I688" i="1"/>
  <c r="H688" i="1"/>
  <c r="G688" i="1"/>
  <c r="F688" i="1"/>
  <c r="E688" i="1"/>
  <c r="D688" i="1"/>
  <c r="C688" i="1"/>
  <c r="A669" i="1"/>
  <c r="A667" i="1"/>
  <c r="AW642" i="1"/>
  <c r="AV642" i="1"/>
  <c r="AU642" i="1"/>
  <c r="AT642" i="1"/>
  <c r="AS642" i="1"/>
  <c r="AR642" i="1"/>
  <c r="AQ642" i="1"/>
  <c r="AP642" i="1"/>
  <c r="AO642" i="1"/>
  <c r="AN642" i="1"/>
  <c r="AM642" i="1"/>
  <c r="AL642" i="1"/>
  <c r="AK642" i="1"/>
  <c r="AJ642" i="1"/>
  <c r="AI642" i="1"/>
  <c r="AH642" i="1"/>
  <c r="AG642" i="1"/>
  <c r="AF642" i="1"/>
  <c r="AE642" i="1"/>
  <c r="AD642" i="1"/>
  <c r="AC642" i="1"/>
  <c r="AB642" i="1"/>
  <c r="AA642" i="1"/>
  <c r="Z642" i="1"/>
  <c r="Y642" i="1"/>
  <c r="X642" i="1"/>
  <c r="W642" i="1"/>
  <c r="V642" i="1"/>
  <c r="U642" i="1"/>
  <c r="T642" i="1"/>
  <c r="S642" i="1"/>
  <c r="R642" i="1"/>
  <c r="Q642" i="1"/>
  <c r="P642" i="1"/>
  <c r="O642" i="1"/>
  <c r="N642" i="1"/>
  <c r="M642" i="1"/>
  <c r="L642" i="1"/>
  <c r="K642" i="1"/>
  <c r="J642" i="1"/>
  <c r="I642" i="1"/>
  <c r="H642" i="1"/>
  <c r="G642" i="1"/>
  <c r="F642" i="1"/>
  <c r="E642" i="1"/>
  <c r="AT641" i="1"/>
  <c r="AO641" i="1"/>
  <c r="AW640" i="1"/>
  <c r="AV640" i="1"/>
  <c r="AU640" i="1"/>
  <c r="AT640" i="1"/>
  <c r="AS640" i="1"/>
  <c r="AR640" i="1"/>
  <c r="AQ640" i="1"/>
  <c r="AP640" i="1"/>
  <c r="AO640" i="1"/>
  <c r="AN640" i="1"/>
  <c r="AW638" i="1"/>
  <c r="AV638" i="1"/>
  <c r="AU638" i="1"/>
  <c r="AT638" i="1"/>
  <c r="AS638" i="1"/>
  <c r="AR638" i="1"/>
  <c r="AQ638" i="1"/>
  <c r="AP638" i="1"/>
  <c r="AO638" i="1"/>
  <c r="AN638" i="1"/>
  <c r="Y634" i="1"/>
  <c r="X634" i="1"/>
  <c r="W634" i="1"/>
  <c r="V634" i="1"/>
  <c r="U634" i="1"/>
  <c r="T634" i="1"/>
  <c r="S634" i="1"/>
  <c r="R634" i="1"/>
  <c r="Q634" i="1"/>
  <c r="P634" i="1"/>
  <c r="O634" i="1"/>
  <c r="N634" i="1"/>
  <c r="M634" i="1"/>
  <c r="L634" i="1"/>
  <c r="K634" i="1"/>
  <c r="J634" i="1"/>
  <c r="I634" i="1"/>
  <c r="H634" i="1"/>
  <c r="G634" i="1"/>
  <c r="F634" i="1"/>
  <c r="E634" i="1"/>
  <c r="D634" i="1"/>
  <c r="C634" i="1"/>
  <c r="AW631" i="1"/>
  <c r="AV631" i="1"/>
  <c r="AU631" i="1"/>
  <c r="AT631" i="1"/>
  <c r="AS631" i="1"/>
  <c r="AR631" i="1"/>
  <c r="AQ631" i="1"/>
  <c r="AP631" i="1"/>
  <c r="AO631" i="1"/>
  <c r="AN631" i="1"/>
  <c r="AW630" i="1"/>
  <c r="AV630" i="1"/>
  <c r="AU630" i="1"/>
  <c r="AT630" i="1"/>
  <c r="AS630" i="1"/>
  <c r="AR630" i="1"/>
  <c r="AQ630" i="1"/>
  <c r="AP630" i="1"/>
  <c r="AO630" i="1"/>
  <c r="AN630" i="1"/>
  <c r="AN624" i="1"/>
  <c r="AO624" i="1" s="1"/>
  <c r="AP624" i="1" s="1"/>
  <c r="AQ624" i="1" s="1"/>
  <c r="AR624" i="1" s="1"/>
  <c r="AS624" i="1" s="1"/>
  <c r="AT624" i="1" s="1"/>
  <c r="AU624" i="1" s="1"/>
  <c r="AV624" i="1" s="1"/>
  <c r="AW624" i="1" s="1"/>
  <c r="AI624" i="1"/>
  <c r="AD624" i="1"/>
  <c r="Y624" i="1"/>
  <c r="T624" i="1"/>
  <c r="O624" i="1"/>
  <c r="J624" i="1"/>
  <c r="AM623" i="1"/>
  <c r="AM100" i="9" s="1"/>
  <c r="AL623" i="1"/>
  <c r="AL100" i="9" s="1"/>
  <c r="AK623" i="1"/>
  <c r="AK100" i="9" s="1"/>
  <c r="AJ623" i="1"/>
  <c r="AJ100" i="9" s="1"/>
  <c r="AH623" i="1"/>
  <c r="AH100" i="9" s="1"/>
  <c r="AG623" i="1"/>
  <c r="AG100" i="9" s="1"/>
  <c r="AF623" i="1"/>
  <c r="AF100" i="9" s="1"/>
  <c r="AE623" i="1"/>
  <c r="AE100" i="9" s="1"/>
  <c r="AC623" i="1"/>
  <c r="AC100" i="9" s="1"/>
  <c r="AB623" i="1"/>
  <c r="AB100" i="9" s="1"/>
  <c r="AA623" i="1"/>
  <c r="AA100" i="9" s="1"/>
  <c r="Z623" i="1"/>
  <c r="Z100" i="9" s="1"/>
  <c r="X623" i="1"/>
  <c r="X100" i="9" s="1"/>
  <c r="W623" i="1"/>
  <c r="W100" i="9" s="1"/>
  <c r="V623" i="1"/>
  <c r="V100" i="9" s="1"/>
  <c r="U623" i="1"/>
  <c r="U100" i="9" s="1"/>
  <c r="S623" i="1"/>
  <c r="S100" i="9" s="1"/>
  <c r="R623" i="1"/>
  <c r="R100" i="9" s="1"/>
  <c r="Q623" i="1"/>
  <c r="Q100" i="9" s="1"/>
  <c r="P623" i="1"/>
  <c r="P100" i="9" s="1"/>
  <c r="N623" i="1"/>
  <c r="N100" i="9" s="1"/>
  <c r="M623" i="1"/>
  <c r="M100" i="9" s="1"/>
  <c r="L623" i="1"/>
  <c r="L100" i="9" s="1"/>
  <c r="K623" i="1"/>
  <c r="K100" i="9" s="1"/>
  <c r="I623" i="1"/>
  <c r="I100" i="9" s="1"/>
  <c r="H623" i="1"/>
  <c r="H100" i="9" s="1"/>
  <c r="G623" i="1"/>
  <c r="G100" i="9" s="1"/>
  <c r="F623" i="1"/>
  <c r="F100" i="9" s="1"/>
  <c r="E623" i="1"/>
  <c r="E100" i="9" s="1"/>
  <c r="D623" i="1"/>
  <c r="D100" i="9" s="1"/>
  <c r="C623" i="1"/>
  <c r="C100" i="9" s="1"/>
  <c r="AI622" i="1"/>
  <c r="AD622" i="1"/>
  <c r="Y622" i="1"/>
  <c r="T622" i="1"/>
  <c r="O622" i="1"/>
  <c r="J622" i="1"/>
  <c r="AN621" i="1"/>
  <c r="AO621" i="1" s="1"/>
  <c r="AP621" i="1" s="1"/>
  <c r="AQ621" i="1" s="1"/>
  <c r="AR621" i="1" s="1"/>
  <c r="AS621" i="1" s="1"/>
  <c r="AT621" i="1" s="1"/>
  <c r="AU621" i="1" s="1"/>
  <c r="AV621" i="1" s="1"/>
  <c r="AW621" i="1" s="1"/>
  <c r="AI621" i="1"/>
  <c r="AD621" i="1"/>
  <c r="Y621" i="1"/>
  <c r="T621" i="1"/>
  <c r="O621" i="1"/>
  <c r="J621" i="1"/>
  <c r="AI620" i="1"/>
  <c r="AD620" i="1"/>
  <c r="Y620" i="1"/>
  <c r="T620" i="1"/>
  <c r="O620" i="1"/>
  <c r="J620" i="1"/>
  <c r="AO619" i="1"/>
  <c r="AN619" i="1"/>
  <c r="AI619" i="1"/>
  <c r="AI623" i="1" s="1"/>
  <c r="AD619" i="1"/>
  <c r="AD623" i="1" s="1"/>
  <c r="AD100" i="9" s="1"/>
  <c r="Y619" i="1"/>
  <c r="Y623" i="1" s="1"/>
  <c r="T619" i="1"/>
  <c r="O619" i="1"/>
  <c r="O623" i="1" s="1"/>
  <c r="J619" i="1"/>
  <c r="J623" i="1" s="1"/>
  <c r="J100" i="9" s="1"/>
  <c r="AK616" i="1"/>
  <c r="U616" i="1"/>
  <c r="Q616" i="1"/>
  <c r="M616" i="1"/>
  <c r="AM615" i="1"/>
  <c r="AL615" i="1"/>
  <c r="AK615" i="1"/>
  <c r="AJ615" i="1"/>
  <c r="AH615" i="1"/>
  <c r="AG615" i="1"/>
  <c r="AG616" i="1" s="1"/>
  <c r="AF615" i="1"/>
  <c r="AE615" i="1"/>
  <c r="AC615" i="1"/>
  <c r="AB615" i="1"/>
  <c r="AA615" i="1"/>
  <c r="Z615" i="1"/>
  <c r="X615" i="1"/>
  <c r="W615" i="1"/>
  <c r="V615" i="1"/>
  <c r="U615" i="1"/>
  <c r="S615" i="1"/>
  <c r="R615" i="1"/>
  <c r="Q615" i="1"/>
  <c r="P615" i="1"/>
  <c r="N615" i="1"/>
  <c r="M615" i="1"/>
  <c r="L615" i="1"/>
  <c r="K615" i="1"/>
  <c r="I615" i="1"/>
  <c r="H615" i="1"/>
  <c r="G615" i="1"/>
  <c r="F615" i="1"/>
  <c r="E615" i="1"/>
  <c r="D615" i="1"/>
  <c r="C615" i="1"/>
  <c r="AN614" i="1"/>
  <c r="AO614" i="1" s="1"/>
  <c r="AP614" i="1" s="1"/>
  <c r="AQ614" i="1" s="1"/>
  <c r="AR614" i="1" s="1"/>
  <c r="AS614" i="1" s="1"/>
  <c r="AT614" i="1" s="1"/>
  <c r="AU614" i="1" s="1"/>
  <c r="AV614" i="1" s="1"/>
  <c r="AW614" i="1" s="1"/>
  <c r="AI614" i="1"/>
  <c r="AD614" i="1"/>
  <c r="Y614" i="1"/>
  <c r="T614" i="1"/>
  <c r="T615" i="1" s="1"/>
  <c r="O614" i="1"/>
  <c r="J614" i="1"/>
  <c r="AQ613" i="1"/>
  <c r="AR613" i="1" s="1"/>
  <c r="AS613" i="1" s="1"/>
  <c r="AT613" i="1" s="1"/>
  <c r="AU613" i="1" s="1"/>
  <c r="AN613" i="1"/>
  <c r="AO613" i="1" s="1"/>
  <c r="AP613" i="1" s="1"/>
  <c r="AI613" i="1"/>
  <c r="AD613" i="1"/>
  <c r="Y613" i="1"/>
  <c r="T613" i="1"/>
  <c r="O613" i="1"/>
  <c r="J613" i="1"/>
  <c r="AI612" i="1"/>
  <c r="AD612" i="1"/>
  <c r="Y612" i="1"/>
  <c r="T612" i="1"/>
  <c r="O612" i="1"/>
  <c r="J612" i="1"/>
  <c r="AQ611" i="1"/>
  <c r="AR611" i="1" s="1"/>
  <c r="AS611" i="1" s="1"/>
  <c r="AT611" i="1" s="1"/>
  <c r="AU611" i="1" s="1"/>
  <c r="AV611" i="1" s="1"/>
  <c r="AW611" i="1" s="1"/>
  <c r="AN611" i="1"/>
  <c r="AO611" i="1" s="1"/>
  <c r="AP611" i="1" s="1"/>
  <c r="AI611" i="1"/>
  <c r="AD611" i="1"/>
  <c r="Y611" i="1"/>
  <c r="T611" i="1"/>
  <c r="O611" i="1"/>
  <c r="J611" i="1"/>
  <c r="AN610" i="1"/>
  <c r="AO610" i="1" s="1"/>
  <c r="AP610" i="1" s="1"/>
  <c r="AQ610" i="1" s="1"/>
  <c r="AR610" i="1" s="1"/>
  <c r="AS610" i="1" s="1"/>
  <c r="AT610" i="1" s="1"/>
  <c r="AU610" i="1" s="1"/>
  <c r="AV610" i="1" s="1"/>
  <c r="AW610" i="1" s="1"/>
  <c r="AI610" i="1"/>
  <c r="AD610" i="1"/>
  <c r="Y610" i="1"/>
  <c r="T610" i="1"/>
  <c r="O610" i="1"/>
  <c r="J610" i="1"/>
  <c r="AN609" i="1"/>
  <c r="AO609" i="1" s="1"/>
  <c r="AI609" i="1"/>
  <c r="AD609" i="1"/>
  <c r="Y609" i="1"/>
  <c r="Y615" i="1" s="1"/>
  <c r="T609" i="1"/>
  <c r="O609" i="1"/>
  <c r="J609" i="1"/>
  <c r="AM606" i="1"/>
  <c r="AL606" i="1"/>
  <c r="AL114" i="9" s="1"/>
  <c r="AK606" i="1"/>
  <c r="AK114" i="9" s="1"/>
  <c r="AJ606" i="1"/>
  <c r="AJ114" i="9" s="1"/>
  <c r="AH606" i="1"/>
  <c r="AH114" i="9" s="1"/>
  <c r="AG606" i="1"/>
  <c r="AG114" i="9" s="1"/>
  <c r="AF606" i="1"/>
  <c r="AF114" i="9" s="1"/>
  <c r="AE606" i="1"/>
  <c r="AC606" i="1"/>
  <c r="AC114" i="9" s="1"/>
  <c r="AB606" i="1"/>
  <c r="AB114" i="9" s="1"/>
  <c r="AA606" i="1"/>
  <c r="Z606" i="1"/>
  <c r="Z114" i="9" s="1"/>
  <c r="X606" i="1"/>
  <c r="X114" i="9" s="1"/>
  <c r="W606" i="1"/>
  <c r="V606" i="1"/>
  <c r="V114" i="9" s="1"/>
  <c r="U606" i="1"/>
  <c r="U114" i="9" s="1"/>
  <c r="S606" i="1"/>
  <c r="R606" i="1"/>
  <c r="R114" i="9" s="1"/>
  <c r="Q606" i="1"/>
  <c r="Q114" i="9" s="1"/>
  <c r="P606" i="1"/>
  <c r="P114" i="9" s="1"/>
  <c r="N606" i="1"/>
  <c r="N114" i="9" s="1"/>
  <c r="M606" i="1"/>
  <c r="M114" i="9" s="1"/>
  <c r="L606" i="1"/>
  <c r="L114" i="9" s="1"/>
  <c r="K606" i="1"/>
  <c r="I606" i="1"/>
  <c r="I114" i="9" s="1"/>
  <c r="H606" i="1"/>
  <c r="G606" i="1"/>
  <c r="F606" i="1"/>
  <c r="E606" i="1"/>
  <c r="E114" i="9" s="1"/>
  <c r="D606" i="1"/>
  <c r="C606" i="1"/>
  <c r="AI605" i="1"/>
  <c r="AD605" i="1"/>
  <c r="AD553" i="1" s="1"/>
  <c r="Y605" i="1"/>
  <c r="T605" i="1"/>
  <c r="O605" i="1"/>
  <c r="J605" i="1"/>
  <c r="J553" i="1" s="1"/>
  <c r="AN604" i="1"/>
  <c r="AO604" i="1" s="1"/>
  <c r="AP604" i="1" s="1"/>
  <c r="AQ604" i="1" s="1"/>
  <c r="AR604" i="1" s="1"/>
  <c r="AS604" i="1" s="1"/>
  <c r="AT604" i="1" s="1"/>
  <c r="AU604" i="1" s="1"/>
  <c r="AV604" i="1" s="1"/>
  <c r="AW604" i="1" s="1"/>
  <c r="AI604" i="1"/>
  <c r="AD604" i="1"/>
  <c r="Y604" i="1"/>
  <c r="T604" i="1"/>
  <c r="O604" i="1"/>
  <c r="J604" i="1"/>
  <c r="AN603" i="1"/>
  <c r="AO603" i="1" s="1"/>
  <c r="AP603" i="1" s="1"/>
  <c r="AQ603" i="1" s="1"/>
  <c r="AR603" i="1" s="1"/>
  <c r="AS603" i="1" s="1"/>
  <c r="AT603" i="1" s="1"/>
  <c r="AU603" i="1" s="1"/>
  <c r="AV603" i="1" s="1"/>
  <c r="AW603" i="1" s="1"/>
  <c r="AI603" i="1"/>
  <c r="AD603" i="1"/>
  <c r="Y603" i="1"/>
  <c r="T603" i="1"/>
  <c r="O603" i="1"/>
  <c r="J603" i="1"/>
  <c r="AN602" i="1"/>
  <c r="AO602" i="1" s="1"/>
  <c r="AP602" i="1" s="1"/>
  <c r="AQ602" i="1" s="1"/>
  <c r="AR602" i="1" s="1"/>
  <c r="AS602" i="1" s="1"/>
  <c r="AT602" i="1" s="1"/>
  <c r="AU602" i="1" s="1"/>
  <c r="AV602" i="1" s="1"/>
  <c r="AW602" i="1" s="1"/>
  <c r="AI602" i="1"/>
  <c r="AD602" i="1"/>
  <c r="Y602" i="1"/>
  <c r="T602" i="1"/>
  <c r="O602" i="1"/>
  <c r="J602" i="1"/>
  <c r="AI601" i="1"/>
  <c r="AD601" i="1"/>
  <c r="Y601" i="1"/>
  <c r="Y552" i="1" s="1"/>
  <c r="T601" i="1"/>
  <c r="O601" i="1"/>
  <c r="J601" i="1"/>
  <c r="AN600" i="1"/>
  <c r="AO600" i="1" s="1"/>
  <c r="AP600" i="1" s="1"/>
  <c r="AQ600" i="1" s="1"/>
  <c r="AR600" i="1" s="1"/>
  <c r="AS600" i="1" s="1"/>
  <c r="AT600" i="1" s="1"/>
  <c r="AU600" i="1" s="1"/>
  <c r="AV600" i="1" s="1"/>
  <c r="AW600" i="1" s="1"/>
  <c r="AI600" i="1"/>
  <c r="AD600" i="1"/>
  <c r="Y600" i="1"/>
  <c r="T600" i="1"/>
  <c r="O600" i="1"/>
  <c r="J600" i="1"/>
  <c r="AI599" i="1"/>
  <c r="AD599" i="1"/>
  <c r="AD606" i="1" s="1"/>
  <c r="Y599" i="1"/>
  <c r="T599" i="1"/>
  <c r="O599" i="1"/>
  <c r="J599" i="1"/>
  <c r="J606" i="1" s="1"/>
  <c r="AN594" i="1"/>
  <c r="AO594" i="1" s="1"/>
  <c r="AP594" i="1" s="1"/>
  <c r="AQ594" i="1" s="1"/>
  <c r="AR594" i="1" s="1"/>
  <c r="AS594" i="1" s="1"/>
  <c r="AT594" i="1" s="1"/>
  <c r="AU594" i="1" s="1"/>
  <c r="AV594" i="1" s="1"/>
  <c r="AW594" i="1" s="1"/>
  <c r="AI594" i="1"/>
  <c r="AD594" i="1"/>
  <c r="Y594" i="1"/>
  <c r="T594" i="1"/>
  <c r="O594" i="1"/>
  <c r="J594" i="1"/>
  <c r="AN593" i="1"/>
  <c r="AO593" i="1" s="1"/>
  <c r="AP593" i="1" s="1"/>
  <c r="AQ593" i="1" s="1"/>
  <c r="AR593" i="1" s="1"/>
  <c r="AS593" i="1" s="1"/>
  <c r="AT593" i="1" s="1"/>
  <c r="AU593" i="1" s="1"/>
  <c r="AV593" i="1" s="1"/>
  <c r="AW593" i="1" s="1"/>
  <c r="AI593" i="1"/>
  <c r="AD593" i="1"/>
  <c r="Y593" i="1"/>
  <c r="T593" i="1"/>
  <c r="O593" i="1"/>
  <c r="J593" i="1"/>
  <c r="AN592" i="1"/>
  <c r="AO592" i="1" s="1"/>
  <c r="AP592" i="1" s="1"/>
  <c r="AQ592" i="1" s="1"/>
  <c r="AR592" i="1" s="1"/>
  <c r="AS592" i="1" s="1"/>
  <c r="AT592" i="1" s="1"/>
  <c r="AU592" i="1" s="1"/>
  <c r="AV592" i="1" s="1"/>
  <c r="AW592" i="1" s="1"/>
  <c r="AI592" i="1"/>
  <c r="AD592" i="1"/>
  <c r="Y592" i="1"/>
  <c r="T592" i="1"/>
  <c r="O592" i="1"/>
  <c r="J592" i="1"/>
  <c r="AM591" i="1"/>
  <c r="AM595" i="1" s="1"/>
  <c r="AL591" i="1"/>
  <c r="AL595" i="1" s="1"/>
  <c r="AK591" i="1"/>
  <c r="AK595" i="1" s="1"/>
  <c r="AJ591" i="1"/>
  <c r="AJ595" i="1" s="1"/>
  <c r="AH591" i="1"/>
  <c r="AH595" i="1" s="1"/>
  <c r="AG591" i="1"/>
  <c r="AG595" i="1" s="1"/>
  <c r="AF591" i="1"/>
  <c r="AF595" i="1" s="1"/>
  <c r="AE591" i="1"/>
  <c r="AE595" i="1" s="1"/>
  <c r="AC591" i="1"/>
  <c r="AC595" i="1" s="1"/>
  <c r="AB591" i="1"/>
  <c r="AB595" i="1" s="1"/>
  <c r="AA591" i="1"/>
  <c r="AA595" i="1" s="1"/>
  <c r="Z591" i="1"/>
  <c r="Z595" i="1" s="1"/>
  <c r="X591" i="1"/>
  <c r="X595" i="1" s="1"/>
  <c r="W591" i="1"/>
  <c r="W595" i="1" s="1"/>
  <c r="V591" i="1"/>
  <c r="V595" i="1" s="1"/>
  <c r="U591" i="1"/>
  <c r="U595" i="1" s="1"/>
  <c r="S591" i="1"/>
  <c r="S595" i="1" s="1"/>
  <c r="R591" i="1"/>
  <c r="R595" i="1" s="1"/>
  <c r="Q591" i="1"/>
  <c r="Q595" i="1" s="1"/>
  <c r="P591" i="1"/>
  <c r="P595" i="1" s="1"/>
  <c r="N591" i="1"/>
  <c r="N595" i="1" s="1"/>
  <c r="M591" i="1"/>
  <c r="M595" i="1" s="1"/>
  <c r="L591" i="1"/>
  <c r="L595" i="1" s="1"/>
  <c r="K591" i="1"/>
  <c r="K595" i="1" s="1"/>
  <c r="I591" i="1"/>
  <c r="I595" i="1" s="1"/>
  <c r="H591" i="1"/>
  <c r="H595" i="1" s="1"/>
  <c r="G591" i="1"/>
  <c r="G595" i="1" s="1"/>
  <c r="F591" i="1"/>
  <c r="F595" i="1" s="1"/>
  <c r="E591" i="1"/>
  <c r="E595" i="1" s="1"/>
  <c r="D591" i="1"/>
  <c r="D595" i="1" s="1"/>
  <c r="C591" i="1"/>
  <c r="C595" i="1" s="1"/>
  <c r="AI590" i="1"/>
  <c r="AD590" i="1"/>
  <c r="Y590" i="1"/>
  <c r="T590" i="1"/>
  <c r="O590" i="1"/>
  <c r="J590" i="1"/>
  <c r="AN589" i="1"/>
  <c r="AI589" i="1"/>
  <c r="AI591" i="1" s="1"/>
  <c r="AD589" i="1"/>
  <c r="AD591" i="1" s="1"/>
  <c r="Y589" i="1"/>
  <c r="T589" i="1"/>
  <c r="T591" i="1" s="1"/>
  <c r="O589" i="1"/>
  <c r="O591" i="1" s="1"/>
  <c r="J589" i="1"/>
  <c r="J591" i="1" s="1"/>
  <c r="AI588" i="1"/>
  <c r="AD588" i="1"/>
  <c r="Y588" i="1"/>
  <c r="T588" i="1"/>
  <c r="O588" i="1"/>
  <c r="J588" i="1"/>
  <c r="AN587" i="1"/>
  <c r="AO587" i="1" s="1"/>
  <c r="AP587" i="1" s="1"/>
  <c r="AQ587" i="1" s="1"/>
  <c r="AR587" i="1" s="1"/>
  <c r="AS587" i="1" s="1"/>
  <c r="AT587" i="1" s="1"/>
  <c r="AU587" i="1" s="1"/>
  <c r="AV587" i="1" s="1"/>
  <c r="AW587" i="1" s="1"/>
  <c r="AI587" i="1"/>
  <c r="AD587" i="1"/>
  <c r="Y587" i="1"/>
  <c r="T587" i="1"/>
  <c r="O587" i="1"/>
  <c r="J587" i="1"/>
  <c r="AI586" i="1"/>
  <c r="AI595" i="1" s="1"/>
  <c r="AD586" i="1"/>
  <c r="Y586" i="1"/>
  <c r="T586" i="1"/>
  <c r="O586" i="1"/>
  <c r="O595" i="1" s="1"/>
  <c r="J586" i="1"/>
  <c r="AM583" i="1"/>
  <c r="AM596" i="1" s="1"/>
  <c r="AL583" i="1"/>
  <c r="AK583" i="1"/>
  <c r="AK596" i="1" s="1"/>
  <c r="AJ583" i="1"/>
  <c r="AJ596" i="1" s="1"/>
  <c r="AH583" i="1"/>
  <c r="AH596" i="1" s="1"/>
  <c r="AG583" i="1"/>
  <c r="AF583" i="1"/>
  <c r="AF596" i="1" s="1"/>
  <c r="AE583" i="1"/>
  <c r="AE596" i="1" s="1"/>
  <c r="AC583" i="1"/>
  <c r="AC596" i="1" s="1"/>
  <c r="AB583" i="1"/>
  <c r="AA583" i="1"/>
  <c r="AA596" i="1" s="1"/>
  <c r="Z583" i="1"/>
  <c r="Z596" i="1" s="1"/>
  <c r="X583" i="1"/>
  <c r="X596" i="1" s="1"/>
  <c r="W583" i="1"/>
  <c r="V583" i="1"/>
  <c r="V596" i="1" s="1"/>
  <c r="U583" i="1"/>
  <c r="U596" i="1" s="1"/>
  <c r="S583" i="1"/>
  <c r="S596" i="1" s="1"/>
  <c r="R583" i="1"/>
  <c r="Q583" i="1"/>
  <c r="Q596" i="1" s="1"/>
  <c r="P583" i="1"/>
  <c r="P596" i="1" s="1"/>
  <c r="N583" i="1"/>
  <c r="N596" i="1" s="1"/>
  <c r="M583" i="1"/>
  <c r="L583" i="1"/>
  <c r="L596" i="1" s="1"/>
  <c r="K583" i="1"/>
  <c r="K596" i="1" s="1"/>
  <c r="I583" i="1"/>
  <c r="H583" i="1"/>
  <c r="G583" i="1"/>
  <c r="G596" i="1" s="1"/>
  <c r="F583" i="1"/>
  <c r="F596" i="1" s="1"/>
  <c r="E583" i="1"/>
  <c r="D583" i="1"/>
  <c r="C583" i="1"/>
  <c r="C596" i="1" s="1"/>
  <c r="AI582" i="1"/>
  <c r="AD582" i="1"/>
  <c r="Y582" i="1"/>
  <c r="T582" i="1"/>
  <c r="T551" i="1" s="1"/>
  <c r="O582" i="1"/>
  <c r="J582" i="1"/>
  <c r="AN581" i="1"/>
  <c r="AO581" i="1" s="1"/>
  <c r="AP581" i="1" s="1"/>
  <c r="AQ581" i="1" s="1"/>
  <c r="AR581" i="1" s="1"/>
  <c r="AS581" i="1" s="1"/>
  <c r="AT581" i="1" s="1"/>
  <c r="AU581" i="1" s="1"/>
  <c r="AV581" i="1" s="1"/>
  <c r="AW581" i="1" s="1"/>
  <c r="AI581" i="1"/>
  <c r="AD581" i="1"/>
  <c r="Y581" i="1"/>
  <c r="T581" i="1"/>
  <c r="O581" i="1"/>
  <c r="J581" i="1"/>
  <c r="AN580" i="1"/>
  <c r="AO580" i="1" s="1"/>
  <c r="AP580" i="1" s="1"/>
  <c r="AQ580" i="1" s="1"/>
  <c r="AR580" i="1" s="1"/>
  <c r="AS580" i="1" s="1"/>
  <c r="AT580" i="1" s="1"/>
  <c r="AU580" i="1" s="1"/>
  <c r="AV580" i="1" s="1"/>
  <c r="AW580" i="1" s="1"/>
  <c r="AI580" i="1"/>
  <c r="AD580" i="1"/>
  <c r="Y580" i="1"/>
  <c r="T580" i="1"/>
  <c r="O580" i="1"/>
  <c r="J580" i="1"/>
  <c r="AI579" i="1"/>
  <c r="AD579" i="1"/>
  <c r="AD558" i="1" s="1"/>
  <c r="AI559" i="1" s="1"/>
  <c r="Y579" i="1"/>
  <c r="T579" i="1"/>
  <c r="O579" i="1"/>
  <c r="J579" i="1"/>
  <c r="J558" i="1" s="1"/>
  <c r="O559" i="1" s="1"/>
  <c r="AI578" i="1"/>
  <c r="AD578" i="1"/>
  <c r="Y578" i="1"/>
  <c r="T578" i="1"/>
  <c r="O578" i="1"/>
  <c r="J578" i="1"/>
  <c r="AN577" i="1"/>
  <c r="AO577" i="1" s="1"/>
  <c r="AP577" i="1" s="1"/>
  <c r="AQ577" i="1" s="1"/>
  <c r="AR577" i="1" s="1"/>
  <c r="AS577" i="1" s="1"/>
  <c r="AT577" i="1" s="1"/>
  <c r="AU577" i="1" s="1"/>
  <c r="AV577" i="1" s="1"/>
  <c r="AW577" i="1" s="1"/>
  <c r="AI577" i="1"/>
  <c r="AD577" i="1"/>
  <c r="Y577" i="1"/>
  <c r="T577" i="1"/>
  <c r="O577" i="1"/>
  <c r="J577" i="1"/>
  <c r="AN576" i="1"/>
  <c r="AO576" i="1" s="1"/>
  <c r="AP576" i="1" s="1"/>
  <c r="AQ576" i="1" s="1"/>
  <c r="AR576" i="1" s="1"/>
  <c r="AS576" i="1" s="1"/>
  <c r="AT576" i="1" s="1"/>
  <c r="AU576" i="1" s="1"/>
  <c r="AV576" i="1" s="1"/>
  <c r="AW576" i="1" s="1"/>
  <c r="AI576" i="1"/>
  <c r="AD576" i="1"/>
  <c r="Y576" i="1"/>
  <c r="T576" i="1"/>
  <c r="O576" i="1"/>
  <c r="J576" i="1"/>
  <c r="AI575" i="1"/>
  <c r="AD575" i="1"/>
  <c r="Y575" i="1"/>
  <c r="Y583" i="1" s="1"/>
  <c r="T575" i="1"/>
  <c r="T583" i="1" s="1"/>
  <c r="O575" i="1"/>
  <c r="J575" i="1"/>
  <c r="AW567" i="1"/>
  <c r="AV567" i="1"/>
  <c r="AU567" i="1"/>
  <c r="AS567" i="1"/>
  <c r="AR567" i="1"/>
  <c r="AQ567" i="1"/>
  <c r="AP567" i="1"/>
  <c r="AN567" i="1"/>
  <c r="AM561" i="1"/>
  <c r="AL561" i="1"/>
  <c r="AK561" i="1"/>
  <c r="AJ561" i="1"/>
  <c r="AI561" i="1"/>
  <c r="AH561" i="1"/>
  <c r="AM562" i="1" s="1"/>
  <c r="AG561" i="1"/>
  <c r="AF561" i="1"/>
  <c r="AK562" i="1" s="1"/>
  <c r="AE561" i="1"/>
  <c r="AJ562" i="1" s="1"/>
  <c r="AD561" i="1"/>
  <c r="AI562" i="1" s="1"/>
  <c r="AC561" i="1"/>
  <c r="AB561" i="1"/>
  <c r="AG562" i="1" s="1"/>
  <c r="AA561" i="1"/>
  <c r="AF562" i="1" s="1"/>
  <c r="Z561" i="1"/>
  <c r="AE562" i="1" s="1"/>
  <c r="Y561" i="1"/>
  <c r="X561" i="1"/>
  <c r="AC562" i="1" s="1"/>
  <c r="W561" i="1"/>
  <c r="AB562" i="1" s="1"/>
  <c r="V561" i="1"/>
  <c r="AA562" i="1" s="1"/>
  <c r="U561" i="1"/>
  <c r="T561" i="1"/>
  <c r="Y562" i="1" s="1"/>
  <c r="S561" i="1"/>
  <c r="X562" i="1" s="1"/>
  <c r="R561" i="1"/>
  <c r="W562" i="1" s="1"/>
  <c r="Q561" i="1"/>
  <c r="P561" i="1"/>
  <c r="U562" i="1" s="1"/>
  <c r="O561" i="1"/>
  <c r="T562" i="1" s="1"/>
  <c r="N561" i="1"/>
  <c r="S562" i="1" s="1"/>
  <c r="M561" i="1"/>
  <c r="L561" i="1"/>
  <c r="Q562" i="1" s="1"/>
  <c r="K561" i="1"/>
  <c r="P562" i="1" s="1"/>
  <c r="J561" i="1"/>
  <c r="O562" i="1" s="1"/>
  <c r="I561" i="1"/>
  <c r="H561" i="1"/>
  <c r="M562" i="1" s="1"/>
  <c r="G561" i="1"/>
  <c r="L562" i="1" s="1"/>
  <c r="F561" i="1"/>
  <c r="K562" i="1" s="1"/>
  <c r="E561" i="1"/>
  <c r="D561" i="1"/>
  <c r="E562" i="1" s="1"/>
  <c r="C561" i="1"/>
  <c r="D562" i="1" s="1"/>
  <c r="AM558" i="1"/>
  <c r="AL558" i="1"/>
  <c r="AK558" i="1"/>
  <c r="AJ558" i="1"/>
  <c r="AI558" i="1"/>
  <c r="AH558" i="1"/>
  <c r="AG558" i="1"/>
  <c r="AL559" i="1" s="1"/>
  <c r="AF558" i="1"/>
  <c r="AK559" i="1" s="1"/>
  <c r="AE558" i="1"/>
  <c r="AJ559" i="1" s="1"/>
  <c r="AC558" i="1"/>
  <c r="AH559" i="1" s="1"/>
  <c r="AB558" i="1"/>
  <c r="AG559" i="1" s="1"/>
  <c r="AA558" i="1"/>
  <c r="AF559" i="1" s="1"/>
  <c r="Z558" i="1"/>
  <c r="Y558" i="1"/>
  <c r="X558" i="1"/>
  <c r="AC559" i="1" s="1"/>
  <c r="W558" i="1"/>
  <c r="AB559" i="1" s="1"/>
  <c r="V558" i="1"/>
  <c r="U558" i="1"/>
  <c r="Z559" i="1" s="1"/>
  <c r="T558" i="1"/>
  <c r="Y559" i="1" s="1"/>
  <c r="S558" i="1"/>
  <c r="X559" i="1" s="1"/>
  <c r="R558" i="1"/>
  <c r="Q558" i="1"/>
  <c r="V559" i="1" s="1"/>
  <c r="P558" i="1"/>
  <c r="U559" i="1" s="1"/>
  <c r="O558" i="1"/>
  <c r="T559" i="1" s="1"/>
  <c r="N558" i="1"/>
  <c r="M558" i="1"/>
  <c r="R559" i="1" s="1"/>
  <c r="L558" i="1"/>
  <c r="Q559" i="1" s="1"/>
  <c r="K558" i="1"/>
  <c r="P559" i="1" s="1"/>
  <c r="I558" i="1"/>
  <c r="N559" i="1" s="1"/>
  <c r="H558" i="1"/>
  <c r="M559" i="1" s="1"/>
  <c r="G558" i="1"/>
  <c r="L559" i="1" s="1"/>
  <c r="F558" i="1"/>
  <c r="E558" i="1"/>
  <c r="F559" i="1" s="1"/>
  <c r="D558" i="1"/>
  <c r="E559" i="1" s="1"/>
  <c r="C558" i="1"/>
  <c r="D559" i="1" s="1"/>
  <c r="AM555" i="1"/>
  <c r="AL555" i="1"/>
  <c r="AK555" i="1"/>
  <c r="AJ555" i="1"/>
  <c r="AI555" i="1"/>
  <c r="AH555" i="1"/>
  <c r="AM556" i="1" s="1"/>
  <c r="AG555" i="1"/>
  <c r="AL556" i="1" s="1"/>
  <c r="AF555" i="1"/>
  <c r="AK556" i="1" s="1"/>
  <c r="AE555" i="1"/>
  <c r="AD555" i="1"/>
  <c r="AI556" i="1" s="1"/>
  <c r="AC555" i="1"/>
  <c r="AH556" i="1" s="1"/>
  <c r="AB555" i="1"/>
  <c r="AG556" i="1" s="1"/>
  <c r="AA555" i="1"/>
  <c r="Z555" i="1"/>
  <c r="AE556" i="1" s="1"/>
  <c r="Y555" i="1"/>
  <c r="AD556" i="1" s="1"/>
  <c r="X555" i="1"/>
  <c r="AC556" i="1" s="1"/>
  <c r="W555" i="1"/>
  <c r="V555" i="1"/>
  <c r="AA556" i="1" s="1"/>
  <c r="U555" i="1"/>
  <c r="Z556" i="1" s="1"/>
  <c r="T555" i="1"/>
  <c r="Y556" i="1" s="1"/>
  <c r="S555" i="1"/>
  <c r="R555" i="1"/>
  <c r="W556" i="1" s="1"/>
  <c r="Q555" i="1"/>
  <c r="V556" i="1" s="1"/>
  <c r="P555" i="1"/>
  <c r="U556" i="1" s="1"/>
  <c r="O555" i="1"/>
  <c r="N555" i="1"/>
  <c r="S556" i="1" s="1"/>
  <c r="M555" i="1"/>
  <c r="R556" i="1" s="1"/>
  <c r="L555" i="1"/>
  <c r="Q556" i="1" s="1"/>
  <c r="K555" i="1"/>
  <c r="J555" i="1"/>
  <c r="O556" i="1" s="1"/>
  <c r="I555" i="1"/>
  <c r="N556" i="1" s="1"/>
  <c r="H555" i="1"/>
  <c r="M556" i="1" s="1"/>
  <c r="G555" i="1"/>
  <c r="F555" i="1"/>
  <c r="K556" i="1" s="1"/>
  <c r="E555" i="1"/>
  <c r="F556" i="1" s="1"/>
  <c r="D555" i="1"/>
  <c r="E556" i="1" s="1"/>
  <c r="C555" i="1"/>
  <c r="AM553" i="1"/>
  <c r="AL553" i="1"/>
  <c r="AK553" i="1"/>
  <c r="AJ553" i="1"/>
  <c r="AI553" i="1"/>
  <c r="AH553" i="1"/>
  <c r="AG553" i="1"/>
  <c r="AF553" i="1"/>
  <c r="AE553" i="1"/>
  <c r="AC553" i="1"/>
  <c r="AB553" i="1"/>
  <c r="AA553" i="1"/>
  <c r="Z553" i="1"/>
  <c r="Y553" i="1"/>
  <c r="X553" i="1"/>
  <c r="W553" i="1"/>
  <c r="V553" i="1"/>
  <c r="U553" i="1"/>
  <c r="T553" i="1"/>
  <c r="S553" i="1"/>
  <c r="R553" i="1"/>
  <c r="Q553" i="1"/>
  <c r="P553" i="1"/>
  <c r="O553" i="1"/>
  <c r="N553" i="1"/>
  <c r="M553" i="1"/>
  <c r="L553" i="1"/>
  <c r="K553" i="1"/>
  <c r="I553" i="1"/>
  <c r="H553" i="1"/>
  <c r="G553" i="1"/>
  <c r="F553" i="1"/>
  <c r="E553" i="1"/>
  <c r="D553" i="1"/>
  <c r="C553" i="1"/>
  <c r="AM552" i="1"/>
  <c r="AL552" i="1"/>
  <c r="AK552" i="1"/>
  <c r="AJ552" i="1"/>
  <c r="AI552" i="1"/>
  <c r="AH552" i="1"/>
  <c r="AG552" i="1"/>
  <c r="AF552" i="1"/>
  <c r="AE552" i="1"/>
  <c r="AD552" i="1"/>
  <c r="AC552" i="1"/>
  <c r="AB552" i="1"/>
  <c r="AA552" i="1"/>
  <c r="Z552" i="1"/>
  <c r="X552" i="1"/>
  <c r="W552" i="1"/>
  <c r="V552" i="1"/>
  <c r="U552" i="1"/>
  <c r="T552" i="1"/>
  <c r="S552" i="1"/>
  <c r="R552" i="1"/>
  <c r="Q552" i="1"/>
  <c r="P552" i="1"/>
  <c r="O552" i="1"/>
  <c r="N552" i="1"/>
  <c r="M552" i="1"/>
  <c r="L552" i="1"/>
  <c r="K552" i="1"/>
  <c r="J552" i="1"/>
  <c r="I552" i="1"/>
  <c r="H552" i="1"/>
  <c r="G552" i="1"/>
  <c r="F552" i="1"/>
  <c r="E552" i="1"/>
  <c r="D552" i="1"/>
  <c r="C552" i="1"/>
  <c r="AM551" i="1"/>
  <c r="AL551" i="1"/>
  <c r="AK551" i="1"/>
  <c r="AJ551" i="1"/>
  <c r="AI551" i="1"/>
  <c r="AH551" i="1"/>
  <c r="AG551" i="1"/>
  <c r="AF551" i="1"/>
  <c r="AE551" i="1"/>
  <c r="AD551" i="1"/>
  <c r="AC551" i="1"/>
  <c r="AB551" i="1"/>
  <c r="AA551" i="1"/>
  <c r="Z551" i="1"/>
  <c r="Y551" i="1"/>
  <c r="X551" i="1"/>
  <c r="W551" i="1"/>
  <c r="V551" i="1"/>
  <c r="U551" i="1"/>
  <c r="S551" i="1"/>
  <c r="R551" i="1"/>
  <c r="Q551" i="1"/>
  <c r="P551" i="1"/>
  <c r="O551" i="1"/>
  <c r="N551" i="1"/>
  <c r="M551" i="1"/>
  <c r="L551" i="1"/>
  <c r="K551" i="1"/>
  <c r="J551" i="1"/>
  <c r="I551" i="1"/>
  <c r="H551" i="1"/>
  <c r="G551" i="1"/>
  <c r="F551" i="1"/>
  <c r="E551" i="1"/>
  <c r="D551" i="1"/>
  <c r="C551" i="1"/>
  <c r="A544" i="1"/>
  <c r="AA543" i="1"/>
  <c r="C543" i="1"/>
  <c r="A543" i="1"/>
  <c r="A541" i="1"/>
  <c r="AT540" i="1"/>
  <c r="AM540" i="1"/>
  <c r="AL540" i="1"/>
  <c r="AK540" i="1"/>
  <c r="AJ540" i="1"/>
  <c r="AH540" i="1"/>
  <c r="AG540" i="1"/>
  <c r="AF540" i="1"/>
  <c r="AE540" i="1"/>
  <c r="AC540" i="1"/>
  <c r="AB540" i="1"/>
  <c r="AA540" i="1"/>
  <c r="Z540" i="1"/>
  <c r="X540" i="1"/>
  <c r="W540" i="1"/>
  <c r="V540" i="1"/>
  <c r="U540" i="1"/>
  <c r="S540" i="1"/>
  <c r="R540" i="1"/>
  <c r="Q540" i="1"/>
  <c r="P540" i="1"/>
  <c r="N540" i="1"/>
  <c r="M540" i="1"/>
  <c r="L540" i="1"/>
  <c r="K540" i="1"/>
  <c r="I540" i="1"/>
  <c r="H540" i="1"/>
  <c r="G540" i="1"/>
  <c r="F540" i="1"/>
  <c r="E540" i="1"/>
  <c r="D540" i="1"/>
  <c r="C540" i="1"/>
  <c r="A540" i="1"/>
  <c r="A538" i="1"/>
  <c r="AT537" i="1"/>
  <c r="AM537" i="1"/>
  <c r="AL537" i="1"/>
  <c r="AK537" i="1"/>
  <c r="AO537" i="1" s="1"/>
  <c r="AJ537" i="1"/>
  <c r="AH537" i="1"/>
  <c r="AG537" i="1"/>
  <c r="AF537" i="1"/>
  <c r="AE537" i="1"/>
  <c r="AC537" i="1"/>
  <c r="AB537" i="1"/>
  <c r="AA537" i="1"/>
  <c r="Z537" i="1"/>
  <c r="X537" i="1"/>
  <c r="W537" i="1"/>
  <c r="V537" i="1"/>
  <c r="U537" i="1"/>
  <c r="S537" i="1"/>
  <c r="R537" i="1"/>
  <c r="Q537" i="1"/>
  <c r="P537" i="1"/>
  <c r="N537" i="1"/>
  <c r="M537" i="1"/>
  <c r="L537" i="1"/>
  <c r="K537" i="1"/>
  <c r="I537" i="1"/>
  <c r="H537" i="1"/>
  <c r="G537" i="1"/>
  <c r="F537" i="1"/>
  <c r="E537" i="1"/>
  <c r="D537" i="1"/>
  <c r="C537" i="1"/>
  <c r="A537" i="1"/>
  <c r="AW536" i="1"/>
  <c r="AV536" i="1"/>
  <c r="AU536" i="1"/>
  <c r="AS536" i="1"/>
  <c r="AR536" i="1"/>
  <c r="AQ536" i="1"/>
  <c r="AP536" i="1"/>
  <c r="AN536" i="1"/>
  <c r="AM536" i="1"/>
  <c r="AL536" i="1"/>
  <c r="AK536" i="1"/>
  <c r="AJ536" i="1"/>
  <c r="AH536" i="1"/>
  <c r="AG536" i="1"/>
  <c r="AF536" i="1"/>
  <c r="AE536" i="1"/>
  <c r="AC536" i="1"/>
  <c r="AB536" i="1"/>
  <c r="AA536" i="1"/>
  <c r="Z536" i="1"/>
  <c r="Z368" i="1" s="1"/>
  <c r="Z79" i="9" s="1"/>
  <c r="X536" i="1"/>
  <c r="W536" i="1"/>
  <c r="V536" i="1"/>
  <c r="U536" i="1"/>
  <c r="S536" i="1"/>
  <c r="R536" i="1"/>
  <c r="Q536" i="1"/>
  <c r="P536" i="1"/>
  <c r="N536" i="1"/>
  <c r="M536" i="1"/>
  <c r="L536" i="1"/>
  <c r="K536" i="1"/>
  <c r="I536" i="1"/>
  <c r="H536" i="1"/>
  <c r="G536" i="1"/>
  <c r="F536" i="1"/>
  <c r="F368" i="1" s="1"/>
  <c r="F79" i="9" s="1"/>
  <c r="E536" i="1"/>
  <c r="D536" i="1"/>
  <c r="C536" i="1"/>
  <c r="A536" i="1"/>
  <c r="AT535" i="1"/>
  <c r="AM535" i="1"/>
  <c r="AL535" i="1"/>
  <c r="AK535" i="1"/>
  <c r="AJ535" i="1"/>
  <c r="AH535" i="1"/>
  <c r="AG535" i="1"/>
  <c r="AF535" i="1"/>
  <c r="AE535" i="1"/>
  <c r="AC535" i="1"/>
  <c r="AB535" i="1"/>
  <c r="AA535" i="1"/>
  <c r="Z535" i="1"/>
  <c r="X535" i="1"/>
  <c r="W535" i="1"/>
  <c r="V535" i="1"/>
  <c r="U535" i="1"/>
  <c r="S535" i="1"/>
  <c r="R535" i="1"/>
  <c r="Q535" i="1"/>
  <c r="P535" i="1"/>
  <c r="N535" i="1"/>
  <c r="M535" i="1"/>
  <c r="L535" i="1"/>
  <c r="K535" i="1"/>
  <c r="I535" i="1"/>
  <c r="H535" i="1"/>
  <c r="G535" i="1"/>
  <c r="F535" i="1"/>
  <c r="E535" i="1"/>
  <c r="D535" i="1"/>
  <c r="C535" i="1"/>
  <c r="A535" i="1"/>
  <c r="AT534" i="1"/>
  <c r="AM534" i="1"/>
  <c r="AL534" i="1"/>
  <c r="AO534" i="1" s="1"/>
  <c r="AK534" i="1"/>
  <c r="AJ534" i="1"/>
  <c r="AH534" i="1"/>
  <c r="AG534" i="1"/>
  <c r="AF534" i="1"/>
  <c r="AE534" i="1"/>
  <c r="AC534" i="1"/>
  <c r="AB534" i="1"/>
  <c r="AA534" i="1"/>
  <c r="Z534" i="1"/>
  <c r="X534" i="1"/>
  <c r="W534" i="1"/>
  <c r="W367" i="1" s="1"/>
  <c r="W80" i="9" s="1"/>
  <c r="V534" i="1"/>
  <c r="U534" i="1"/>
  <c r="S534" i="1"/>
  <c r="R534" i="1"/>
  <c r="Q534" i="1"/>
  <c r="P534" i="1"/>
  <c r="N534" i="1"/>
  <c r="M534" i="1"/>
  <c r="L534" i="1"/>
  <c r="K534" i="1"/>
  <c r="I534" i="1"/>
  <c r="H534" i="1"/>
  <c r="G534" i="1"/>
  <c r="F534" i="1"/>
  <c r="E534" i="1"/>
  <c r="D534" i="1"/>
  <c r="C534" i="1"/>
  <c r="A534" i="1"/>
  <c r="AM533" i="1"/>
  <c r="AL533" i="1"/>
  <c r="AK533" i="1"/>
  <c r="AJ533" i="1"/>
  <c r="AH533" i="1"/>
  <c r="AG533" i="1"/>
  <c r="AF533" i="1"/>
  <c r="AE533" i="1"/>
  <c r="AC533" i="1"/>
  <c r="AB533" i="1"/>
  <c r="AA533" i="1"/>
  <c r="Z533" i="1"/>
  <c r="X533" i="1"/>
  <c r="W533" i="1"/>
  <c r="V533" i="1"/>
  <c r="U533" i="1"/>
  <c r="S533" i="1"/>
  <c r="R533" i="1"/>
  <c r="Q533" i="1"/>
  <c r="P533" i="1"/>
  <c r="N533" i="1"/>
  <c r="M533" i="1"/>
  <c r="L533" i="1"/>
  <c r="K533" i="1"/>
  <c r="I533" i="1"/>
  <c r="H533" i="1"/>
  <c r="G533" i="1"/>
  <c r="F533" i="1"/>
  <c r="E533" i="1"/>
  <c r="D533" i="1"/>
  <c r="C533" i="1"/>
  <c r="A533" i="1"/>
  <c r="AT532" i="1"/>
  <c r="AM532" i="1"/>
  <c r="AL532" i="1"/>
  <c r="AK532" i="1"/>
  <c r="AJ532" i="1"/>
  <c r="AH532" i="1"/>
  <c r="AH368" i="1" s="1"/>
  <c r="AH79" i="9" s="1"/>
  <c r="AG532" i="1"/>
  <c r="AF532" i="1"/>
  <c r="AE532" i="1"/>
  <c r="AC532" i="1"/>
  <c r="AB532" i="1"/>
  <c r="AA532" i="1"/>
  <c r="Z532" i="1"/>
  <c r="X532" i="1"/>
  <c r="W532" i="1"/>
  <c r="V532" i="1"/>
  <c r="U532" i="1"/>
  <c r="S532" i="1"/>
  <c r="R532" i="1"/>
  <c r="Q532" i="1"/>
  <c r="P532" i="1"/>
  <c r="N532" i="1"/>
  <c r="N368" i="1" s="1"/>
  <c r="N79" i="9" s="1"/>
  <c r="M532" i="1"/>
  <c r="L532" i="1"/>
  <c r="K532" i="1"/>
  <c r="I532" i="1"/>
  <c r="H532" i="1"/>
  <c r="G532" i="1"/>
  <c r="F532" i="1"/>
  <c r="E532" i="1"/>
  <c r="D532" i="1"/>
  <c r="C532" i="1"/>
  <c r="A532" i="1"/>
  <c r="AT531" i="1"/>
  <c r="AM531" i="1"/>
  <c r="AL531" i="1"/>
  <c r="AK531" i="1"/>
  <c r="AO531" i="1" s="1"/>
  <c r="AJ531" i="1"/>
  <c r="AH531" i="1"/>
  <c r="AG531" i="1"/>
  <c r="AF531" i="1"/>
  <c r="AE531" i="1"/>
  <c r="AC531" i="1"/>
  <c r="AB531" i="1"/>
  <c r="AA531" i="1"/>
  <c r="Z531" i="1"/>
  <c r="X531" i="1"/>
  <c r="W531" i="1"/>
  <c r="V531" i="1"/>
  <c r="U531" i="1"/>
  <c r="S531" i="1"/>
  <c r="R531" i="1"/>
  <c r="Q531" i="1"/>
  <c r="P531" i="1"/>
  <c r="N531" i="1"/>
  <c r="M531" i="1"/>
  <c r="L531" i="1"/>
  <c r="K531" i="1"/>
  <c r="I531" i="1"/>
  <c r="H531" i="1"/>
  <c r="G531" i="1"/>
  <c r="F531" i="1"/>
  <c r="E531" i="1"/>
  <c r="D531" i="1"/>
  <c r="C531" i="1"/>
  <c r="A531" i="1"/>
  <c r="AW530" i="1"/>
  <c r="AV530" i="1"/>
  <c r="AU530" i="1"/>
  <c r="AS530" i="1"/>
  <c r="AR530" i="1"/>
  <c r="AQ530" i="1"/>
  <c r="AP530" i="1"/>
  <c r="AN530" i="1"/>
  <c r="AM530" i="1"/>
  <c r="AL530" i="1"/>
  <c r="AK530" i="1"/>
  <c r="AJ530" i="1"/>
  <c r="AJ538" i="1" s="1"/>
  <c r="AH530" i="1"/>
  <c r="AG530" i="1"/>
  <c r="AF530" i="1"/>
  <c r="AE530" i="1"/>
  <c r="AE538" i="1" s="1"/>
  <c r="AC530" i="1"/>
  <c r="AB530" i="1"/>
  <c r="AA530" i="1"/>
  <c r="Z530" i="1"/>
  <c r="Z538" i="1" s="1"/>
  <c r="X530" i="1"/>
  <c r="W530" i="1"/>
  <c r="V530" i="1"/>
  <c r="U530" i="1"/>
  <c r="U538" i="1" s="1"/>
  <c r="S530" i="1"/>
  <c r="R530" i="1"/>
  <c r="Q530" i="1"/>
  <c r="P530" i="1"/>
  <c r="P538" i="1" s="1"/>
  <c r="N530" i="1"/>
  <c r="M530" i="1"/>
  <c r="L530" i="1"/>
  <c r="K530" i="1"/>
  <c r="K538" i="1" s="1"/>
  <c r="I530" i="1"/>
  <c r="H530" i="1"/>
  <c r="G530" i="1"/>
  <c r="F530" i="1"/>
  <c r="F538" i="1" s="1"/>
  <c r="E530" i="1"/>
  <c r="D530" i="1"/>
  <c r="C530" i="1"/>
  <c r="A530" i="1"/>
  <c r="A529" i="1"/>
  <c r="A527" i="1"/>
  <c r="AT526" i="1"/>
  <c r="AM526" i="1"/>
  <c r="AL526" i="1"/>
  <c r="AK526" i="1"/>
  <c r="AJ526" i="1"/>
  <c r="AH526" i="1"/>
  <c r="AG526" i="1"/>
  <c r="AF526" i="1"/>
  <c r="AE526" i="1"/>
  <c r="AC526" i="1"/>
  <c r="AB526" i="1"/>
  <c r="AA526" i="1"/>
  <c r="Z526" i="1"/>
  <c r="X526" i="1"/>
  <c r="W526" i="1"/>
  <c r="V526" i="1"/>
  <c r="U526" i="1"/>
  <c r="S526" i="1"/>
  <c r="R526" i="1"/>
  <c r="Q526" i="1"/>
  <c r="P526" i="1"/>
  <c r="N526" i="1"/>
  <c r="M526" i="1"/>
  <c r="L526" i="1"/>
  <c r="K526" i="1"/>
  <c r="I526" i="1"/>
  <c r="H526" i="1"/>
  <c r="G526" i="1"/>
  <c r="F526" i="1"/>
  <c r="E526" i="1"/>
  <c r="D526" i="1"/>
  <c r="C526" i="1"/>
  <c r="A526" i="1"/>
  <c r="AW525" i="1"/>
  <c r="AV525" i="1"/>
  <c r="AU525" i="1"/>
  <c r="AS525" i="1"/>
  <c r="AR525" i="1"/>
  <c r="AQ525" i="1"/>
  <c r="AP525" i="1"/>
  <c r="AN525" i="1"/>
  <c r="AM525" i="1"/>
  <c r="AL525" i="1"/>
  <c r="AK525" i="1"/>
  <c r="AJ525" i="1"/>
  <c r="AH525" i="1"/>
  <c r="AG525" i="1"/>
  <c r="AF525" i="1"/>
  <c r="AE525" i="1"/>
  <c r="AC525" i="1"/>
  <c r="AC362" i="1" s="1"/>
  <c r="AB525" i="1"/>
  <c r="AA525" i="1"/>
  <c r="Z525" i="1"/>
  <c r="X525" i="1"/>
  <c r="W525" i="1"/>
  <c r="V525" i="1"/>
  <c r="U525" i="1"/>
  <c r="S525" i="1"/>
  <c r="R525" i="1"/>
  <c r="Q525" i="1"/>
  <c r="P525" i="1"/>
  <c r="N525" i="1"/>
  <c r="M525" i="1"/>
  <c r="L525" i="1"/>
  <c r="K525" i="1"/>
  <c r="I525" i="1"/>
  <c r="I362" i="1" s="1"/>
  <c r="H525" i="1"/>
  <c r="G525" i="1"/>
  <c r="D525" i="1"/>
  <c r="A525" i="1"/>
  <c r="AT524" i="1"/>
  <c r="AM524" i="1"/>
  <c r="AL524" i="1"/>
  <c r="AK524" i="1"/>
  <c r="AO524" i="1" s="1"/>
  <c r="AJ524" i="1"/>
  <c r="AH524" i="1"/>
  <c r="AG524" i="1"/>
  <c r="AF524" i="1"/>
  <c r="AE524" i="1"/>
  <c r="AC524" i="1"/>
  <c r="AB524" i="1"/>
  <c r="AA524" i="1"/>
  <c r="Z524" i="1"/>
  <c r="X524" i="1"/>
  <c r="W524" i="1"/>
  <c r="V524" i="1"/>
  <c r="U524" i="1"/>
  <c r="S524" i="1"/>
  <c r="R524" i="1"/>
  <c r="Q524" i="1"/>
  <c r="P524" i="1"/>
  <c r="N524" i="1"/>
  <c r="M524" i="1"/>
  <c r="L524" i="1"/>
  <c r="K524" i="1"/>
  <c r="I524" i="1"/>
  <c r="H524" i="1"/>
  <c r="G524" i="1"/>
  <c r="F524" i="1"/>
  <c r="E524" i="1"/>
  <c r="D524" i="1"/>
  <c r="C524" i="1"/>
  <c r="A524" i="1"/>
  <c r="AW523" i="1"/>
  <c r="AV523" i="1"/>
  <c r="AV527" i="1" s="1"/>
  <c r="AU523" i="1"/>
  <c r="AU527" i="1" s="1"/>
  <c r="AS523" i="1"/>
  <c r="AS527" i="1" s="1"/>
  <c r="AR523" i="1"/>
  <c r="AQ523" i="1"/>
  <c r="AQ527" i="1" s="1"/>
  <c r="AP523" i="1"/>
  <c r="AP527" i="1" s="1"/>
  <c r="AN523" i="1"/>
  <c r="AN527" i="1" s="1"/>
  <c r="AM523" i="1"/>
  <c r="AL523" i="1"/>
  <c r="AK523" i="1"/>
  <c r="AO523" i="1" s="1"/>
  <c r="AJ523" i="1"/>
  <c r="AH523" i="1"/>
  <c r="AG523" i="1"/>
  <c r="AF523" i="1"/>
  <c r="AE523" i="1"/>
  <c r="AC523" i="1"/>
  <c r="AB523" i="1"/>
  <c r="AA523" i="1"/>
  <c r="Z523" i="1"/>
  <c r="X523" i="1"/>
  <c r="W523" i="1"/>
  <c r="V523" i="1"/>
  <c r="V363" i="1" s="1"/>
  <c r="V77" i="9" s="1"/>
  <c r="U523" i="1"/>
  <c r="S523" i="1"/>
  <c r="R523" i="1"/>
  <c r="Q523" i="1"/>
  <c r="P523" i="1"/>
  <c r="N523" i="1"/>
  <c r="M523" i="1"/>
  <c r="L523" i="1"/>
  <c r="K523" i="1"/>
  <c r="I523" i="1"/>
  <c r="H523" i="1"/>
  <c r="G523" i="1"/>
  <c r="F523" i="1"/>
  <c r="E523" i="1"/>
  <c r="D523" i="1"/>
  <c r="C523" i="1"/>
  <c r="A523" i="1"/>
  <c r="AT522" i="1"/>
  <c r="AM522" i="1"/>
  <c r="AL522" i="1"/>
  <c r="AK522" i="1"/>
  <c r="AJ522" i="1"/>
  <c r="AH522" i="1"/>
  <c r="AG522" i="1"/>
  <c r="AF522" i="1"/>
  <c r="AE522" i="1"/>
  <c r="AC522" i="1"/>
  <c r="AB522" i="1"/>
  <c r="AA522" i="1"/>
  <c r="Z522" i="1"/>
  <c r="X522" i="1"/>
  <c r="W522" i="1"/>
  <c r="V522" i="1"/>
  <c r="U522" i="1"/>
  <c r="S522" i="1"/>
  <c r="R522" i="1"/>
  <c r="Q522" i="1"/>
  <c r="P522" i="1"/>
  <c r="N522" i="1"/>
  <c r="M522" i="1"/>
  <c r="L522" i="1"/>
  <c r="K522" i="1"/>
  <c r="I522" i="1"/>
  <c r="H522" i="1"/>
  <c r="G522" i="1"/>
  <c r="F522" i="1"/>
  <c r="E522" i="1"/>
  <c r="D522" i="1"/>
  <c r="C522" i="1"/>
  <c r="A522" i="1"/>
  <c r="AT521" i="1"/>
  <c r="AM521" i="1"/>
  <c r="AL521" i="1"/>
  <c r="AK521" i="1"/>
  <c r="AJ521" i="1"/>
  <c r="AH521" i="1"/>
  <c r="AG521" i="1"/>
  <c r="AF521" i="1"/>
  <c r="AE521" i="1"/>
  <c r="AC521" i="1"/>
  <c r="AB521" i="1"/>
  <c r="AA521" i="1"/>
  <c r="Z521" i="1"/>
  <c r="X521" i="1"/>
  <c r="X359" i="1" s="1"/>
  <c r="X72" i="9" s="1"/>
  <c r="W521" i="1"/>
  <c r="V521" i="1"/>
  <c r="U521" i="1"/>
  <c r="S521" i="1"/>
  <c r="R521" i="1"/>
  <c r="Q521" i="1"/>
  <c r="P521" i="1"/>
  <c r="N521" i="1"/>
  <c r="M521" i="1"/>
  <c r="L521" i="1"/>
  <c r="K521" i="1"/>
  <c r="I521" i="1"/>
  <c r="H521" i="1"/>
  <c r="G521" i="1"/>
  <c r="F521" i="1"/>
  <c r="E521" i="1"/>
  <c r="D521" i="1"/>
  <c r="C521" i="1"/>
  <c r="A521" i="1"/>
  <c r="AT520" i="1"/>
  <c r="AT81" i="9" s="1"/>
  <c r="AM520" i="1"/>
  <c r="AL520" i="1"/>
  <c r="AK520" i="1"/>
  <c r="AJ520" i="1"/>
  <c r="AJ81" i="9" s="1"/>
  <c r="AH520" i="1"/>
  <c r="AG520" i="1"/>
  <c r="AF520" i="1"/>
  <c r="AE520" i="1"/>
  <c r="AE81" i="9" s="1"/>
  <c r="AC520" i="1"/>
  <c r="AB520" i="1"/>
  <c r="AA520" i="1"/>
  <c r="Z520" i="1"/>
  <c r="Z81" i="9" s="1"/>
  <c r="X520" i="1"/>
  <c r="W520" i="1"/>
  <c r="V520" i="1"/>
  <c r="U520" i="1"/>
  <c r="U81" i="9" s="1"/>
  <c r="S520" i="1"/>
  <c r="R520" i="1"/>
  <c r="Q520" i="1"/>
  <c r="P520" i="1"/>
  <c r="P81" i="9" s="1"/>
  <c r="N520" i="1"/>
  <c r="M520" i="1"/>
  <c r="L520" i="1"/>
  <c r="K520" i="1"/>
  <c r="K81" i="9" s="1"/>
  <c r="I520" i="1"/>
  <c r="H520" i="1"/>
  <c r="G520" i="1"/>
  <c r="F520" i="1"/>
  <c r="F81" i="9" s="1"/>
  <c r="E520" i="1"/>
  <c r="D520" i="1"/>
  <c r="C520" i="1"/>
  <c r="A520" i="1"/>
  <c r="AT519" i="1"/>
  <c r="AM519" i="1"/>
  <c r="AL519" i="1"/>
  <c r="AK519" i="1"/>
  <c r="AJ519" i="1"/>
  <c r="AH519" i="1"/>
  <c r="AG519" i="1"/>
  <c r="AF519" i="1"/>
  <c r="AF359" i="1" s="1"/>
  <c r="AF72" i="9" s="1"/>
  <c r="AE519" i="1"/>
  <c r="AC519" i="1"/>
  <c r="AB519" i="1"/>
  <c r="AA519" i="1"/>
  <c r="Z519" i="1"/>
  <c r="X519" i="1"/>
  <c r="W519" i="1"/>
  <c r="V519" i="1"/>
  <c r="U519" i="1"/>
  <c r="S519" i="1"/>
  <c r="R519" i="1"/>
  <c r="Q519" i="1"/>
  <c r="P519" i="1"/>
  <c r="N519" i="1"/>
  <c r="M519" i="1"/>
  <c r="L519" i="1"/>
  <c r="L359" i="1" s="1"/>
  <c r="L72" i="9" s="1"/>
  <c r="K519" i="1"/>
  <c r="I519" i="1"/>
  <c r="H519" i="1"/>
  <c r="G519" i="1"/>
  <c r="F519" i="1"/>
  <c r="E519" i="1"/>
  <c r="D519" i="1"/>
  <c r="C519" i="1"/>
  <c r="A519" i="1"/>
  <c r="A518" i="1"/>
  <c r="A516" i="1"/>
  <c r="AM515" i="1"/>
  <c r="AL515" i="1"/>
  <c r="AK515" i="1"/>
  <c r="AJ515" i="1"/>
  <c r="AH515" i="1"/>
  <c r="AG515" i="1"/>
  <c r="AF515" i="1"/>
  <c r="AE515" i="1"/>
  <c r="AC515" i="1"/>
  <c r="AB515" i="1"/>
  <c r="AA515" i="1"/>
  <c r="Z515" i="1"/>
  <c r="X515" i="1"/>
  <c r="W515" i="1"/>
  <c r="V515" i="1"/>
  <c r="U515" i="1"/>
  <c r="S515" i="1"/>
  <c r="R515" i="1"/>
  <c r="Q515" i="1"/>
  <c r="P515" i="1"/>
  <c r="N515" i="1"/>
  <c r="M515" i="1"/>
  <c r="L515" i="1"/>
  <c r="K515" i="1"/>
  <c r="I515" i="1"/>
  <c r="H515" i="1"/>
  <c r="G515" i="1"/>
  <c r="F515" i="1"/>
  <c r="E515" i="1"/>
  <c r="D515" i="1"/>
  <c r="C515" i="1"/>
  <c r="A515" i="1"/>
  <c r="AT514" i="1"/>
  <c r="AM514" i="1"/>
  <c r="AL514" i="1"/>
  <c r="AK514" i="1"/>
  <c r="AO514" i="1" s="1"/>
  <c r="AJ514" i="1"/>
  <c r="AH514" i="1"/>
  <c r="AG514" i="1"/>
  <c r="AF514" i="1"/>
  <c r="AE514" i="1"/>
  <c r="AC514" i="1"/>
  <c r="AB514" i="1"/>
  <c r="AA514" i="1"/>
  <c r="Z514" i="1"/>
  <c r="X514" i="1"/>
  <c r="W514" i="1"/>
  <c r="V514" i="1"/>
  <c r="U514" i="1"/>
  <c r="S514" i="1"/>
  <c r="R514" i="1"/>
  <c r="Q514" i="1"/>
  <c r="P514" i="1"/>
  <c r="N514" i="1"/>
  <c r="M514" i="1"/>
  <c r="L514" i="1"/>
  <c r="K514" i="1"/>
  <c r="I514" i="1"/>
  <c r="H514" i="1"/>
  <c r="G514" i="1"/>
  <c r="F514" i="1"/>
  <c r="E514" i="1"/>
  <c r="D514" i="1"/>
  <c r="C514" i="1"/>
  <c r="A514" i="1"/>
  <c r="AT513" i="1"/>
  <c r="AM513" i="1"/>
  <c r="AL513" i="1"/>
  <c r="AK513" i="1"/>
  <c r="AJ513" i="1"/>
  <c r="AH513" i="1"/>
  <c r="AG513" i="1"/>
  <c r="AF513" i="1"/>
  <c r="AE513" i="1"/>
  <c r="AC513" i="1"/>
  <c r="AB513" i="1"/>
  <c r="AA513" i="1"/>
  <c r="Z513" i="1"/>
  <c r="X513" i="1"/>
  <c r="W513" i="1"/>
  <c r="V513" i="1"/>
  <c r="U513" i="1"/>
  <c r="S513" i="1"/>
  <c r="R513" i="1"/>
  <c r="Q513" i="1"/>
  <c r="P513" i="1"/>
  <c r="N513" i="1"/>
  <c r="M513" i="1"/>
  <c r="L513" i="1"/>
  <c r="K513" i="1"/>
  <c r="I513" i="1"/>
  <c r="H513" i="1"/>
  <c r="G513" i="1"/>
  <c r="F513" i="1"/>
  <c r="E513" i="1"/>
  <c r="D513" i="1"/>
  <c r="C513" i="1"/>
  <c r="A513" i="1"/>
  <c r="AT512" i="1"/>
  <c r="AM512" i="1"/>
  <c r="AL512" i="1"/>
  <c r="AK512" i="1"/>
  <c r="AJ512" i="1"/>
  <c r="AH512" i="1"/>
  <c r="AG512" i="1"/>
  <c r="AF512" i="1"/>
  <c r="AE512" i="1"/>
  <c r="AC512" i="1"/>
  <c r="AB512" i="1"/>
  <c r="AA512" i="1"/>
  <c r="Z512" i="1"/>
  <c r="X512" i="1"/>
  <c r="W512" i="1"/>
  <c r="V512" i="1"/>
  <c r="U512" i="1"/>
  <c r="S512" i="1"/>
  <c r="R512" i="1"/>
  <c r="Q512" i="1"/>
  <c r="P512" i="1"/>
  <c r="N512" i="1"/>
  <c r="M512" i="1"/>
  <c r="L512" i="1"/>
  <c r="K512" i="1"/>
  <c r="I512" i="1"/>
  <c r="H512" i="1"/>
  <c r="G512" i="1"/>
  <c r="F512" i="1"/>
  <c r="E512" i="1"/>
  <c r="D512" i="1"/>
  <c r="C512" i="1"/>
  <c r="A512" i="1"/>
  <c r="AT511" i="1"/>
  <c r="AM511" i="1"/>
  <c r="AL511" i="1"/>
  <c r="AK511" i="1"/>
  <c r="AO511" i="1" s="1"/>
  <c r="AJ511" i="1"/>
  <c r="AH511" i="1"/>
  <c r="AG511" i="1"/>
  <c r="AF511" i="1"/>
  <c r="AE511" i="1"/>
  <c r="AC511" i="1"/>
  <c r="AB511" i="1"/>
  <c r="AA511" i="1"/>
  <c r="Z511" i="1"/>
  <c r="X511" i="1"/>
  <c r="W511" i="1"/>
  <c r="V511" i="1"/>
  <c r="U511" i="1"/>
  <c r="S511" i="1"/>
  <c r="R511" i="1"/>
  <c r="Q511" i="1"/>
  <c r="P511" i="1"/>
  <c r="N511" i="1"/>
  <c r="M511" i="1"/>
  <c r="L511" i="1"/>
  <c r="K511" i="1"/>
  <c r="I511" i="1"/>
  <c r="H511" i="1"/>
  <c r="G511" i="1"/>
  <c r="F511" i="1"/>
  <c r="E511" i="1"/>
  <c r="D511" i="1"/>
  <c r="C511" i="1"/>
  <c r="A511" i="1"/>
  <c r="AT510" i="1"/>
  <c r="AM510" i="1"/>
  <c r="AL510" i="1"/>
  <c r="AK510" i="1"/>
  <c r="AO510" i="1" s="1"/>
  <c r="AJ510" i="1"/>
  <c r="AH510" i="1"/>
  <c r="AG510" i="1"/>
  <c r="AF510" i="1"/>
  <c r="AE510" i="1"/>
  <c r="AC510" i="1"/>
  <c r="AB510" i="1"/>
  <c r="AA510" i="1"/>
  <c r="Z510" i="1"/>
  <c r="X510" i="1"/>
  <c r="W510" i="1"/>
  <c r="V510" i="1"/>
  <c r="U510" i="1"/>
  <c r="S510" i="1"/>
  <c r="R510" i="1"/>
  <c r="Q510" i="1"/>
  <c r="P510" i="1"/>
  <c r="N510" i="1"/>
  <c r="M510" i="1"/>
  <c r="L510" i="1"/>
  <c r="K510" i="1"/>
  <c r="I510" i="1"/>
  <c r="H510" i="1"/>
  <c r="G510" i="1"/>
  <c r="F510" i="1"/>
  <c r="E510" i="1"/>
  <c r="D510" i="1"/>
  <c r="C510" i="1"/>
  <c r="A510" i="1"/>
  <c r="AT509" i="1"/>
  <c r="AM509" i="1"/>
  <c r="AL509" i="1"/>
  <c r="AK509" i="1"/>
  <c r="AJ509" i="1"/>
  <c r="AH509" i="1"/>
  <c r="AG509" i="1"/>
  <c r="AF509" i="1"/>
  <c r="AE509" i="1"/>
  <c r="AC509" i="1"/>
  <c r="AB509" i="1"/>
  <c r="AA509" i="1"/>
  <c r="Z509" i="1"/>
  <c r="X509" i="1"/>
  <c r="W509" i="1"/>
  <c r="V509" i="1"/>
  <c r="U509" i="1"/>
  <c r="S509" i="1"/>
  <c r="R509" i="1"/>
  <c r="Q509" i="1"/>
  <c r="P509" i="1"/>
  <c r="N509" i="1"/>
  <c r="M509" i="1"/>
  <c r="L509" i="1"/>
  <c r="K509" i="1"/>
  <c r="I509" i="1"/>
  <c r="H509" i="1"/>
  <c r="G509" i="1"/>
  <c r="F509" i="1"/>
  <c r="E509" i="1"/>
  <c r="D509" i="1"/>
  <c r="C509" i="1"/>
  <c r="A509" i="1"/>
  <c r="AM508" i="1"/>
  <c r="AL508" i="1"/>
  <c r="AK508" i="1"/>
  <c r="AJ508" i="1"/>
  <c r="AH508" i="1"/>
  <c r="AG508" i="1"/>
  <c r="AF508" i="1"/>
  <c r="AE508" i="1"/>
  <c r="AC508" i="1"/>
  <c r="AB508" i="1"/>
  <c r="AA508" i="1"/>
  <c r="Z508" i="1"/>
  <c r="X508" i="1"/>
  <c r="W508" i="1"/>
  <c r="V508" i="1"/>
  <c r="U508" i="1"/>
  <c r="S508" i="1"/>
  <c r="R508" i="1"/>
  <c r="Q508" i="1"/>
  <c r="P508" i="1"/>
  <c r="N508" i="1"/>
  <c r="M508" i="1"/>
  <c r="L508" i="1"/>
  <c r="K508" i="1"/>
  <c r="I508" i="1"/>
  <c r="H508" i="1"/>
  <c r="G508" i="1"/>
  <c r="F508" i="1"/>
  <c r="E508" i="1"/>
  <c r="D508" i="1"/>
  <c r="C508" i="1"/>
  <c r="A508" i="1"/>
  <c r="AT507" i="1"/>
  <c r="AM507" i="1"/>
  <c r="AL507" i="1"/>
  <c r="AK507" i="1"/>
  <c r="AJ507" i="1"/>
  <c r="AH507" i="1"/>
  <c r="AG507" i="1"/>
  <c r="AF507" i="1"/>
  <c r="AE507" i="1"/>
  <c r="AC507" i="1"/>
  <c r="AB507" i="1"/>
  <c r="AA507" i="1"/>
  <c r="Z507" i="1"/>
  <c r="X507" i="1"/>
  <c r="W507" i="1"/>
  <c r="V507" i="1"/>
  <c r="U507" i="1"/>
  <c r="S507" i="1"/>
  <c r="R507" i="1"/>
  <c r="Q507" i="1"/>
  <c r="P507" i="1"/>
  <c r="N507" i="1"/>
  <c r="M507" i="1"/>
  <c r="L507" i="1"/>
  <c r="K507" i="1"/>
  <c r="I507" i="1"/>
  <c r="H507" i="1"/>
  <c r="G507" i="1"/>
  <c r="F507" i="1"/>
  <c r="E507" i="1"/>
  <c r="D507" i="1"/>
  <c r="C507" i="1"/>
  <c r="A507" i="1"/>
  <c r="AM506" i="1"/>
  <c r="AL506" i="1"/>
  <c r="AK506" i="1"/>
  <c r="AJ506" i="1"/>
  <c r="AH506" i="1"/>
  <c r="AG506" i="1"/>
  <c r="AF506" i="1"/>
  <c r="AE506" i="1"/>
  <c r="AC506" i="1"/>
  <c r="AB506" i="1"/>
  <c r="AA506" i="1"/>
  <c r="Z506" i="1"/>
  <c r="X506" i="1"/>
  <c r="W506" i="1"/>
  <c r="V506" i="1"/>
  <c r="U506" i="1"/>
  <c r="S506" i="1"/>
  <c r="R506" i="1"/>
  <c r="Q506" i="1"/>
  <c r="P506" i="1"/>
  <c r="N506" i="1"/>
  <c r="M506" i="1"/>
  <c r="L506" i="1"/>
  <c r="K506" i="1"/>
  <c r="I506" i="1"/>
  <c r="H506" i="1"/>
  <c r="G506" i="1"/>
  <c r="F506" i="1"/>
  <c r="E506" i="1"/>
  <c r="D506" i="1"/>
  <c r="C506" i="1"/>
  <c r="A506" i="1"/>
  <c r="AT505" i="1"/>
  <c r="AM505" i="1"/>
  <c r="AL505" i="1"/>
  <c r="AK505" i="1"/>
  <c r="AO505" i="1" s="1"/>
  <c r="AJ505" i="1"/>
  <c r="AH505" i="1"/>
  <c r="AG505" i="1"/>
  <c r="AF505" i="1"/>
  <c r="AE505" i="1"/>
  <c r="AC505" i="1"/>
  <c r="AB505" i="1"/>
  <c r="AA505" i="1"/>
  <c r="Z505" i="1"/>
  <c r="X505" i="1"/>
  <c r="W505" i="1"/>
  <c r="V505" i="1"/>
  <c r="U505" i="1"/>
  <c r="S505" i="1"/>
  <c r="R505" i="1"/>
  <c r="Q505" i="1"/>
  <c r="P505" i="1"/>
  <c r="N505" i="1"/>
  <c r="M505" i="1"/>
  <c r="L505" i="1"/>
  <c r="K505" i="1"/>
  <c r="I505" i="1"/>
  <c r="H505" i="1"/>
  <c r="G505" i="1"/>
  <c r="F505" i="1"/>
  <c r="E505" i="1"/>
  <c r="D505" i="1"/>
  <c r="C505" i="1"/>
  <c r="A505" i="1"/>
  <c r="AT504" i="1"/>
  <c r="AM504" i="1"/>
  <c r="AL504" i="1"/>
  <c r="AK504" i="1"/>
  <c r="AO504" i="1" s="1"/>
  <c r="AJ504" i="1"/>
  <c r="AH504" i="1"/>
  <c r="AG504" i="1"/>
  <c r="AF504" i="1"/>
  <c r="AE504" i="1"/>
  <c r="AC504" i="1"/>
  <c r="AB504" i="1"/>
  <c r="AA504" i="1"/>
  <c r="Z504" i="1"/>
  <c r="X504" i="1"/>
  <c r="W504" i="1"/>
  <c r="V504" i="1"/>
  <c r="U504" i="1"/>
  <c r="S504" i="1"/>
  <c r="R504" i="1"/>
  <c r="Q504" i="1"/>
  <c r="P504" i="1"/>
  <c r="N504" i="1"/>
  <c r="M504" i="1"/>
  <c r="L504" i="1"/>
  <c r="K504" i="1"/>
  <c r="I504" i="1"/>
  <c r="H504" i="1"/>
  <c r="G504" i="1"/>
  <c r="F504" i="1"/>
  <c r="E504" i="1"/>
  <c r="D504" i="1"/>
  <c r="C504" i="1"/>
  <c r="A504" i="1"/>
  <c r="AT503" i="1"/>
  <c r="AM503" i="1"/>
  <c r="AL503" i="1"/>
  <c r="AK503" i="1"/>
  <c r="AJ503" i="1"/>
  <c r="AH503" i="1"/>
  <c r="AG503" i="1"/>
  <c r="AF503" i="1"/>
  <c r="AE503" i="1"/>
  <c r="AC503" i="1"/>
  <c r="AB503" i="1"/>
  <c r="AA503" i="1"/>
  <c r="Z503" i="1"/>
  <c r="X503" i="1"/>
  <c r="W503" i="1"/>
  <c r="V503" i="1"/>
  <c r="U503" i="1"/>
  <c r="S503" i="1"/>
  <c r="R503" i="1"/>
  <c r="Q503" i="1"/>
  <c r="P503" i="1"/>
  <c r="N503" i="1"/>
  <c r="M503" i="1"/>
  <c r="L503" i="1"/>
  <c r="K503" i="1"/>
  <c r="I503" i="1"/>
  <c r="H503" i="1"/>
  <c r="G503" i="1"/>
  <c r="F503" i="1"/>
  <c r="E503" i="1"/>
  <c r="D503" i="1"/>
  <c r="C503" i="1"/>
  <c r="A503" i="1"/>
  <c r="AM502" i="1"/>
  <c r="AL502" i="1"/>
  <c r="AK502" i="1"/>
  <c r="AJ502" i="1"/>
  <c r="AH502" i="1"/>
  <c r="AG502" i="1"/>
  <c r="AF502" i="1"/>
  <c r="AE502" i="1"/>
  <c r="AC502" i="1"/>
  <c r="AB502" i="1"/>
  <c r="AA502" i="1"/>
  <c r="Z502" i="1"/>
  <c r="X502" i="1"/>
  <c r="W502" i="1"/>
  <c r="V502" i="1"/>
  <c r="U502" i="1"/>
  <c r="S502" i="1"/>
  <c r="R502" i="1"/>
  <c r="Q502" i="1"/>
  <c r="P502" i="1"/>
  <c r="N502" i="1"/>
  <c r="M502" i="1"/>
  <c r="L502" i="1"/>
  <c r="K502" i="1"/>
  <c r="I502" i="1"/>
  <c r="H502" i="1"/>
  <c r="G502" i="1"/>
  <c r="F502" i="1"/>
  <c r="E502" i="1"/>
  <c r="D502" i="1"/>
  <c r="C502" i="1"/>
  <c r="A502" i="1"/>
  <c r="AM501" i="1"/>
  <c r="AL501" i="1"/>
  <c r="AL78" i="9" s="1"/>
  <c r="AK501" i="1"/>
  <c r="AJ501" i="1"/>
  <c r="AJ78" i="9" s="1"/>
  <c r="AH501" i="1"/>
  <c r="AG501" i="1"/>
  <c r="AG78" i="9" s="1"/>
  <c r="AF501" i="1"/>
  <c r="AE501" i="1"/>
  <c r="AE78" i="9" s="1"/>
  <c r="AC501" i="1"/>
  <c r="AB501" i="1"/>
  <c r="AB78" i="9" s="1"/>
  <c r="AA501" i="1"/>
  <c r="Z501" i="1"/>
  <c r="Z78" i="9" s="1"/>
  <c r="X501" i="1"/>
  <c r="W501" i="1"/>
  <c r="W78" i="9" s="1"/>
  <c r="V501" i="1"/>
  <c r="U501" i="1"/>
  <c r="U78" i="9" s="1"/>
  <c r="S501" i="1"/>
  <c r="R501" i="1"/>
  <c r="R78" i="9" s="1"/>
  <c r="Q501" i="1"/>
  <c r="P501" i="1"/>
  <c r="P78" i="9" s="1"/>
  <c r="N501" i="1"/>
  <c r="M501" i="1"/>
  <c r="M78" i="9" s="1"/>
  <c r="L501" i="1"/>
  <c r="K501" i="1"/>
  <c r="K78" i="9" s="1"/>
  <c r="I501" i="1"/>
  <c r="H501" i="1"/>
  <c r="H78" i="9" s="1"/>
  <c r="G501" i="1"/>
  <c r="F501" i="1"/>
  <c r="F78" i="9" s="1"/>
  <c r="E501" i="1"/>
  <c r="D501" i="1"/>
  <c r="D78" i="9" s="1"/>
  <c r="C501" i="1"/>
  <c r="A501" i="1"/>
  <c r="A500" i="1"/>
  <c r="AT499" i="1"/>
  <c r="AM499" i="1"/>
  <c r="AL499" i="1"/>
  <c r="AK499" i="1"/>
  <c r="AO499" i="1" s="1"/>
  <c r="AJ499" i="1"/>
  <c r="AH499" i="1"/>
  <c r="AG499" i="1"/>
  <c r="AF499" i="1"/>
  <c r="AE499" i="1"/>
  <c r="AC499" i="1"/>
  <c r="AB499" i="1"/>
  <c r="AA499" i="1"/>
  <c r="Z499" i="1"/>
  <c r="X499" i="1"/>
  <c r="W499" i="1"/>
  <c r="V499" i="1"/>
  <c r="U499" i="1"/>
  <c r="S499" i="1"/>
  <c r="R499" i="1"/>
  <c r="Q499" i="1"/>
  <c r="P499" i="1"/>
  <c r="N499" i="1"/>
  <c r="M499" i="1"/>
  <c r="L499" i="1"/>
  <c r="K499" i="1"/>
  <c r="I499" i="1"/>
  <c r="H499" i="1"/>
  <c r="G499" i="1"/>
  <c r="F499" i="1"/>
  <c r="E499" i="1"/>
  <c r="D499" i="1"/>
  <c r="C499" i="1"/>
  <c r="A499" i="1"/>
  <c r="AT498" i="1"/>
  <c r="AM498" i="1"/>
  <c r="AL498" i="1"/>
  <c r="AK498" i="1"/>
  <c r="AO498" i="1" s="1"/>
  <c r="AJ498" i="1"/>
  <c r="AH498" i="1"/>
  <c r="AG498" i="1"/>
  <c r="AF498" i="1"/>
  <c r="AE498" i="1"/>
  <c r="AC498" i="1"/>
  <c r="AB498" i="1"/>
  <c r="AA498" i="1"/>
  <c r="Z498" i="1"/>
  <c r="X498" i="1"/>
  <c r="W498" i="1"/>
  <c r="V498" i="1"/>
  <c r="U498" i="1"/>
  <c r="S498" i="1"/>
  <c r="R498" i="1"/>
  <c r="Q498" i="1"/>
  <c r="P498" i="1"/>
  <c r="N498" i="1"/>
  <c r="M498" i="1"/>
  <c r="L498" i="1"/>
  <c r="K498" i="1"/>
  <c r="I498" i="1"/>
  <c r="H498" i="1"/>
  <c r="G498" i="1"/>
  <c r="F498" i="1"/>
  <c r="E498" i="1"/>
  <c r="D498" i="1"/>
  <c r="C498" i="1"/>
  <c r="A498" i="1"/>
  <c r="AT497" i="1"/>
  <c r="AM497" i="1"/>
  <c r="AL497" i="1"/>
  <c r="AK497" i="1"/>
  <c r="AJ497" i="1"/>
  <c r="AH497" i="1"/>
  <c r="AG497" i="1"/>
  <c r="AF497" i="1"/>
  <c r="AE497" i="1"/>
  <c r="AC497" i="1"/>
  <c r="AB497" i="1"/>
  <c r="AA497" i="1"/>
  <c r="Z497" i="1"/>
  <c r="X497" i="1"/>
  <c r="W497" i="1"/>
  <c r="V497" i="1"/>
  <c r="U497" i="1"/>
  <c r="S497" i="1"/>
  <c r="R497" i="1"/>
  <c r="Q497" i="1"/>
  <c r="P497" i="1"/>
  <c r="N497" i="1"/>
  <c r="M497" i="1"/>
  <c r="L497" i="1"/>
  <c r="K497" i="1"/>
  <c r="I497" i="1"/>
  <c r="H497" i="1"/>
  <c r="G497" i="1"/>
  <c r="F497" i="1"/>
  <c r="E497" i="1"/>
  <c r="D497" i="1"/>
  <c r="C497" i="1"/>
  <c r="A497" i="1"/>
  <c r="AT496" i="1"/>
  <c r="AM496" i="1"/>
  <c r="AL496" i="1"/>
  <c r="AK496" i="1"/>
  <c r="AO496" i="1" s="1"/>
  <c r="AJ496" i="1"/>
  <c r="AH496" i="1"/>
  <c r="AG496" i="1"/>
  <c r="AF496" i="1"/>
  <c r="AE496" i="1"/>
  <c r="AC496" i="1"/>
  <c r="AB496" i="1"/>
  <c r="AA496" i="1"/>
  <c r="Z496" i="1"/>
  <c r="X496" i="1"/>
  <c r="W496" i="1"/>
  <c r="V496" i="1"/>
  <c r="U496" i="1"/>
  <c r="S496" i="1"/>
  <c r="R496" i="1"/>
  <c r="Q496" i="1"/>
  <c r="P496" i="1"/>
  <c r="N496" i="1"/>
  <c r="M496" i="1"/>
  <c r="L496" i="1"/>
  <c r="K496" i="1"/>
  <c r="I496" i="1"/>
  <c r="H496" i="1"/>
  <c r="G496" i="1"/>
  <c r="F496" i="1"/>
  <c r="E496" i="1"/>
  <c r="D496" i="1"/>
  <c r="C496" i="1"/>
  <c r="A496" i="1"/>
  <c r="AT495" i="1"/>
  <c r="AM495" i="1"/>
  <c r="AL495" i="1"/>
  <c r="AK495" i="1"/>
  <c r="AO495" i="1" s="1"/>
  <c r="AJ495" i="1"/>
  <c r="AH495" i="1"/>
  <c r="AG495" i="1"/>
  <c r="AF495" i="1"/>
  <c r="AE495" i="1"/>
  <c r="AC495" i="1"/>
  <c r="AB495" i="1"/>
  <c r="AA495" i="1"/>
  <c r="Z495" i="1"/>
  <c r="X495" i="1"/>
  <c r="W495" i="1"/>
  <c r="V495" i="1"/>
  <c r="U495" i="1"/>
  <c r="S495" i="1"/>
  <c r="R495" i="1"/>
  <c r="Q495" i="1"/>
  <c r="P495" i="1"/>
  <c r="N495" i="1"/>
  <c r="M495" i="1"/>
  <c r="L495" i="1"/>
  <c r="K495" i="1"/>
  <c r="I495" i="1"/>
  <c r="H495" i="1"/>
  <c r="G495" i="1"/>
  <c r="F495" i="1"/>
  <c r="E495" i="1"/>
  <c r="D495" i="1"/>
  <c r="C495" i="1"/>
  <c r="A495" i="1"/>
  <c r="AM494" i="1"/>
  <c r="AL494" i="1"/>
  <c r="AK494" i="1"/>
  <c r="AJ494" i="1"/>
  <c r="AJ331" i="1" s="1"/>
  <c r="AH494" i="1"/>
  <c r="AG494" i="1"/>
  <c r="AF494" i="1"/>
  <c r="AE494" i="1"/>
  <c r="AC494" i="1"/>
  <c r="AB494" i="1"/>
  <c r="AA494" i="1"/>
  <c r="Z494" i="1"/>
  <c r="X494" i="1"/>
  <c r="W494" i="1"/>
  <c r="V494" i="1"/>
  <c r="U494" i="1"/>
  <c r="S494" i="1"/>
  <c r="R494" i="1"/>
  <c r="Q494" i="1"/>
  <c r="P494" i="1"/>
  <c r="P331" i="1" s="1"/>
  <c r="N494" i="1"/>
  <c r="M494" i="1"/>
  <c r="L494" i="1"/>
  <c r="K494" i="1"/>
  <c r="I494" i="1"/>
  <c r="H494" i="1"/>
  <c r="G494" i="1"/>
  <c r="F494" i="1"/>
  <c r="E494" i="1"/>
  <c r="D494" i="1"/>
  <c r="C494" i="1"/>
  <c r="A494" i="1"/>
  <c r="AM493" i="1"/>
  <c r="AL493" i="1"/>
  <c r="AK493" i="1"/>
  <c r="AJ493" i="1"/>
  <c r="AH493" i="1"/>
  <c r="AG493" i="1"/>
  <c r="AF493" i="1"/>
  <c r="AE493" i="1"/>
  <c r="AC493" i="1"/>
  <c r="AB493" i="1"/>
  <c r="AA493" i="1"/>
  <c r="Z493" i="1"/>
  <c r="X493" i="1"/>
  <c r="W493" i="1"/>
  <c r="V493" i="1"/>
  <c r="U493" i="1"/>
  <c r="S493" i="1"/>
  <c r="R493" i="1"/>
  <c r="Q493" i="1"/>
  <c r="P493" i="1"/>
  <c r="N493" i="1"/>
  <c r="M493" i="1"/>
  <c r="L493" i="1"/>
  <c r="K493" i="1"/>
  <c r="I493" i="1"/>
  <c r="H493" i="1"/>
  <c r="G493" i="1"/>
  <c r="F493" i="1"/>
  <c r="E493" i="1"/>
  <c r="D493" i="1"/>
  <c r="C493" i="1"/>
  <c r="A493" i="1"/>
  <c r="AT492" i="1"/>
  <c r="AM492" i="1"/>
  <c r="AL492" i="1"/>
  <c r="AK492" i="1"/>
  <c r="AO492" i="1" s="1"/>
  <c r="AJ492" i="1"/>
  <c r="AH492" i="1"/>
  <c r="AG492" i="1"/>
  <c r="AF492" i="1"/>
  <c r="AE492" i="1"/>
  <c r="AC492" i="1"/>
  <c r="AB492" i="1"/>
  <c r="AA492" i="1"/>
  <c r="Z492" i="1"/>
  <c r="X492" i="1"/>
  <c r="W492" i="1"/>
  <c r="V492" i="1"/>
  <c r="U492" i="1"/>
  <c r="S492" i="1"/>
  <c r="R492" i="1"/>
  <c r="Q492" i="1"/>
  <c r="P492" i="1"/>
  <c r="N492" i="1"/>
  <c r="M492" i="1"/>
  <c r="L492" i="1"/>
  <c r="K492" i="1"/>
  <c r="I492" i="1"/>
  <c r="H492" i="1"/>
  <c r="G492" i="1"/>
  <c r="F492" i="1"/>
  <c r="E492" i="1"/>
  <c r="D492" i="1"/>
  <c r="C492" i="1"/>
  <c r="A492" i="1"/>
  <c r="AT491" i="1"/>
  <c r="AM491" i="1"/>
  <c r="AL491" i="1"/>
  <c r="AK491" i="1"/>
  <c r="AJ491" i="1"/>
  <c r="AH491" i="1"/>
  <c r="AG491" i="1"/>
  <c r="AF491" i="1"/>
  <c r="AE491" i="1"/>
  <c r="AC491" i="1"/>
  <c r="AB491" i="1"/>
  <c r="AA491" i="1"/>
  <c r="Z491" i="1"/>
  <c r="X491" i="1"/>
  <c r="W491" i="1"/>
  <c r="V491" i="1"/>
  <c r="U491" i="1"/>
  <c r="S491" i="1"/>
  <c r="R491" i="1"/>
  <c r="Q491" i="1"/>
  <c r="P491" i="1"/>
  <c r="N491" i="1"/>
  <c r="M491" i="1"/>
  <c r="L491" i="1"/>
  <c r="K491" i="1"/>
  <c r="I491" i="1"/>
  <c r="H491" i="1"/>
  <c r="G491" i="1"/>
  <c r="F491" i="1"/>
  <c r="E491" i="1"/>
  <c r="D491" i="1"/>
  <c r="C491" i="1"/>
  <c r="A491" i="1"/>
  <c r="AT490" i="1"/>
  <c r="AM490" i="1"/>
  <c r="AL490" i="1"/>
  <c r="AK490" i="1"/>
  <c r="AO490" i="1" s="1"/>
  <c r="AJ490" i="1"/>
  <c r="AH490" i="1"/>
  <c r="AG490" i="1"/>
  <c r="AF490" i="1"/>
  <c r="AE490" i="1"/>
  <c r="AC490" i="1"/>
  <c r="AB490" i="1"/>
  <c r="AA490" i="1"/>
  <c r="Z490" i="1"/>
  <c r="X490" i="1"/>
  <c r="W490" i="1"/>
  <c r="V490" i="1"/>
  <c r="U490" i="1"/>
  <c r="S490" i="1"/>
  <c r="R490" i="1"/>
  <c r="Q490" i="1"/>
  <c r="P490" i="1"/>
  <c r="N490" i="1"/>
  <c r="M490" i="1"/>
  <c r="L490" i="1"/>
  <c r="K490" i="1"/>
  <c r="I490" i="1"/>
  <c r="H490" i="1"/>
  <c r="G490" i="1"/>
  <c r="F490" i="1"/>
  <c r="E490" i="1"/>
  <c r="D490" i="1"/>
  <c r="C490" i="1"/>
  <c r="A490" i="1"/>
  <c r="AT489" i="1"/>
  <c r="AM489" i="1"/>
  <c r="AL489" i="1"/>
  <c r="AK489" i="1"/>
  <c r="AO489" i="1" s="1"/>
  <c r="AJ489" i="1"/>
  <c r="AH489" i="1"/>
  <c r="AG489" i="1"/>
  <c r="AF489" i="1"/>
  <c r="AE489" i="1"/>
  <c r="AC489" i="1"/>
  <c r="AB489" i="1"/>
  <c r="AA489" i="1"/>
  <c r="Z489" i="1"/>
  <c r="X489" i="1"/>
  <c r="W489" i="1"/>
  <c r="V489" i="1"/>
  <c r="U489" i="1"/>
  <c r="S489" i="1"/>
  <c r="R489" i="1"/>
  <c r="Q489" i="1"/>
  <c r="P489" i="1"/>
  <c r="N489" i="1"/>
  <c r="M489" i="1"/>
  <c r="L489" i="1"/>
  <c r="K489" i="1"/>
  <c r="I489" i="1"/>
  <c r="H489" i="1"/>
  <c r="G489" i="1"/>
  <c r="F489" i="1"/>
  <c r="E489" i="1"/>
  <c r="D489" i="1"/>
  <c r="C489" i="1"/>
  <c r="A489" i="1"/>
  <c r="AT488" i="1"/>
  <c r="AM488" i="1"/>
  <c r="AL488" i="1"/>
  <c r="AK488" i="1"/>
  <c r="AO488" i="1" s="1"/>
  <c r="AJ488" i="1"/>
  <c r="AH488" i="1"/>
  <c r="AG488" i="1"/>
  <c r="AF488" i="1"/>
  <c r="AE488" i="1"/>
  <c r="AC488" i="1"/>
  <c r="AB488" i="1"/>
  <c r="AA488" i="1"/>
  <c r="Z488" i="1"/>
  <c r="X488" i="1"/>
  <c r="W488" i="1"/>
  <c r="V488" i="1"/>
  <c r="U488" i="1"/>
  <c r="S488" i="1"/>
  <c r="R488" i="1"/>
  <c r="Q488" i="1"/>
  <c r="P488" i="1"/>
  <c r="N488" i="1"/>
  <c r="M488" i="1"/>
  <c r="L488" i="1"/>
  <c r="K488" i="1"/>
  <c r="I488" i="1"/>
  <c r="H488" i="1"/>
  <c r="G488" i="1"/>
  <c r="F488" i="1"/>
  <c r="E488" i="1"/>
  <c r="D488" i="1"/>
  <c r="C488" i="1"/>
  <c r="A488" i="1"/>
  <c r="AM487" i="1"/>
  <c r="AL487" i="1"/>
  <c r="AK487" i="1"/>
  <c r="AJ487" i="1"/>
  <c r="AH487" i="1"/>
  <c r="AG487" i="1"/>
  <c r="AF487" i="1"/>
  <c r="AE487" i="1"/>
  <c r="AC487" i="1"/>
  <c r="AB487" i="1"/>
  <c r="AA487" i="1"/>
  <c r="Z487" i="1"/>
  <c r="X487" i="1"/>
  <c r="W487" i="1"/>
  <c r="V487" i="1"/>
  <c r="U487" i="1"/>
  <c r="S487" i="1"/>
  <c r="R487" i="1"/>
  <c r="Q487" i="1"/>
  <c r="P487" i="1"/>
  <c r="N487" i="1"/>
  <c r="M487" i="1"/>
  <c r="L487" i="1"/>
  <c r="K487" i="1"/>
  <c r="I487" i="1"/>
  <c r="H487" i="1"/>
  <c r="G487" i="1"/>
  <c r="F487" i="1"/>
  <c r="E487" i="1"/>
  <c r="D487" i="1"/>
  <c r="C487" i="1"/>
  <c r="A487" i="1"/>
  <c r="AW486" i="1"/>
  <c r="AV486" i="1"/>
  <c r="AU486" i="1"/>
  <c r="AS486" i="1"/>
  <c r="AR486" i="1"/>
  <c r="AQ486" i="1"/>
  <c r="AP486" i="1"/>
  <c r="AT486" i="1" s="1"/>
  <c r="AN486" i="1"/>
  <c r="AM486" i="1"/>
  <c r="AL486" i="1"/>
  <c r="AK486" i="1"/>
  <c r="AO486" i="1" s="1"/>
  <c r="AJ486" i="1"/>
  <c r="AH486" i="1"/>
  <c r="AG486" i="1"/>
  <c r="AF486" i="1"/>
  <c r="AE486" i="1"/>
  <c r="AC486" i="1"/>
  <c r="AB486" i="1"/>
  <c r="AA486" i="1"/>
  <c r="Z486" i="1"/>
  <c r="X486" i="1"/>
  <c r="W486" i="1"/>
  <c r="V486" i="1"/>
  <c r="U486" i="1"/>
  <c r="S486" i="1"/>
  <c r="R486" i="1"/>
  <c r="Q486" i="1"/>
  <c r="P486" i="1"/>
  <c r="N486" i="1"/>
  <c r="M486" i="1"/>
  <c r="L486" i="1"/>
  <c r="K486" i="1"/>
  <c r="I486" i="1"/>
  <c r="H486" i="1"/>
  <c r="G486" i="1"/>
  <c r="F486" i="1"/>
  <c r="E486" i="1"/>
  <c r="D486" i="1"/>
  <c r="C486" i="1"/>
  <c r="A486" i="1"/>
  <c r="AW485" i="1"/>
  <c r="AV485" i="1"/>
  <c r="AU485" i="1"/>
  <c r="AS485" i="1"/>
  <c r="AR485" i="1"/>
  <c r="AQ485" i="1"/>
  <c r="AP485" i="1"/>
  <c r="AT485" i="1" s="1"/>
  <c r="AN485" i="1"/>
  <c r="AM485" i="1"/>
  <c r="AL485" i="1"/>
  <c r="AK485" i="1"/>
  <c r="AO485" i="1" s="1"/>
  <c r="AJ485" i="1"/>
  <c r="AH485" i="1"/>
  <c r="AG485" i="1"/>
  <c r="AF485" i="1"/>
  <c r="AE485" i="1"/>
  <c r="AC485" i="1"/>
  <c r="AB485" i="1"/>
  <c r="AA485" i="1"/>
  <c r="Z485" i="1"/>
  <c r="X485" i="1"/>
  <c r="W485" i="1"/>
  <c r="V485" i="1"/>
  <c r="V314" i="1" s="1"/>
  <c r="U485" i="1"/>
  <c r="S485" i="1"/>
  <c r="R485" i="1"/>
  <c r="Q485" i="1"/>
  <c r="P485" i="1"/>
  <c r="N485" i="1"/>
  <c r="M485" i="1"/>
  <c r="L485" i="1"/>
  <c r="K485" i="1"/>
  <c r="I485" i="1"/>
  <c r="H485" i="1"/>
  <c r="G485" i="1"/>
  <c r="F485" i="1"/>
  <c r="E485" i="1"/>
  <c r="D485" i="1"/>
  <c r="C485" i="1"/>
  <c r="A485" i="1"/>
  <c r="AM484" i="1"/>
  <c r="AL484" i="1"/>
  <c r="AK484" i="1"/>
  <c r="AJ484" i="1"/>
  <c r="AH484" i="1"/>
  <c r="AG484" i="1"/>
  <c r="AF484" i="1"/>
  <c r="AE484" i="1"/>
  <c r="AC484" i="1"/>
  <c r="AB484" i="1"/>
  <c r="AA484" i="1"/>
  <c r="Z484" i="1"/>
  <c r="X484" i="1"/>
  <c r="W484" i="1"/>
  <c r="V484" i="1"/>
  <c r="U484" i="1"/>
  <c r="S484" i="1"/>
  <c r="R484" i="1"/>
  <c r="Q484" i="1"/>
  <c r="P484" i="1"/>
  <c r="N484" i="1"/>
  <c r="M484" i="1"/>
  <c r="L484" i="1"/>
  <c r="K484" i="1"/>
  <c r="I484" i="1"/>
  <c r="H484" i="1"/>
  <c r="G484" i="1"/>
  <c r="F484" i="1"/>
  <c r="E484" i="1"/>
  <c r="D484" i="1"/>
  <c r="C484" i="1"/>
  <c r="A484" i="1"/>
  <c r="A483" i="1"/>
  <c r="AG479" i="1"/>
  <c r="AH479" i="1" s="1"/>
  <c r="AI479" i="1" s="1"/>
  <c r="AJ479" i="1" s="1"/>
  <c r="AC479" i="1"/>
  <c r="AD479" i="1" s="1"/>
  <c r="AE479" i="1" s="1"/>
  <c r="AS476" i="1"/>
  <c r="AN476" i="1"/>
  <c r="AI476" i="1"/>
  <c r="AI540" i="1" s="1"/>
  <c r="AD476" i="1"/>
  <c r="AD540" i="1" s="1"/>
  <c r="Y476" i="1"/>
  <c r="Y540" i="1" s="1"/>
  <c r="T476" i="1"/>
  <c r="T540" i="1" s="1"/>
  <c r="O476" i="1"/>
  <c r="O540" i="1" s="1"/>
  <c r="J476" i="1"/>
  <c r="J540" i="1" s="1"/>
  <c r="AW474" i="1"/>
  <c r="AV474" i="1"/>
  <c r="AU474" i="1"/>
  <c r="AT474" i="1"/>
  <c r="AS474" i="1"/>
  <c r="AR474" i="1"/>
  <c r="AQ474" i="1"/>
  <c r="AP474" i="1"/>
  <c r="AO474" i="1"/>
  <c r="AN474" i="1"/>
  <c r="AM474" i="1"/>
  <c r="AL474" i="1"/>
  <c r="AK474" i="1"/>
  <c r="AJ474" i="1"/>
  <c r="AH474" i="1"/>
  <c r="AG474" i="1"/>
  <c r="AF474" i="1"/>
  <c r="AE474" i="1"/>
  <c r="AC474" i="1"/>
  <c r="AB474" i="1"/>
  <c r="AB477" i="1" s="1"/>
  <c r="AB480" i="1" s="1"/>
  <c r="AA474" i="1"/>
  <c r="Z474" i="1"/>
  <c r="X474" i="1"/>
  <c r="W474" i="1"/>
  <c r="V474" i="1"/>
  <c r="U474" i="1"/>
  <c r="S474" i="1"/>
  <c r="R474" i="1"/>
  <c r="Q474" i="1"/>
  <c r="P474" i="1"/>
  <c r="N474" i="1"/>
  <c r="M474" i="1"/>
  <c r="L474" i="1"/>
  <c r="K474" i="1"/>
  <c r="I474" i="1"/>
  <c r="H474" i="1"/>
  <c r="H477" i="1" s="1"/>
  <c r="G474" i="1"/>
  <c r="F474" i="1"/>
  <c r="E474" i="1"/>
  <c r="D474" i="1"/>
  <c r="D477" i="1" s="1"/>
  <c r="C474" i="1"/>
  <c r="AI473" i="1"/>
  <c r="AI537" i="1" s="1"/>
  <c r="AD473" i="1"/>
  <c r="AD537" i="1" s="1"/>
  <c r="Y473" i="1"/>
  <c r="Y537" i="1" s="1"/>
  <c r="T473" i="1"/>
  <c r="T537" i="1" s="1"/>
  <c r="O473" i="1"/>
  <c r="O537" i="1" s="1"/>
  <c r="J473" i="1"/>
  <c r="J537" i="1" s="1"/>
  <c r="AI472" i="1"/>
  <c r="AI536" i="1" s="1"/>
  <c r="AD472" i="1"/>
  <c r="AD536" i="1" s="1"/>
  <c r="Y472" i="1"/>
  <c r="Y536" i="1" s="1"/>
  <c r="T472" i="1"/>
  <c r="T536" i="1" s="1"/>
  <c r="O472" i="1"/>
  <c r="O536" i="1" s="1"/>
  <c r="J472" i="1"/>
  <c r="J536" i="1" s="1"/>
  <c r="AI471" i="1"/>
  <c r="AI535" i="1" s="1"/>
  <c r="AD471" i="1"/>
  <c r="AD535" i="1" s="1"/>
  <c r="Y471" i="1"/>
  <c r="Y535" i="1" s="1"/>
  <c r="T471" i="1"/>
  <c r="T535" i="1" s="1"/>
  <c r="O471" i="1"/>
  <c r="O535" i="1" s="1"/>
  <c r="J471" i="1"/>
  <c r="J535" i="1" s="1"/>
  <c r="AI470" i="1"/>
  <c r="AI534" i="1" s="1"/>
  <c r="AD470" i="1"/>
  <c r="AD534" i="1" s="1"/>
  <c r="Y470" i="1"/>
  <c r="Y534" i="1" s="1"/>
  <c r="T470" i="1"/>
  <c r="T534" i="1" s="1"/>
  <c r="O470" i="1"/>
  <c r="O534" i="1" s="1"/>
  <c r="J470" i="1"/>
  <c r="J534" i="1" s="1"/>
  <c r="AI469" i="1"/>
  <c r="AI533" i="1" s="1"/>
  <c r="AD469" i="1"/>
  <c r="AD533" i="1" s="1"/>
  <c r="Y469" i="1"/>
  <c r="Y533" i="1" s="1"/>
  <c r="T469" i="1"/>
  <c r="T533" i="1" s="1"/>
  <c r="O469" i="1"/>
  <c r="O533" i="1" s="1"/>
  <c r="J469" i="1"/>
  <c r="J533" i="1" s="1"/>
  <c r="AI468" i="1"/>
  <c r="AI532" i="1" s="1"/>
  <c r="AD468" i="1"/>
  <c r="AD532" i="1" s="1"/>
  <c r="Y468" i="1"/>
  <c r="Y532" i="1" s="1"/>
  <c r="T468" i="1"/>
  <c r="T532" i="1" s="1"/>
  <c r="O468" i="1"/>
  <c r="O532" i="1" s="1"/>
  <c r="J468" i="1"/>
  <c r="J532" i="1" s="1"/>
  <c r="AI467" i="1"/>
  <c r="AI531" i="1" s="1"/>
  <c r="AD467" i="1"/>
  <c r="AD531" i="1" s="1"/>
  <c r="Y467" i="1"/>
  <c r="Y531" i="1" s="1"/>
  <c r="Y367" i="1" s="1"/>
  <c r="Y80" i="9" s="1"/>
  <c r="T467" i="1"/>
  <c r="T531" i="1" s="1"/>
  <c r="O467" i="1"/>
  <c r="O531" i="1" s="1"/>
  <c r="J467" i="1"/>
  <c r="J531" i="1" s="1"/>
  <c r="AI466" i="1"/>
  <c r="AI530" i="1" s="1"/>
  <c r="AI538" i="1" s="1"/>
  <c r="AD466" i="1"/>
  <c r="AD530" i="1" s="1"/>
  <c r="Y466" i="1"/>
  <c r="Y530" i="1" s="1"/>
  <c r="T466" i="1"/>
  <c r="T530" i="1" s="1"/>
  <c r="O466" i="1"/>
  <c r="O530" i="1" s="1"/>
  <c r="O538" i="1" s="1"/>
  <c r="J466" i="1"/>
  <c r="J530" i="1" s="1"/>
  <c r="AW463" i="1"/>
  <c r="AV463" i="1"/>
  <c r="AU463" i="1"/>
  <c r="AT463" i="1"/>
  <c r="AS463" i="1"/>
  <c r="AR463" i="1"/>
  <c r="AQ463" i="1"/>
  <c r="AP463" i="1"/>
  <c r="AO463" i="1"/>
  <c r="AN463" i="1"/>
  <c r="AM463" i="1"/>
  <c r="AL463" i="1"/>
  <c r="AK463" i="1"/>
  <c r="AJ463" i="1"/>
  <c r="AH463" i="1"/>
  <c r="AG463" i="1"/>
  <c r="AF463" i="1"/>
  <c r="AE463" i="1"/>
  <c r="AC463" i="1"/>
  <c r="AB463" i="1"/>
  <c r="AA463" i="1"/>
  <c r="Z463" i="1"/>
  <c r="X463" i="1"/>
  <c r="W463" i="1"/>
  <c r="V463" i="1"/>
  <c r="U463" i="1"/>
  <c r="S463" i="1"/>
  <c r="R463" i="1"/>
  <c r="Q463" i="1"/>
  <c r="P463" i="1"/>
  <c r="N463" i="1"/>
  <c r="M463" i="1"/>
  <c r="L463" i="1"/>
  <c r="K463" i="1"/>
  <c r="I463" i="1"/>
  <c r="H463" i="1"/>
  <c r="G463" i="1"/>
  <c r="D463" i="1"/>
  <c r="C463" i="1"/>
  <c r="AI462" i="1"/>
  <c r="AI526" i="1" s="1"/>
  <c r="AD462" i="1"/>
  <c r="AD526" i="1" s="1"/>
  <c r="Y462" i="1"/>
  <c r="Y526" i="1" s="1"/>
  <c r="T462" i="1"/>
  <c r="T526" i="1" s="1"/>
  <c r="O462" i="1"/>
  <c r="O526" i="1" s="1"/>
  <c r="J462" i="1"/>
  <c r="J526" i="1" s="1"/>
  <c r="AI461" i="1"/>
  <c r="AI525" i="1" s="1"/>
  <c r="AD461" i="1"/>
  <c r="AD525" i="1" s="1"/>
  <c r="Y461" i="1"/>
  <c r="Y525" i="1" s="1"/>
  <c r="T461" i="1"/>
  <c r="T525" i="1" s="1"/>
  <c r="O461" i="1"/>
  <c r="O525" i="1" s="1"/>
  <c r="J461" i="1"/>
  <c r="J525" i="1" s="1"/>
  <c r="F461" i="1"/>
  <c r="F525" i="1" s="1"/>
  <c r="E461" i="1"/>
  <c r="E525" i="1" s="1"/>
  <c r="C461" i="1"/>
  <c r="C525" i="1" s="1"/>
  <c r="AI460" i="1"/>
  <c r="AI524" i="1" s="1"/>
  <c r="AD460" i="1"/>
  <c r="AD524" i="1" s="1"/>
  <c r="Y460" i="1"/>
  <c r="Y524" i="1" s="1"/>
  <c r="T460" i="1"/>
  <c r="T524" i="1" s="1"/>
  <c r="O460" i="1"/>
  <c r="O524" i="1" s="1"/>
  <c r="J460" i="1"/>
  <c r="J524" i="1" s="1"/>
  <c r="AI459" i="1"/>
  <c r="AI523" i="1" s="1"/>
  <c r="AD459" i="1"/>
  <c r="AD523" i="1" s="1"/>
  <c r="Y459" i="1"/>
  <c r="Y523" i="1" s="1"/>
  <c r="T459" i="1"/>
  <c r="T523" i="1" s="1"/>
  <c r="O459" i="1"/>
  <c r="O523" i="1" s="1"/>
  <c r="J459" i="1"/>
  <c r="J523" i="1" s="1"/>
  <c r="AI458" i="1"/>
  <c r="AI522" i="1" s="1"/>
  <c r="AD458" i="1"/>
  <c r="AD522" i="1" s="1"/>
  <c r="Y458" i="1"/>
  <c r="Y522" i="1" s="1"/>
  <c r="T458" i="1"/>
  <c r="T522" i="1" s="1"/>
  <c r="O458" i="1"/>
  <c r="O522" i="1" s="1"/>
  <c r="J458" i="1"/>
  <c r="J522" i="1" s="1"/>
  <c r="AI457" i="1"/>
  <c r="AI521" i="1" s="1"/>
  <c r="AD457" i="1"/>
  <c r="AD521" i="1" s="1"/>
  <c r="Y457" i="1"/>
  <c r="Y521" i="1" s="1"/>
  <c r="T457" i="1"/>
  <c r="T521" i="1" s="1"/>
  <c r="O457" i="1"/>
  <c r="O521" i="1" s="1"/>
  <c r="J457" i="1"/>
  <c r="J521" i="1" s="1"/>
  <c r="AI456" i="1"/>
  <c r="AI520" i="1" s="1"/>
  <c r="AI81" i="9" s="1"/>
  <c r="AD456" i="1"/>
  <c r="AD520" i="1" s="1"/>
  <c r="Y456" i="1"/>
  <c r="Y520" i="1" s="1"/>
  <c r="Y81" i="9" s="1"/>
  <c r="T456" i="1"/>
  <c r="T520" i="1" s="1"/>
  <c r="O456" i="1"/>
  <c r="O520" i="1" s="1"/>
  <c r="O81" i="9" s="1"/>
  <c r="J456" i="1"/>
  <c r="J520" i="1" s="1"/>
  <c r="AI455" i="1"/>
  <c r="AI519" i="1" s="1"/>
  <c r="AD455" i="1"/>
  <c r="AD519" i="1" s="1"/>
  <c r="Y455" i="1"/>
  <c r="Y519" i="1" s="1"/>
  <c r="T455" i="1"/>
  <c r="T519" i="1" s="1"/>
  <c r="O455" i="1"/>
  <c r="O519" i="1" s="1"/>
  <c r="J455" i="1"/>
  <c r="J519" i="1" s="1"/>
  <c r="AU452" i="1"/>
  <c r="AR452" i="1"/>
  <c r="AQ452" i="1"/>
  <c r="AM452" i="1"/>
  <c r="AJ452" i="1"/>
  <c r="AB452" i="1"/>
  <c r="AA452" i="1"/>
  <c r="X452" i="1"/>
  <c r="W452" i="1"/>
  <c r="S452" i="1"/>
  <c r="P452" i="1"/>
  <c r="H452" i="1"/>
  <c r="G452" i="1"/>
  <c r="D452" i="1"/>
  <c r="C452" i="1"/>
  <c r="AI451" i="1"/>
  <c r="AI515" i="1" s="1"/>
  <c r="AD451" i="1"/>
  <c r="AD515" i="1" s="1"/>
  <c r="Y451" i="1"/>
  <c r="Y515" i="1" s="1"/>
  <c r="T451" i="1"/>
  <c r="T515" i="1" s="1"/>
  <c r="O451" i="1"/>
  <c r="O515" i="1" s="1"/>
  <c r="J451" i="1"/>
  <c r="J515" i="1" s="1"/>
  <c r="AI450" i="1"/>
  <c r="AI514" i="1" s="1"/>
  <c r="AD450" i="1"/>
  <c r="AD514" i="1" s="1"/>
  <c r="Y450" i="1"/>
  <c r="Y514" i="1" s="1"/>
  <c r="T450" i="1"/>
  <c r="T514" i="1" s="1"/>
  <c r="O450" i="1"/>
  <c r="O514" i="1" s="1"/>
  <c r="J450" i="1"/>
  <c r="J514" i="1" s="1"/>
  <c r="AI449" i="1"/>
  <c r="AI513" i="1" s="1"/>
  <c r="AD449" i="1"/>
  <c r="AD513" i="1" s="1"/>
  <c r="Y449" i="1"/>
  <c r="Y513" i="1" s="1"/>
  <c r="T449" i="1"/>
  <c r="T513" i="1" s="1"/>
  <c r="O449" i="1"/>
  <c r="O513" i="1" s="1"/>
  <c r="J449" i="1"/>
  <c r="J513" i="1" s="1"/>
  <c r="AI448" i="1"/>
  <c r="AI512" i="1" s="1"/>
  <c r="AD448" i="1"/>
  <c r="AD512" i="1" s="1"/>
  <c r="Y448" i="1"/>
  <c r="Y512" i="1" s="1"/>
  <c r="T448" i="1"/>
  <c r="T512" i="1" s="1"/>
  <c r="O448" i="1"/>
  <c r="O512" i="1" s="1"/>
  <c r="J448" i="1"/>
  <c r="J512" i="1" s="1"/>
  <c r="AI447" i="1"/>
  <c r="AI511" i="1" s="1"/>
  <c r="AD447" i="1"/>
  <c r="AD511" i="1" s="1"/>
  <c r="Y447" i="1"/>
  <c r="Y511" i="1" s="1"/>
  <c r="T447" i="1"/>
  <c r="T511" i="1" s="1"/>
  <c r="O447" i="1"/>
  <c r="O511" i="1" s="1"/>
  <c r="J447" i="1"/>
  <c r="J511" i="1" s="1"/>
  <c r="AI446" i="1"/>
  <c r="AI510" i="1" s="1"/>
  <c r="AD446" i="1"/>
  <c r="AD510" i="1" s="1"/>
  <c r="Y446" i="1"/>
  <c r="Y510" i="1" s="1"/>
  <c r="T446" i="1"/>
  <c r="T510" i="1" s="1"/>
  <c r="O446" i="1"/>
  <c r="O510" i="1" s="1"/>
  <c r="J446" i="1"/>
  <c r="J510" i="1" s="1"/>
  <c r="AI445" i="1"/>
  <c r="AI509" i="1" s="1"/>
  <c r="AD445" i="1"/>
  <c r="AD509" i="1" s="1"/>
  <c r="Y445" i="1"/>
  <c r="Y509" i="1" s="1"/>
  <c r="T445" i="1"/>
  <c r="T509" i="1" s="1"/>
  <c r="O445" i="1"/>
  <c r="O509" i="1" s="1"/>
  <c r="J445" i="1"/>
  <c r="J509" i="1" s="1"/>
  <c r="AI444" i="1"/>
  <c r="AI508" i="1" s="1"/>
  <c r="AD444" i="1"/>
  <c r="AD508" i="1" s="1"/>
  <c r="Y444" i="1"/>
  <c r="Y508" i="1" s="1"/>
  <c r="T444" i="1"/>
  <c r="T508" i="1" s="1"/>
  <c r="O444" i="1"/>
  <c r="O508" i="1" s="1"/>
  <c r="J444" i="1"/>
  <c r="J508" i="1" s="1"/>
  <c r="AI443" i="1"/>
  <c r="AI507" i="1" s="1"/>
  <c r="AD443" i="1"/>
  <c r="AD507" i="1" s="1"/>
  <c r="Y443" i="1"/>
  <c r="Y507" i="1" s="1"/>
  <c r="T443" i="1"/>
  <c r="T507" i="1" s="1"/>
  <c r="O443" i="1"/>
  <c r="O507" i="1" s="1"/>
  <c r="J443" i="1"/>
  <c r="J507" i="1" s="1"/>
  <c r="AI442" i="1"/>
  <c r="AI506" i="1" s="1"/>
  <c r="AD442" i="1"/>
  <c r="AD506" i="1" s="1"/>
  <c r="Y442" i="1"/>
  <c r="Y506" i="1" s="1"/>
  <c r="T442" i="1"/>
  <c r="T506" i="1" s="1"/>
  <c r="O442" i="1"/>
  <c r="O506" i="1" s="1"/>
  <c r="J442" i="1"/>
  <c r="J506" i="1" s="1"/>
  <c r="AI441" i="1"/>
  <c r="AI505" i="1" s="1"/>
  <c r="AD441" i="1"/>
  <c r="AD505" i="1" s="1"/>
  <c r="Y441" i="1"/>
  <c r="Y505" i="1" s="1"/>
  <c r="T441" i="1"/>
  <c r="T505" i="1" s="1"/>
  <c r="O441" i="1"/>
  <c r="O505" i="1" s="1"/>
  <c r="J441" i="1"/>
  <c r="J505" i="1" s="1"/>
  <c r="AI440" i="1"/>
  <c r="AI504" i="1" s="1"/>
  <c r="AD440" i="1"/>
  <c r="AD504" i="1" s="1"/>
  <c r="Y440" i="1"/>
  <c r="Y504" i="1" s="1"/>
  <c r="T440" i="1"/>
  <c r="T504" i="1" s="1"/>
  <c r="O440" i="1"/>
  <c r="O504" i="1" s="1"/>
  <c r="J440" i="1"/>
  <c r="J504" i="1" s="1"/>
  <c r="AI439" i="1"/>
  <c r="AI503" i="1" s="1"/>
  <c r="AD439" i="1"/>
  <c r="AD503" i="1" s="1"/>
  <c r="Y439" i="1"/>
  <c r="Y503" i="1" s="1"/>
  <c r="T439" i="1"/>
  <c r="T503" i="1" s="1"/>
  <c r="O439" i="1"/>
  <c r="O503" i="1" s="1"/>
  <c r="J439" i="1"/>
  <c r="J503" i="1" s="1"/>
  <c r="AI438" i="1"/>
  <c r="AI502" i="1" s="1"/>
  <c r="AD438" i="1"/>
  <c r="AD502" i="1" s="1"/>
  <c r="Y438" i="1"/>
  <c r="Y502" i="1" s="1"/>
  <c r="T438" i="1"/>
  <c r="T502" i="1" s="1"/>
  <c r="O438" i="1"/>
  <c r="O502" i="1" s="1"/>
  <c r="J438" i="1"/>
  <c r="J502" i="1" s="1"/>
  <c r="AI437" i="1"/>
  <c r="AI501" i="1" s="1"/>
  <c r="AD437" i="1"/>
  <c r="AD501" i="1" s="1"/>
  <c r="AD78" i="9" s="1"/>
  <c r="Y437" i="1"/>
  <c r="Y501" i="1" s="1"/>
  <c r="Y78" i="9" s="1"/>
  <c r="T437" i="1"/>
  <c r="T501" i="1" s="1"/>
  <c r="T78" i="9" s="1"/>
  <c r="O437" i="1"/>
  <c r="O501" i="1" s="1"/>
  <c r="J437" i="1"/>
  <c r="J501" i="1" s="1"/>
  <c r="J78" i="9" s="1"/>
  <c r="AW436" i="1"/>
  <c r="AW452" i="1" s="1"/>
  <c r="AV436" i="1"/>
  <c r="AV452" i="1" s="1"/>
  <c r="AU436" i="1"/>
  <c r="AT436" i="1"/>
  <c r="AT452" i="1" s="1"/>
  <c r="AS436" i="1"/>
  <c r="AS452" i="1" s="1"/>
  <c r="AR436" i="1"/>
  <c r="AQ436" i="1"/>
  <c r="AP436" i="1"/>
  <c r="AP452" i="1" s="1"/>
  <c r="AO436" i="1"/>
  <c r="AO452" i="1" s="1"/>
  <c r="AN436" i="1"/>
  <c r="AN452" i="1" s="1"/>
  <c r="AM436" i="1"/>
  <c r="AL436" i="1"/>
  <c r="AL452" i="1" s="1"/>
  <c r="AK436" i="1"/>
  <c r="AK452" i="1" s="1"/>
  <c r="AJ436" i="1"/>
  <c r="AH436" i="1"/>
  <c r="AH452" i="1" s="1"/>
  <c r="AG436" i="1"/>
  <c r="AG452" i="1" s="1"/>
  <c r="AF436" i="1"/>
  <c r="AF452" i="1" s="1"/>
  <c r="AE436" i="1"/>
  <c r="AE452" i="1" s="1"/>
  <c r="AC436" i="1"/>
  <c r="AC452" i="1" s="1"/>
  <c r="AB436" i="1"/>
  <c r="AA436" i="1"/>
  <c r="Z436" i="1"/>
  <c r="Z452" i="1" s="1"/>
  <c r="X436" i="1"/>
  <c r="W436" i="1"/>
  <c r="V436" i="1"/>
  <c r="V452" i="1" s="1"/>
  <c r="U436" i="1"/>
  <c r="U452" i="1" s="1"/>
  <c r="S436" i="1"/>
  <c r="R436" i="1"/>
  <c r="R452" i="1" s="1"/>
  <c r="Q436" i="1"/>
  <c r="Q452" i="1" s="1"/>
  <c r="P436" i="1"/>
  <c r="N436" i="1"/>
  <c r="N452" i="1" s="1"/>
  <c r="M436" i="1"/>
  <c r="M452" i="1" s="1"/>
  <c r="L436" i="1"/>
  <c r="L452" i="1" s="1"/>
  <c r="K436" i="1"/>
  <c r="K452" i="1" s="1"/>
  <c r="I436" i="1"/>
  <c r="I452" i="1" s="1"/>
  <c r="H436" i="1"/>
  <c r="G436" i="1"/>
  <c r="F436" i="1"/>
  <c r="F452" i="1" s="1"/>
  <c r="E436" i="1"/>
  <c r="E452" i="1" s="1"/>
  <c r="D436" i="1"/>
  <c r="C436" i="1"/>
  <c r="AI435" i="1"/>
  <c r="AI499" i="1" s="1"/>
  <c r="AD435" i="1"/>
  <c r="AD499" i="1" s="1"/>
  <c r="Y435" i="1"/>
  <c r="Y499" i="1" s="1"/>
  <c r="T435" i="1"/>
  <c r="T499" i="1" s="1"/>
  <c r="O435" i="1"/>
  <c r="O499" i="1" s="1"/>
  <c r="J435" i="1"/>
  <c r="J499" i="1" s="1"/>
  <c r="AI434" i="1"/>
  <c r="AI498" i="1" s="1"/>
  <c r="AD434" i="1"/>
  <c r="AD498" i="1" s="1"/>
  <c r="Y434" i="1"/>
  <c r="Y498" i="1" s="1"/>
  <c r="T434" i="1"/>
  <c r="T498" i="1" s="1"/>
  <c r="O434" i="1"/>
  <c r="O498" i="1" s="1"/>
  <c r="J434" i="1"/>
  <c r="J498" i="1" s="1"/>
  <c r="AI433" i="1"/>
  <c r="AI497" i="1" s="1"/>
  <c r="AD433" i="1"/>
  <c r="AD497" i="1" s="1"/>
  <c r="Y433" i="1"/>
  <c r="Y497" i="1" s="1"/>
  <c r="T433" i="1"/>
  <c r="T497" i="1" s="1"/>
  <c r="O433" i="1"/>
  <c r="O497" i="1" s="1"/>
  <c r="J433" i="1"/>
  <c r="J497" i="1" s="1"/>
  <c r="AI432" i="1"/>
  <c r="AI496" i="1" s="1"/>
  <c r="AD432" i="1"/>
  <c r="AD496" i="1" s="1"/>
  <c r="Y432" i="1"/>
  <c r="Y496" i="1" s="1"/>
  <c r="T432" i="1"/>
  <c r="T496" i="1" s="1"/>
  <c r="O432" i="1"/>
  <c r="O496" i="1" s="1"/>
  <c r="J432" i="1"/>
  <c r="J496" i="1" s="1"/>
  <c r="AI431" i="1"/>
  <c r="AI495" i="1" s="1"/>
  <c r="AD431" i="1"/>
  <c r="AD495" i="1" s="1"/>
  <c r="Y431" i="1"/>
  <c r="Y495" i="1" s="1"/>
  <c r="T431" i="1"/>
  <c r="T495" i="1" s="1"/>
  <c r="O431" i="1"/>
  <c r="O495" i="1" s="1"/>
  <c r="J431" i="1"/>
  <c r="J495" i="1" s="1"/>
  <c r="AI430" i="1"/>
  <c r="AI494" i="1" s="1"/>
  <c r="AD430" i="1"/>
  <c r="AD494" i="1" s="1"/>
  <c r="Y430" i="1"/>
  <c r="Y494" i="1" s="1"/>
  <c r="T430" i="1"/>
  <c r="T494" i="1" s="1"/>
  <c r="O430" i="1"/>
  <c r="O494" i="1" s="1"/>
  <c r="J430" i="1"/>
  <c r="J494" i="1" s="1"/>
  <c r="AI429" i="1"/>
  <c r="AI493" i="1" s="1"/>
  <c r="AD429" i="1"/>
  <c r="AD493" i="1" s="1"/>
  <c r="Y429" i="1"/>
  <c r="Y493" i="1" s="1"/>
  <c r="T429" i="1"/>
  <c r="T493" i="1" s="1"/>
  <c r="O429" i="1"/>
  <c r="O493" i="1" s="1"/>
  <c r="J429" i="1"/>
  <c r="J493" i="1" s="1"/>
  <c r="AI428" i="1"/>
  <c r="AI492" i="1" s="1"/>
  <c r="AD428" i="1"/>
  <c r="AD492" i="1" s="1"/>
  <c r="Y428" i="1"/>
  <c r="Y492" i="1" s="1"/>
  <c r="T428" i="1"/>
  <c r="T492" i="1" s="1"/>
  <c r="O428" i="1"/>
  <c r="O492" i="1" s="1"/>
  <c r="J428" i="1"/>
  <c r="J492" i="1" s="1"/>
  <c r="AI427" i="1"/>
  <c r="AI491" i="1" s="1"/>
  <c r="AD427" i="1"/>
  <c r="AD491" i="1" s="1"/>
  <c r="Y427" i="1"/>
  <c r="Y491" i="1" s="1"/>
  <c r="T427" i="1"/>
  <c r="T491" i="1" s="1"/>
  <c r="O427" i="1"/>
  <c r="O491" i="1" s="1"/>
  <c r="J427" i="1"/>
  <c r="J491" i="1" s="1"/>
  <c r="AI426" i="1"/>
  <c r="AI490" i="1" s="1"/>
  <c r="AD426" i="1"/>
  <c r="AD490" i="1" s="1"/>
  <c r="Y426" i="1"/>
  <c r="Y490" i="1" s="1"/>
  <c r="T426" i="1"/>
  <c r="T490" i="1" s="1"/>
  <c r="O426" i="1"/>
  <c r="O490" i="1" s="1"/>
  <c r="J426" i="1"/>
  <c r="J490" i="1" s="1"/>
  <c r="AI425" i="1"/>
  <c r="AI489" i="1" s="1"/>
  <c r="AD425" i="1"/>
  <c r="AD489" i="1" s="1"/>
  <c r="Y425" i="1"/>
  <c r="Y489" i="1" s="1"/>
  <c r="T425" i="1"/>
  <c r="T489" i="1" s="1"/>
  <c r="O425" i="1"/>
  <c r="O489" i="1" s="1"/>
  <c r="J425" i="1"/>
  <c r="J489" i="1" s="1"/>
  <c r="AI424" i="1"/>
  <c r="AI488" i="1" s="1"/>
  <c r="AD424" i="1"/>
  <c r="AD488" i="1" s="1"/>
  <c r="Y424" i="1"/>
  <c r="Y488" i="1" s="1"/>
  <c r="T424" i="1"/>
  <c r="T488" i="1" s="1"/>
  <c r="O424" i="1"/>
  <c r="O488" i="1" s="1"/>
  <c r="J424" i="1"/>
  <c r="J488" i="1" s="1"/>
  <c r="AI423" i="1"/>
  <c r="AI487" i="1" s="1"/>
  <c r="AD423" i="1"/>
  <c r="AD487" i="1" s="1"/>
  <c r="Y423" i="1"/>
  <c r="Y487" i="1" s="1"/>
  <c r="T423" i="1"/>
  <c r="T487" i="1" s="1"/>
  <c r="O423" i="1"/>
  <c r="O487" i="1" s="1"/>
  <c r="J423" i="1"/>
  <c r="J487" i="1" s="1"/>
  <c r="AI422" i="1"/>
  <c r="AI486" i="1" s="1"/>
  <c r="AD422" i="1"/>
  <c r="AD486" i="1" s="1"/>
  <c r="Y422" i="1"/>
  <c r="Y486" i="1" s="1"/>
  <c r="T422" i="1"/>
  <c r="T486" i="1" s="1"/>
  <c r="O422" i="1"/>
  <c r="O486" i="1" s="1"/>
  <c r="J422" i="1"/>
  <c r="J486" i="1" s="1"/>
  <c r="AI421" i="1"/>
  <c r="AI485" i="1" s="1"/>
  <c r="AD421" i="1"/>
  <c r="AD485" i="1" s="1"/>
  <c r="Y421" i="1"/>
  <c r="Y485" i="1" s="1"/>
  <c r="T421" i="1"/>
  <c r="T485" i="1" s="1"/>
  <c r="O421" i="1"/>
  <c r="O485" i="1" s="1"/>
  <c r="J421" i="1"/>
  <c r="J485" i="1" s="1"/>
  <c r="AI420" i="1"/>
  <c r="AI484" i="1" s="1"/>
  <c r="AD420" i="1"/>
  <c r="AD484" i="1" s="1"/>
  <c r="Y420" i="1"/>
  <c r="Y484" i="1" s="1"/>
  <c r="T420" i="1"/>
  <c r="T484" i="1" s="1"/>
  <c r="O420" i="1"/>
  <c r="O484" i="1" s="1"/>
  <c r="J420" i="1"/>
  <c r="J484" i="1" s="1"/>
  <c r="AW414" i="1"/>
  <c r="AW10" i="9" s="1"/>
  <c r="AV414" i="1"/>
  <c r="AV10" i="9" s="1"/>
  <c r="AU414" i="1"/>
  <c r="AU10" i="9" s="1"/>
  <c r="AT414" i="1"/>
  <c r="AT10" i="9" s="1"/>
  <c r="AS414" i="1"/>
  <c r="AS10" i="9" s="1"/>
  <c r="AR414" i="1"/>
  <c r="AR10" i="9" s="1"/>
  <c r="AQ414" i="1"/>
  <c r="AQ10" i="9" s="1"/>
  <c r="AP414" i="1"/>
  <c r="AP10" i="9" s="1"/>
  <c r="AO414" i="1"/>
  <c r="AO10" i="9" s="1"/>
  <c r="AN414" i="1"/>
  <c r="AN10" i="9" s="1"/>
  <c r="AM414" i="1"/>
  <c r="AM10" i="9" s="1"/>
  <c r="AL414" i="1"/>
  <c r="AL10" i="9" s="1"/>
  <c r="AK414" i="1"/>
  <c r="AK10" i="9" s="1"/>
  <c r="AJ414" i="1"/>
  <c r="AJ10" i="9" s="1"/>
  <c r="AI414" i="1"/>
  <c r="AI10" i="9" s="1"/>
  <c r="AH414" i="1"/>
  <c r="AH10" i="9" s="1"/>
  <c r="AG414" i="1"/>
  <c r="AG10" i="9" s="1"/>
  <c r="AF414" i="1"/>
  <c r="AF10" i="9" s="1"/>
  <c r="AE414" i="1"/>
  <c r="AE10" i="9" s="1"/>
  <c r="AD414" i="1"/>
  <c r="AD10" i="9" s="1"/>
  <c r="AC414" i="1"/>
  <c r="AC10" i="9" s="1"/>
  <c r="AB414" i="1"/>
  <c r="AB10" i="9" s="1"/>
  <c r="AA414" i="1"/>
  <c r="AA10" i="9" s="1"/>
  <c r="Z414" i="1"/>
  <c r="Z10" i="9" s="1"/>
  <c r="Y414" i="1"/>
  <c r="Y10" i="9" s="1"/>
  <c r="X414" i="1"/>
  <c r="X10" i="9" s="1"/>
  <c r="W414" i="1"/>
  <c r="W10" i="9" s="1"/>
  <c r="V414" i="1"/>
  <c r="V10" i="9" s="1"/>
  <c r="U414" i="1"/>
  <c r="U10" i="9" s="1"/>
  <c r="T414" i="1"/>
  <c r="T10" i="9" s="1"/>
  <c r="S414" i="1"/>
  <c r="S10" i="9" s="1"/>
  <c r="R414" i="1"/>
  <c r="R10" i="9" s="1"/>
  <c r="Q414" i="1"/>
  <c r="Q10" i="9" s="1"/>
  <c r="P414" i="1"/>
  <c r="P10" i="9" s="1"/>
  <c r="O414" i="1"/>
  <c r="O10" i="9" s="1"/>
  <c r="N414" i="1"/>
  <c r="N10" i="9" s="1"/>
  <c r="M414" i="1"/>
  <c r="M10" i="9" s="1"/>
  <c r="L414" i="1"/>
  <c r="L10" i="9" s="1"/>
  <c r="K414" i="1"/>
  <c r="K10" i="9" s="1"/>
  <c r="J414" i="1"/>
  <c r="J10" i="9" s="1"/>
  <c r="I414" i="1"/>
  <c r="I10" i="9" s="1"/>
  <c r="H414" i="1"/>
  <c r="H10" i="9" s="1"/>
  <c r="G414" i="1"/>
  <c r="G10" i="9" s="1"/>
  <c r="F414" i="1"/>
  <c r="F10" i="9" s="1"/>
  <c r="E414" i="1"/>
  <c r="E10" i="9" s="1"/>
  <c r="D414" i="1"/>
  <c r="D10" i="9" s="1"/>
  <c r="C414" i="1"/>
  <c r="C10" i="9" s="1"/>
  <c r="AW409" i="1"/>
  <c r="AV409" i="1"/>
  <c r="AU409" i="1"/>
  <c r="AT409" i="1"/>
  <c r="AS409" i="1"/>
  <c r="AR409" i="1"/>
  <c r="AQ409" i="1"/>
  <c r="AP409" i="1"/>
  <c r="AO409" i="1"/>
  <c r="AN409" i="1"/>
  <c r="AW408" i="1"/>
  <c r="AV408" i="1"/>
  <c r="AU408" i="1"/>
  <c r="AT408" i="1"/>
  <c r="AS408" i="1"/>
  <c r="AR408" i="1"/>
  <c r="AQ408" i="1"/>
  <c r="AP408" i="1"/>
  <c r="AO408" i="1"/>
  <c r="AN408" i="1"/>
  <c r="AW407" i="1"/>
  <c r="AV407" i="1"/>
  <c r="AU407" i="1"/>
  <c r="AT407" i="1"/>
  <c r="AS407" i="1"/>
  <c r="AR407" i="1"/>
  <c r="AQ407" i="1"/>
  <c r="AP407" i="1"/>
  <c r="AO407" i="1"/>
  <c r="AN407" i="1"/>
  <c r="A405" i="1"/>
  <c r="A404" i="1"/>
  <c r="A403" i="1"/>
  <c r="A402" i="1"/>
  <c r="A671" i="1" s="1"/>
  <c r="A401" i="1"/>
  <c r="A670" i="1" s="1"/>
  <c r="A400" i="1"/>
  <c r="A672" i="1" s="1"/>
  <c r="A398" i="1"/>
  <c r="A397" i="1"/>
  <c r="AT381" i="1"/>
  <c r="AT9" i="9" s="1"/>
  <c r="AS381" i="1"/>
  <c r="AS9" i="9" s="1"/>
  <c r="AR381" i="1"/>
  <c r="AR9" i="9" s="1"/>
  <c r="AQ381" i="1"/>
  <c r="AQ9" i="9" s="1"/>
  <c r="AP381" i="1"/>
  <c r="AP9" i="9" s="1"/>
  <c r="AO381" i="1"/>
  <c r="AO9" i="9" s="1"/>
  <c r="AN381" i="1"/>
  <c r="AN9" i="9" s="1"/>
  <c r="AM381" i="1"/>
  <c r="AM9" i="9" s="1"/>
  <c r="AL381" i="1"/>
  <c r="AL9" i="9" s="1"/>
  <c r="AK381" i="1"/>
  <c r="AK9" i="9" s="1"/>
  <c r="AJ381" i="1"/>
  <c r="AJ9" i="9" s="1"/>
  <c r="AI381" i="1"/>
  <c r="AI9" i="9" s="1"/>
  <c r="AH381" i="1"/>
  <c r="AH9" i="9" s="1"/>
  <c r="AG381" i="1"/>
  <c r="AG9" i="9" s="1"/>
  <c r="AF381" i="1"/>
  <c r="AF9" i="9" s="1"/>
  <c r="AE381" i="1"/>
  <c r="AE9" i="9" s="1"/>
  <c r="AD381" i="1"/>
  <c r="AD9" i="9" s="1"/>
  <c r="AC381" i="1"/>
  <c r="AC9" i="9" s="1"/>
  <c r="AB381" i="1"/>
  <c r="AB9" i="9" s="1"/>
  <c r="AA381" i="1"/>
  <c r="AA9" i="9" s="1"/>
  <c r="Z381" i="1"/>
  <c r="Z9" i="9" s="1"/>
  <c r="Y381" i="1"/>
  <c r="Y9" i="9" s="1"/>
  <c r="X381" i="1"/>
  <c r="X9" i="9" s="1"/>
  <c r="W381" i="1"/>
  <c r="W9" i="9" s="1"/>
  <c r="V381" i="1"/>
  <c r="V9" i="9" s="1"/>
  <c r="U381" i="1"/>
  <c r="U9" i="9" s="1"/>
  <c r="T381" i="1"/>
  <c r="T9" i="9" s="1"/>
  <c r="S381" i="1"/>
  <c r="S9" i="9" s="1"/>
  <c r="R381" i="1"/>
  <c r="R9" i="9" s="1"/>
  <c r="Q381" i="1"/>
  <c r="Q9" i="9" s="1"/>
  <c r="P381" i="1"/>
  <c r="P9" i="9" s="1"/>
  <c r="O381" i="1"/>
  <c r="O9" i="9" s="1"/>
  <c r="N381" i="1"/>
  <c r="N9" i="9" s="1"/>
  <c r="M381" i="1"/>
  <c r="M9" i="9" s="1"/>
  <c r="L381" i="1"/>
  <c r="L9" i="9" s="1"/>
  <c r="K381" i="1"/>
  <c r="K9" i="9" s="1"/>
  <c r="J381" i="1"/>
  <c r="J9" i="9" s="1"/>
  <c r="I381" i="1"/>
  <c r="I9" i="9" s="1"/>
  <c r="H381" i="1"/>
  <c r="H9" i="9" s="1"/>
  <c r="G381" i="1"/>
  <c r="G9" i="9" s="1"/>
  <c r="F381" i="1"/>
  <c r="F9" i="9" s="1"/>
  <c r="E381" i="1"/>
  <c r="E9" i="9" s="1"/>
  <c r="D381" i="1"/>
  <c r="D9" i="9" s="1"/>
  <c r="C381" i="1"/>
  <c r="C9" i="9" s="1"/>
  <c r="AM380" i="1"/>
  <c r="AM382" i="1" s="1"/>
  <c r="AL380" i="1"/>
  <c r="AK380" i="1"/>
  <c r="AJ380" i="1"/>
  <c r="AI380" i="1"/>
  <c r="AI382" i="1" s="1"/>
  <c r="AH380" i="1"/>
  <c r="AG380" i="1"/>
  <c r="AF380" i="1"/>
  <c r="AE380" i="1"/>
  <c r="AE382" i="1" s="1"/>
  <c r="AD380" i="1"/>
  <c r="AC380" i="1"/>
  <c r="AB380" i="1"/>
  <c r="AA380" i="1"/>
  <c r="AA382" i="1" s="1"/>
  <c r="Z380" i="1"/>
  <c r="Y380" i="1"/>
  <c r="X380" i="1"/>
  <c r="W380" i="1"/>
  <c r="W382" i="1" s="1"/>
  <c r="V380" i="1"/>
  <c r="U380" i="1"/>
  <c r="T380" i="1"/>
  <c r="S380" i="1"/>
  <c r="S382" i="1" s="1"/>
  <c r="R380" i="1"/>
  <c r="Q380" i="1"/>
  <c r="P380" i="1"/>
  <c r="O380" i="1"/>
  <c r="O382" i="1" s="1"/>
  <c r="N380" i="1"/>
  <c r="M380" i="1"/>
  <c r="L380" i="1"/>
  <c r="K380" i="1"/>
  <c r="K382" i="1" s="1"/>
  <c r="J380" i="1"/>
  <c r="I380" i="1"/>
  <c r="H380" i="1"/>
  <c r="G380" i="1"/>
  <c r="G382" i="1" s="1"/>
  <c r="F380" i="1"/>
  <c r="E380" i="1"/>
  <c r="D380" i="1"/>
  <c r="C380" i="1"/>
  <c r="C382" i="1" s="1"/>
  <c r="AM379" i="1"/>
  <c r="AN379" i="1" s="1"/>
  <c r="AN612" i="1" s="1"/>
  <c r="AL379" i="1"/>
  <c r="AK379" i="1"/>
  <c r="AJ379" i="1"/>
  <c r="AI379" i="1"/>
  <c r="AH379" i="1"/>
  <c r="AG379" i="1"/>
  <c r="AF379" i="1"/>
  <c r="AE379" i="1"/>
  <c r="AD379" i="1"/>
  <c r="AC379" i="1"/>
  <c r="AB379" i="1"/>
  <c r="AA379" i="1"/>
  <c r="Z379" i="1"/>
  <c r="Y379" i="1"/>
  <c r="X379" i="1"/>
  <c r="W379" i="1"/>
  <c r="V379" i="1"/>
  <c r="U379" i="1"/>
  <c r="T379" i="1"/>
  <c r="S379" i="1"/>
  <c r="R379" i="1"/>
  <c r="Q379" i="1"/>
  <c r="P379" i="1"/>
  <c r="O379" i="1"/>
  <c r="N379" i="1"/>
  <c r="M379" i="1"/>
  <c r="L379" i="1"/>
  <c r="K379" i="1"/>
  <c r="J379" i="1"/>
  <c r="I379" i="1"/>
  <c r="H379" i="1"/>
  <c r="G379" i="1"/>
  <c r="F379" i="1"/>
  <c r="E379" i="1"/>
  <c r="D379" i="1"/>
  <c r="C379" i="1"/>
  <c r="AM377" i="1"/>
  <c r="AL377" i="1"/>
  <c r="AK377" i="1"/>
  <c r="AJ377" i="1"/>
  <c r="AI377" i="1"/>
  <c r="AH377" i="1"/>
  <c r="AG377" i="1"/>
  <c r="AF377" i="1"/>
  <c r="AE377" i="1"/>
  <c r="AD377" i="1"/>
  <c r="AC377" i="1"/>
  <c r="AB377" i="1"/>
  <c r="AA377" i="1"/>
  <c r="Z377" i="1"/>
  <c r="Y377" i="1"/>
  <c r="X377" i="1"/>
  <c r="W377" i="1"/>
  <c r="V377" i="1"/>
  <c r="U377" i="1"/>
  <c r="T377" i="1"/>
  <c r="S377" i="1"/>
  <c r="R377" i="1"/>
  <c r="Q377" i="1"/>
  <c r="P377" i="1"/>
  <c r="O377" i="1"/>
  <c r="N377" i="1"/>
  <c r="M377" i="1"/>
  <c r="L377" i="1"/>
  <c r="K377" i="1"/>
  <c r="J377" i="1"/>
  <c r="I377" i="1"/>
  <c r="H377" i="1"/>
  <c r="G377" i="1"/>
  <c r="F377" i="1"/>
  <c r="E377" i="1"/>
  <c r="D377" i="1"/>
  <c r="C377" i="1"/>
  <c r="AT369" i="1"/>
  <c r="AO369" i="1"/>
  <c r="AM368" i="1"/>
  <c r="AM79" i="9" s="1"/>
  <c r="AL368" i="1"/>
  <c r="AL79" i="9" s="1"/>
  <c r="AK368" i="1"/>
  <c r="AK79" i="9" s="1"/>
  <c r="AJ368" i="1"/>
  <c r="AJ79" i="9" s="1"/>
  <c r="AI368" i="1"/>
  <c r="AI79" i="9" s="1"/>
  <c r="AG368" i="1"/>
  <c r="AG79" i="9" s="1"/>
  <c r="AF368" i="1"/>
  <c r="AF79" i="9" s="1"/>
  <c r="AE368" i="1"/>
  <c r="AE79" i="9" s="1"/>
  <c r="AD368" i="1"/>
  <c r="AD79" i="9" s="1"/>
  <c r="AC368" i="1"/>
  <c r="AC79" i="9" s="1"/>
  <c r="AB368" i="1"/>
  <c r="AB79" i="9" s="1"/>
  <c r="AA368" i="1"/>
  <c r="AA79" i="9" s="1"/>
  <c r="Y368" i="1"/>
  <c r="Y79" i="9" s="1"/>
  <c r="X368" i="1"/>
  <c r="X79" i="9" s="1"/>
  <c r="W368" i="1"/>
  <c r="W79" i="9" s="1"/>
  <c r="V368" i="1"/>
  <c r="V79" i="9" s="1"/>
  <c r="U368" i="1"/>
  <c r="U79" i="9" s="1"/>
  <c r="T368" i="1"/>
  <c r="T79" i="9" s="1"/>
  <c r="S368" i="1"/>
  <c r="S79" i="9" s="1"/>
  <c r="R368" i="1"/>
  <c r="R79" i="9" s="1"/>
  <c r="Q368" i="1"/>
  <c r="Q79" i="9" s="1"/>
  <c r="P368" i="1"/>
  <c r="P79" i="9" s="1"/>
  <c r="O368" i="1"/>
  <c r="O79" i="9" s="1"/>
  <c r="M368" i="1"/>
  <c r="M79" i="9" s="1"/>
  <c r="L368" i="1"/>
  <c r="L79" i="9" s="1"/>
  <c r="K368" i="1"/>
  <c r="K79" i="9" s="1"/>
  <c r="J368" i="1"/>
  <c r="J79" i="9" s="1"/>
  <c r="I368" i="1"/>
  <c r="I79" i="9" s="1"/>
  <c r="H368" i="1"/>
  <c r="H79" i="9" s="1"/>
  <c r="G368" i="1"/>
  <c r="G79" i="9" s="1"/>
  <c r="E368" i="1"/>
  <c r="E79" i="9" s="1"/>
  <c r="D368" i="1"/>
  <c r="D79" i="9" s="1"/>
  <c r="C368" i="1"/>
  <c r="C79" i="9" s="1"/>
  <c r="AM367" i="1"/>
  <c r="AM80" i="9" s="1"/>
  <c r="AL367" i="1"/>
  <c r="AL80" i="9" s="1"/>
  <c r="AK367" i="1"/>
  <c r="AK80" i="9" s="1"/>
  <c r="AJ367" i="1"/>
  <c r="AJ80" i="9" s="1"/>
  <c r="AH367" i="1"/>
  <c r="AH80" i="9" s="1"/>
  <c r="AG367" i="1"/>
  <c r="AG80" i="9" s="1"/>
  <c r="AF367" i="1"/>
  <c r="AF80" i="9" s="1"/>
  <c r="AD367" i="1"/>
  <c r="AD80" i="9" s="1"/>
  <c r="AC367" i="1"/>
  <c r="AC80" i="9" s="1"/>
  <c r="AB367" i="1"/>
  <c r="AB80" i="9" s="1"/>
  <c r="AA367" i="1"/>
  <c r="AA80" i="9" s="1"/>
  <c r="Z367" i="1"/>
  <c r="Z80" i="9" s="1"/>
  <c r="X367" i="1"/>
  <c r="X80" i="9" s="1"/>
  <c r="V367" i="1"/>
  <c r="V80" i="9" s="1"/>
  <c r="U367" i="1"/>
  <c r="U80" i="9" s="1"/>
  <c r="T367" i="1"/>
  <c r="T80" i="9" s="1"/>
  <c r="S367" i="1"/>
  <c r="S80" i="9" s="1"/>
  <c r="R367" i="1"/>
  <c r="R80" i="9" s="1"/>
  <c r="Q367" i="1"/>
  <c r="Q80" i="9" s="1"/>
  <c r="P367" i="1"/>
  <c r="P80" i="9" s="1"/>
  <c r="N367" i="1"/>
  <c r="N80" i="9" s="1"/>
  <c r="M367" i="1"/>
  <c r="M80" i="9" s="1"/>
  <c r="L367" i="1"/>
  <c r="L80" i="9" s="1"/>
  <c r="J367" i="1"/>
  <c r="J80" i="9" s="1"/>
  <c r="I367" i="1"/>
  <c r="I80" i="9" s="1"/>
  <c r="H367" i="1"/>
  <c r="H80" i="9" s="1"/>
  <c r="G367" i="1"/>
  <c r="G80" i="9" s="1"/>
  <c r="F367" i="1"/>
  <c r="F80" i="9" s="1"/>
  <c r="E367" i="1"/>
  <c r="E80" i="9" s="1"/>
  <c r="D367" i="1"/>
  <c r="D80" i="9" s="1"/>
  <c r="C367" i="1"/>
  <c r="C80" i="9" s="1"/>
  <c r="AT365" i="1"/>
  <c r="AT86" i="9" s="1"/>
  <c r="AO365" i="1"/>
  <c r="AO86" i="9" s="1"/>
  <c r="AJ365" i="1"/>
  <c r="AJ86" i="9" s="1"/>
  <c r="AE365" i="1"/>
  <c r="AE86" i="9" s="1"/>
  <c r="Z365" i="1"/>
  <c r="Z86" i="9" s="1"/>
  <c r="U365" i="1"/>
  <c r="U86" i="9" s="1"/>
  <c r="P365" i="1"/>
  <c r="P86" i="9" s="1"/>
  <c r="K365" i="1"/>
  <c r="K86" i="9" s="1"/>
  <c r="AM364" i="1"/>
  <c r="AM74" i="9" s="1"/>
  <c r="AL364" i="1"/>
  <c r="AL74" i="9" s="1"/>
  <c r="AK364" i="1"/>
  <c r="AK74" i="9" s="1"/>
  <c r="AJ364" i="1"/>
  <c r="AJ74" i="9" s="1"/>
  <c r="AI364" i="1"/>
  <c r="AI74" i="9" s="1"/>
  <c r="AH364" i="1"/>
  <c r="AH74" i="9" s="1"/>
  <c r="AG364" i="1"/>
  <c r="AG74" i="9" s="1"/>
  <c r="AF364" i="1"/>
  <c r="AF74" i="9" s="1"/>
  <c r="AE364" i="1"/>
  <c r="AE74" i="9" s="1"/>
  <c r="AD364" i="1"/>
  <c r="AD74" i="9" s="1"/>
  <c r="AC364" i="1"/>
  <c r="AC74" i="9" s="1"/>
  <c r="AB364" i="1"/>
  <c r="AB74" i="9" s="1"/>
  <c r="AA364" i="1"/>
  <c r="AA74" i="9" s="1"/>
  <c r="Z364" i="1"/>
  <c r="Z74" i="9" s="1"/>
  <c r="Y364" i="1"/>
  <c r="Y74" i="9" s="1"/>
  <c r="X364" i="1"/>
  <c r="X74" i="9" s="1"/>
  <c r="W364" i="1"/>
  <c r="W74" i="9" s="1"/>
  <c r="V364" i="1"/>
  <c r="V74" i="9" s="1"/>
  <c r="U364" i="1"/>
  <c r="U74" i="9" s="1"/>
  <c r="T364" i="1"/>
  <c r="T74" i="9" s="1"/>
  <c r="S364" i="1"/>
  <c r="S74" i="9" s="1"/>
  <c r="R364" i="1"/>
  <c r="R74" i="9" s="1"/>
  <c r="Q364" i="1"/>
  <c r="Q74" i="9" s="1"/>
  <c r="P364" i="1"/>
  <c r="P74" i="9" s="1"/>
  <c r="O364" i="1"/>
  <c r="O74" i="9" s="1"/>
  <c r="N364" i="1"/>
  <c r="N74" i="9" s="1"/>
  <c r="M364" i="1"/>
  <c r="M74" i="9" s="1"/>
  <c r="L364" i="1"/>
  <c r="L74" i="9" s="1"/>
  <c r="K364" i="1"/>
  <c r="K74" i="9" s="1"/>
  <c r="J364" i="1"/>
  <c r="J74" i="9" s="1"/>
  <c r="I364" i="1"/>
  <c r="I74" i="9" s="1"/>
  <c r="H364" i="1"/>
  <c r="H74" i="9" s="1"/>
  <c r="G364" i="1"/>
  <c r="G74" i="9" s="1"/>
  <c r="F364" i="1"/>
  <c r="F74" i="9" s="1"/>
  <c r="E364" i="1"/>
  <c r="E74" i="9" s="1"/>
  <c r="D364" i="1"/>
  <c r="D74" i="9" s="1"/>
  <c r="C364" i="1"/>
  <c r="C74" i="9" s="1"/>
  <c r="AO363" i="1"/>
  <c r="AO77" i="9" s="1"/>
  <c r="AM363" i="1"/>
  <c r="AM77" i="9" s="1"/>
  <c r="AL363" i="1"/>
  <c r="AL77" i="9" s="1"/>
  <c r="AK363" i="1"/>
  <c r="AK77" i="9" s="1"/>
  <c r="AJ363" i="1"/>
  <c r="AJ77" i="9" s="1"/>
  <c r="AI363" i="1"/>
  <c r="AI77" i="9" s="1"/>
  <c r="AH363" i="1"/>
  <c r="AH77" i="9" s="1"/>
  <c r="AG363" i="1"/>
  <c r="AG77" i="9" s="1"/>
  <c r="AF363" i="1"/>
  <c r="AF77" i="9" s="1"/>
  <c r="AE363" i="1"/>
  <c r="AE77" i="9" s="1"/>
  <c r="AD363" i="1"/>
  <c r="AD77" i="9" s="1"/>
  <c r="AC363" i="1"/>
  <c r="AC77" i="9" s="1"/>
  <c r="AB363" i="1"/>
  <c r="AB77" i="9" s="1"/>
  <c r="AA363" i="1"/>
  <c r="AA77" i="9" s="1"/>
  <c r="Z363" i="1"/>
  <c r="Z77" i="9" s="1"/>
  <c r="Y363" i="1"/>
  <c r="Y77" i="9" s="1"/>
  <c r="X363" i="1"/>
  <c r="X77" i="9" s="1"/>
  <c r="W363" i="1"/>
  <c r="W77" i="9" s="1"/>
  <c r="U363" i="1"/>
  <c r="U77" i="9" s="1"/>
  <c r="T363" i="1"/>
  <c r="T77" i="9" s="1"/>
  <c r="S363" i="1"/>
  <c r="S77" i="9" s="1"/>
  <c r="R363" i="1"/>
  <c r="R77" i="9" s="1"/>
  <c r="Q363" i="1"/>
  <c r="Q77" i="9" s="1"/>
  <c r="P363" i="1"/>
  <c r="P77" i="9" s="1"/>
  <c r="O363" i="1"/>
  <c r="O77" i="9" s="1"/>
  <c r="N363" i="1"/>
  <c r="N77" i="9" s="1"/>
  <c r="M363" i="1"/>
  <c r="M77" i="9" s="1"/>
  <c r="L363" i="1"/>
  <c r="L77" i="9" s="1"/>
  <c r="K363" i="1"/>
  <c r="K77" i="9" s="1"/>
  <c r="J363" i="1"/>
  <c r="J77" i="9" s="1"/>
  <c r="I363" i="1"/>
  <c r="I77" i="9" s="1"/>
  <c r="H363" i="1"/>
  <c r="H77" i="9" s="1"/>
  <c r="G363" i="1"/>
  <c r="G77" i="9" s="1"/>
  <c r="F363" i="1"/>
  <c r="F77" i="9" s="1"/>
  <c r="E363" i="1"/>
  <c r="E77" i="9" s="1"/>
  <c r="D363" i="1"/>
  <c r="D77" i="9" s="1"/>
  <c r="C363" i="1"/>
  <c r="C77" i="9" s="1"/>
  <c r="AM362" i="1"/>
  <c r="AL362" i="1"/>
  <c r="AK362" i="1"/>
  <c r="AJ362" i="1"/>
  <c r="AI362" i="1"/>
  <c r="AH362" i="1"/>
  <c r="AG362" i="1"/>
  <c r="AF362" i="1"/>
  <c r="AE362" i="1"/>
  <c r="AD362" i="1"/>
  <c r="AB362" i="1"/>
  <c r="AA362" i="1"/>
  <c r="Z362" i="1"/>
  <c r="Y362" i="1"/>
  <c r="X362" i="1"/>
  <c r="W362" i="1"/>
  <c r="V362" i="1"/>
  <c r="U362" i="1"/>
  <c r="T362" i="1"/>
  <c r="S362" i="1"/>
  <c r="R362" i="1"/>
  <c r="Q362" i="1"/>
  <c r="P362" i="1"/>
  <c r="O362" i="1"/>
  <c r="N362" i="1"/>
  <c r="M362" i="1"/>
  <c r="L362" i="1"/>
  <c r="K362" i="1"/>
  <c r="J362" i="1"/>
  <c r="H362" i="1"/>
  <c r="G362" i="1"/>
  <c r="F362" i="1"/>
  <c r="E362" i="1"/>
  <c r="D362" i="1"/>
  <c r="C362" i="1"/>
  <c r="A360" i="1"/>
  <c r="A683" i="1" s="1"/>
  <c r="AW359" i="1"/>
  <c r="AV359" i="1"/>
  <c r="AU359" i="1"/>
  <c r="AT359" i="1"/>
  <c r="AT72" i="9" s="1"/>
  <c r="AS359" i="1"/>
  <c r="AR359" i="1"/>
  <c r="AQ359" i="1"/>
  <c r="AP359" i="1"/>
  <c r="AN359" i="1"/>
  <c r="AM359" i="1"/>
  <c r="AM72" i="9" s="1"/>
  <c r="AL359" i="1"/>
  <c r="AL72" i="9" s="1"/>
  <c r="AK359" i="1"/>
  <c r="AK72" i="9" s="1"/>
  <c r="AJ359" i="1"/>
  <c r="AJ72" i="9" s="1"/>
  <c r="AI359" i="1"/>
  <c r="AI72" i="9" s="1"/>
  <c r="AH359" i="1"/>
  <c r="AH72" i="9" s="1"/>
  <c r="AG359" i="1"/>
  <c r="AG72" i="9" s="1"/>
  <c r="AE359" i="1"/>
  <c r="AE72" i="9" s="1"/>
  <c r="AD359" i="1"/>
  <c r="AD72" i="9" s="1"/>
  <c r="AC359" i="1"/>
  <c r="AC72" i="9" s="1"/>
  <c r="AB359" i="1"/>
  <c r="AB72" i="9" s="1"/>
  <c r="AA359" i="1"/>
  <c r="AA72" i="9" s="1"/>
  <c r="Z359" i="1"/>
  <c r="Z72" i="9" s="1"/>
  <c r="Y359" i="1"/>
  <c r="Y72" i="9" s="1"/>
  <c r="W359" i="1"/>
  <c r="W72" i="9" s="1"/>
  <c r="V359" i="1"/>
  <c r="V72" i="9" s="1"/>
  <c r="U359" i="1"/>
  <c r="U72" i="9" s="1"/>
  <c r="T359" i="1"/>
  <c r="T72" i="9" s="1"/>
  <c r="S359" i="1"/>
  <c r="S72" i="9" s="1"/>
  <c r="R359" i="1"/>
  <c r="R72" i="9" s="1"/>
  <c r="Q359" i="1"/>
  <c r="Q72" i="9" s="1"/>
  <c r="P359" i="1"/>
  <c r="P72" i="9" s="1"/>
  <c r="O359" i="1"/>
  <c r="O72" i="9" s="1"/>
  <c r="N359" i="1"/>
  <c r="N72" i="9" s="1"/>
  <c r="M359" i="1"/>
  <c r="M72" i="9" s="1"/>
  <c r="K359" i="1"/>
  <c r="K72" i="9" s="1"/>
  <c r="J359" i="1"/>
  <c r="J72" i="9" s="1"/>
  <c r="I359" i="1"/>
  <c r="I72" i="9" s="1"/>
  <c r="H359" i="1"/>
  <c r="H72" i="9" s="1"/>
  <c r="G359" i="1"/>
  <c r="G72" i="9" s="1"/>
  <c r="F359" i="1"/>
  <c r="F72" i="9" s="1"/>
  <c r="E359" i="1"/>
  <c r="E72" i="9" s="1"/>
  <c r="D359" i="1"/>
  <c r="D72" i="9" s="1"/>
  <c r="C359" i="1"/>
  <c r="C72" i="9" s="1"/>
  <c r="A358" i="1"/>
  <c r="A682" i="1" s="1"/>
  <c r="C353" i="1"/>
  <c r="C352" i="1"/>
  <c r="C351" i="1"/>
  <c r="A349" i="1"/>
  <c r="A681" i="1" s="1"/>
  <c r="AT340" i="1"/>
  <c r="AO340" i="1"/>
  <c r="AM339" i="1"/>
  <c r="AL339" i="1"/>
  <c r="AK339" i="1"/>
  <c r="AJ339" i="1"/>
  <c r="AI339" i="1"/>
  <c r="AH339" i="1"/>
  <c r="AG339" i="1"/>
  <c r="AF339" i="1"/>
  <c r="AE339" i="1"/>
  <c r="AD339" i="1"/>
  <c r="AC339" i="1"/>
  <c r="AB339" i="1"/>
  <c r="AA339" i="1"/>
  <c r="Z339" i="1"/>
  <c r="Y339" i="1"/>
  <c r="X339" i="1"/>
  <c r="W339" i="1"/>
  <c r="V339" i="1"/>
  <c r="U339" i="1"/>
  <c r="T339" i="1"/>
  <c r="S339" i="1"/>
  <c r="R339" i="1"/>
  <c r="Q339" i="1"/>
  <c r="P339" i="1"/>
  <c r="O339" i="1"/>
  <c r="E339" i="1"/>
  <c r="D339" i="1"/>
  <c r="C339" i="1"/>
  <c r="AT337" i="1"/>
  <c r="AO337" i="1"/>
  <c r="AT335" i="1"/>
  <c r="AT54" i="9" s="1"/>
  <c r="AO335" i="1"/>
  <c r="AO54" i="9" s="1"/>
  <c r="AT334" i="1"/>
  <c r="AT53" i="9" s="1"/>
  <c r="AO334" i="1"/>
  <c r="AO53" i="9" s="1"/>
  <c r="AT333" i="1"/>
  <c r="AT52" i="9" s="1"/>
  <c r="AO333" i="1"/>
  <c r="AO52" i="9" s="1"/>
  <c r="AM331" i="1"/>
  <c r="AM330" i="1" s="1"/>
  <c r="AM51" i="9" s="1"/>
  <c r="AL331" i="1"/>
  <c r="AL330" i="1" s="1"/>
  <c r="AK331" i="1"/>
  <c r="AK330" i="1" s="1"/>
  <c r="AK51" i="9" s="1"/>
  <c r="AI331" i="1"/>
  <c r="AI330" i="1" s="1"/>
  <c r="AI51" i="9" s="1"/>
  <c r="AH331" i="1"/>
  <c r="AH330" i="1" s="1"/>
  <c r="AG331" i="1"/>
  <c r="AF331" i="1"/>
  <c r="AE331" i="1"/>
  <c r="AE330" i="1" s="1"/>
  <c r="AD331" i="1"/>
  <c r="AD330" i="1" s="1"/>
  <c r="AC331" i="1"/>
  <c r="AB331" i="1"/>
  <c r="AA331" i="1"/>
  <c r="AA330" i="1" s="1"/>
  <c r="AA51" i="9" s="1"/>
  <c r="Z331" i="1"/>
  <c r="Z330" i="1" s="1"/>
  <c r="D148" i="12" s="1"/>
  <c r="Y331" i="1"/>
  <c r="X331" i="1"/>
  <c r="W331" i="1"/>
  <c r="W330" i="1" s="1"/>
  <c r="W51" i="9" s="1"/>
  <c r="V331" i="1"/>
  <c r="V330" i="1" s="1"/>
  <c r="U331" i="1"/>
  <c r="T331" i="1"/>
  <c r="S331" i="1"/>
  <c r="S330" i="1" s="1"/>
  <c r="S51" i="9" s="1"/>
  <c r="R331" i="1"/>
  <c r="R330" i="1" s="1"/>
  <c r="Q331" i="1"/>
  <c r="O331" i="1"/>
  <c r="O330" i="1" s="1"/>
  <c r="O51" i="9" s="1"/>
  <c r="N331" i="1"/>
  <c r="N330" i="1" s="1"/>
  <c r="M331" i="1"/>
  <c r="L331" i="1"/>
  <c r="K331" i="1"/>
  <c r="K330" i="1" s="1"/>
  <c r="K51" i="9" s="1"/>
  <c r="J331" i="1"/>
  <c r="J330" i="1" s="1"/>
  <c r="I331" i="1"/>
  <c r="H331" i="1"/>
  <c r="G331" i="1"/>
  <c r="G330" i="1" s="1"/>
  <c r="G51" i="9" s="1"/>
  <c r="F331" i="1"/>
  <c r="F330" i="1" s="1"/>
  <c r="E331" i="1"/>
  <c r="D331" i="1"/>
  <c r="C331" i="1"/>
  <c r="C330" i="1" s="1"/>
  <c r="C51" i="9" s="1"/>
  <c r="AG330" i="1"/>
  <c r="AG51" i="9" s="1"/>
  <c r="AC330" i="1"/>
  <c r="AC51" i="9" s="1"/>
  <c r="Y330" i="1"/>
  <c r="Y51" i="9" s="1"/>
  <c r="U330" i="1"/>
  <c r="Q330" i="1"/>
  <c r="Q51" i="9" s="1"/>
  <c r="M330" i="1"/>
  <c r="M51" i="9" s="1"/>
  <c r="I330" i="1"/>
  <c r="I51" i="9" s="1"/>
  <c r="E330" i="1"/>
  <c r="E51" i="9" s="1"/>
  <c r="AT327" i="1"/>
  <c r="AO327" i="1"/>
  <c r="AT326" i="1"/>
  <c r="AM326" i="1"/>
  <c r="AL326" i="1"/>
  <c r="AK326" i="1"/>
  <c r="AJ326" i="1"/>
  <c r="AI326" i="1"/>
  <c r="AH326" i="1"/>
  <c r="AG326" i="1"/>
  <c r="AF326" i="1"/>
  <c r="AE326" i="1"/>
  <c r="AD326" i="1"/>
  <c r="AC326" i="1"/>
  <c r="AB326" i="1"/>
  <c r="AA326" i="1"/>
  <c r="Z326" i="1"/>
  <c r="Y326" i="1"/>
  <c r="X326" i="1"/>
  <c r="W326" i="1"/>
  <c r="V326" i="1"/>
  <c r="U326" i="1"/>
  <c r="T326" i="1"/>
  <c r="S326" i="1"/>
  <c r="R326" i="1"/>
  <c r="Q326" i="1"/>
  <c r="P326" i="1"/>
  <c r="O326" i="1"/>
  <c r="N326" i="1"/>
  <c r="M326" i="1"/>
  <c r="L326" i="1"/>
  <c r="K326" i="1"/>
  <c r="J326" i="1"/>
  <c r="I326" i="1"/>
  <c r="H326" i="1"/>
  <c r="G326" i="1"/>
  <c r="F326" i="1"/>
  <c r="E326" i="1"/>
  <c r="D326" i="1"/>
  <c r="C326" i="1"/>
  <c r="AM325" i="1"/>
  <c r="AM386" i="1" s="1"/>
  <c r="AL325" i="1"/>
  <c r="AL386" i="1" s="1"/>
  <c r="AK325" i="1"/>
  <c r="AK386" i="1" s="1"/>
  <c r="AJ325" i="1"/>
  <c r="AJ386" i="1" s="1"/>
  <c r="AI325" i="1"/>
  <c r="AI386" i="1" s="1"/>
  <c r="AH325" i="1"/>
  <c r="AH386" i="1" s="1"/>
  <c r="AG325" i="1"/>
  <c r="AG386" i="1" s="1"/>
  <c r="AF325" i="1"/>
  <c r="AF386" i="1" s="1"/>
  <c r="AE325" i="1"/>
  <c r="AE386" i="1" s="1"/>
  <c r="AE387" i="1" s="1"/>
  <c r="AD325" i="1"/>
  <c r="AD386" i="1" s="1"/>
  <c r="AC325" i="1"/>
  <c r="AC386" i="1" s="1"/>
  <c r="AB325" i="1"/>
  <c r="AB386" i="1" s="1"/>
  <c r="AA325" i="1"/>
  <c r="AA386" i="1" s="1"/>
  <c r="Z325" i="1"/>
  <c r="Z386" i="1" s="1"/>
  <c r="Y325" i="1"/>
  <c r="Y386" i="1" s="1"/>
  <c r="X325" i="1"/>
  <c r="X386" i="1" s="1"/>
  <c r="W325" i="1"/>
  <c r="W386" i="1" s="1"/>
  <c r="V325" i="1"/>
  <c r="V386" i="1" s="1"/>
  <c r="U325" i="1"/>
  <c r="U386" i="1" s="1"/>
  <c r="U387" i="1" s="1"/>
  <c r="T325" i="1"/>
  <c r="T386" i="1" s="1"/>
  <c r="S325" i="1"/>
  <c r="S386" i="1" s="1"/>
  <c r="R325" i="1"/>
  <c r="R386" i="1" s="1"/>
  <c r="Q325" i="1"/>
  <c r="Q386" i="1" s="1"/>
  <c r="N325" i="1"/>
  <c r="N386" i="1" s="1"/>
  <c r="M325" i="1"/>
  <c r="M386" i="1" s="1"/>
  <c r="L325" i="1"/>
  <c r="L386" i="1" s="1"/>
  <c r="K325" i="1"/>
  <c r="K386" i="1" s="1"/>
  <c r="K387" i="1" s="1"/>
  <c r="J325" i="1"/>
  <c r="J386" i="1" s="1"/>
  <c r="I325" i="1"/>
  <c r="I386" i="1" s="1"/>
  <c r="H325" i="1"/>
  <c r="H386" i="1" s="1"/>
  <c r="G325" i="1"/>
  <c r="G386" i="1" s="1"/>
  <c r="F325" i="1"/>
  <c r="F386" i="1" s="1"/>
  <c r="E325" i="1"/>
  <c r="E386" i="1" s="1"/>
  <c r="E387" i="1" s="1"/>
  <c r="D325" i="1"/>
  <c r="D386" i="1" s="1"/>
  <c r="C325" i="1"/>
  <c r="C386" i="1" s="1"/>
  <c r="AM324" i="1"/>
  <c r="B24" i="12" s="1"/>
  <c r="C49" i="12" s="1"/>
  <c r="C64" i="12" s="1"/>
  <c r="AL324" i="1"/>
  <c r="AK324" i="1"/>
  <c r="AJ324" i="1"/>
  <c r="AJ384" i="1" s="1"/>
  <c r="AI324" i="1"/>
  <c r="AH324" i="1"/>
  <c r="AG324" i="1"/>
  <c r="AF324" i="1"/>
  <c r="AF384" i="1" s="1"/>
  <c r="AE324" i="1"/>
  <c r="AD324" i="1"/>
  <c r="AC324" i="1"/>
  <c r="AB324" i="1"/>
  <c r="AB384" i="1" s="1"/>
  <c r="AA324" i="1"/>
  <c r="Z324" i="1"/>
  <c r="Y324" i="1"/>
  <c r="X324" i="1"/>
  <c r="X384" i="1" s="1"/>
  <c r="W324" i="1"/>
  <c r="V324" i="1"/>
  <c r="U324" i="1"/>
  <c r="T324" i="1"/>
  <c r="T384" i="1" s="1"/>
  <c r="S324" i="1"/>
  <c r="R324" i="1"/>
  <c r="Q324" i="1"/>
  <c r="P324" i="1"/>
  <c r="P384" i="1" s="1"/>
  <c r="O324" i="1"/>
  <c r="O384" i="1" s="1"/>
  <c r="N324" i="1"/>
  <c r="M324" i="1"/>
  <c r="L324" i="1"/>
  <c r="L384" i="1" s="1"/>
  <c r="K324" i="1"/>
  <c r="J324" i="1"/>
  <c r="I324" i="1"/>
  <c r="H324" i="1"/>
  <c r="H384" i="1" s="1"/>
  <c r="G324" i="1"/>
  <c r="F324" i="1"/>
  <c r="E324" i="1"/>
  <c r="D324" i="1"/>
  <c r="D384" i="1" s="1"/>
  <c r="C324" i="1"/>
  <c r="A322" i="1"/>
  <c r="A680" i="1" s="1"/>
  <c r="AT319" i="1"/>
  <c r="AM319" i="1"/>
  <c r="AL319" i="1"/>
  <c r="AK319" i="1"/>
  <c r="AJ319" i="1"/>
  <c r="AI319" i="1"/>
  <c r="AH319" i="1"/>
  <c r="AG319" i="1"/>
  <c r="AF319" i="1"/>
  <c r="AE319" i="1"/>
  <c r="AD319" i="1"/>
  <c r="AC319" i="1"/>
  <c r="AB319" i="1"/>
  <c r="AA319" i="1"/>
  <c r="Z319" i="1"/>
  <c r="Y319" i="1"/>
  <c r="X319" i="1"/>
  <c r="W319" i="1"/>
  <c r="V319" i="1"/>
  <c r="U319" i="1"/>
  <c r="T319" i="1"/>
  <c r="S319" i="1"/>
  <c r="R319" i="1"/>
  <c r="Q319" i="1"/>
  <c r="P319" i="1"/>
  <c r="O319" i="1"/>
  <c r="N319" i="1"/>
  <c r="M319" i="1"/>
  <c r="L319" i="1"/>
  <c r="K319" i="1"/>
  <c r="J319" i="1"/>
  <c r="I319" i="1"/>
  <c r="H319" i="1"/>
  <c r="G319" i="1"/>
  <c r="F319" i="1"/>
  <c r="E319" i="1"/>
  <c r="D319" i="1"/>
  <c r="C319" i="1"/>
  <c r="AT318" i="1"/>
  <c r="AO318" i="1"/>
  <c r="AW316" i="1"/>
  <c r="AW47" i="9" s="1"/>
  <c r="AV316" i="1"/>
  <c r="AV47" i="9" s="1"/>
  <c r="AU316" i="1"/>
  <c r="AU47" i="9" s="1"/>
  <c r="AS316" i="1"/>
  <c r="AS47" i="9" s="1"/>
  <c r="AR316" i="1"/>
  <c r="AR47" i="9" s="1"/>
  <c r="AQ316" i="1"/>
  <c r="AQ47" i="9" s="1"/>
  <c r="AP316" i="1"/>
  <c r="AP47" i="9" s="1"/>
  <c r="AN316" i="1"/>
  <c r="AN47" i="9" s="1"/>
  <c r="AM316" i="1"/>
  <c r="AM47" i="9" s="1"/>
  <c r="AL316" i="1"/>
  <c r="AL47" i="9" s="1"/>
  <c r="AK316" i="1"/>
  <c r="AK47" i="9" s="1"/>
  <c r="AJ316" i="1"/>
  <c r="AJ47" i="9" s="1"/>
  <c r="AH316" i="1"/>
  <c r="AH47" i="9" s="1"/>
  <c r="AG316" i="1"/>
  <c r="AG47" i="9" s="1"/>
  <c r="AF316" i="1"/>
  <c r="AF47" i="9" s="1"/>
  <c r="AE316" i="1"/>
  <c r="AE47" i="9" s="1"/>
  <c r="AC316" i="1"/>
  <c r="AC47" i="9" s="1"/>
  <c r="AB316" i="1"/>
  <c r="AB47" i="9" s="1"/>
  <c r="AA316" i="1"/>
  <c r="AA47" i="9" s="1"/>
  <c r="Z316" i="1"/>
  <c r="Z47" i="9" s="1"/>
  <c r="X316" i="1"/>
  <c r="X47" i="9" s="1"/>
  <c r="W316" i="1"/>
  <c r="W47" i="9" s="1"/>
  <c r="V316" i="1"/>
  <c r="V47" i="9" s="1"/>
  <c r="U316" i="1"/>
  <c r="U47" i="9" s="1"/>
  <c r="S316" i="1"/>
  <c r="S47" i="9" s="1"/>
  <c r="R316" i="1"/>
  <c r="R47" i="9" s="1"/>
  <c r="Q316" i="1"/>
  <c r="Q47" i="9" s="1"/>
  <c r="AW315" i="1"/>
  <c r="AW46" i="9" s="1"/>
  <c r="AV315" i="1"/>
  <c r="AV46" i="9" s="1"/>
  <c r="AU315" i="1"/>
  <c r="AU46" i="9" s="1"/>
  <c r="AS315" i="1"/>
  <c r="AS46" i="9" s="1"/>
  <c r="AR315" i="1"/>
  <c r="AR46" i="9" s="1"/>
  <c r="AQ315" i="1"/>
  <c r="AQ46" i="9" s="1"/>
  <c r="AP315" i="1"/>
  <c r="AP46" i="9" s="1"/>
  <c r="AN315" i="1"/>
  <c r="AN46" i="9" s="1"/>
  <c r="AM315" i="1"/>
  <c r="AL315" i="1"/>
  <c r="AK315" i="1"/>
  <c r="AO315" i="1" s="1"/>
  <c r="AJ315" i="1"/>
  <c r="AH315" i="1"/>
  <c r="AG315" i="1"/>
  <c r="AF315" i="1"/>
  <c r="AE315" i="1"/>
  <c r="AC315" i="1"/>
  <c r="AB315" i="1"/>
  <c r="AA315" i="1"/>
  <c r="Z315" i="1"/>
  <c r="X315" i="1"/>
  <c r="W315" i="1"/>
  <c r="V315" i="1"/>
  <c r="U315" i="1"/>
  <c r="S315" i="1"/>
  <c r="R315" i="1"/>
  <c r="Q315" i="1"/>
  <c r="E315" i="1"/>
  <c r="D315" i="1"/>
  <c r="AT314" i="1"/>
  <c r="AM314" i="1"/>
  <c r="AL314" i="1"/>
  <c r="AK314" i="1"/>
  <c r="AJ314" i="1"/>
  <c r="AI314" i="1"/>
  <c r="AH314" i="1"/>
  <c r="AG314" i="1"/>
  <c r="AG46" i="9" s="1"/>
  <c r="AF314" i="1"/>
  <c r="AF309" i="1" s="1"/>
  <c r="AF42" i="9" s="1"/>
  <c r="AE314" i="1"/>
  <c r="AE46" i="9" s="1"/>
  <c r="AD314" i="1"/>
  <c r="AC314" i="1"/>
  <c r="AC46" i="9" s="1"/>
  <c r="AB314" i="1"/>
  <c r="AA314" i="1"/>
  <c r="AA46" i="9" s="1"/>
  <c r="Z314" i="1"/>
  <c r="Y314" i="1"/>
  <c r="X314" i="1"/>
  <c r="W314" i="1"/>
  <c r="W46" i="9" s="1"/>
  <c r="U314" i="1"/>
  <c r="U46" i="9" s="1"/>
  <c r="T314" i="1"/>
  <c r="S314" i="1"/>
  <c r="R314" i="1"/>
  <c r="Q314" i="1"/>
  <c r="P314" i="1"/>
  <c r="O314" i="1"/>
  <c r="N314" i="1"/>
  <c r="M314" i="1"/>
  <c r="M309" i="1" s="1"/>
  <c r="M42" i="9" s="1"/>
  <c r="L314" i="1"/>
  <c r="L309" i="1" s="1"/>
  <c r="K314" i="1"/>
  <c r="J314" i="1"/>
  <c r="I314" i="1"/>
  <c r="I309" i="1" s="1"/>
  <c r="I42" i="9" s="1"/>
  <c r="H314" i="1"/>
  <c r="G314" i="1"/>
  <c r="F314" i="1"/>
  <c r="E314" i="1"/>
  <c r="E46" i="9" s="1"/>
  <c r="D314" i="1"/>
  <c r="C314" i="1"/>
  <c r="AL309" i="1"/>
  <c r="AJ309" i="1"/>
  <c r="AJ42" i="9" s="1"/>
  <c r="AH309" i="1"/>
  <c r="AH42" i="9" s="1"/>
  <c r="AB309" i="1"/>
  <c r="AB42" i="9" s="1"/>
  <c r="Z309" i="1"/>
  <c r="Z42" i="9" s="1"/>
  <c r="X309" i="1"/>
  <c r="X42" i="9" s="1"/>
  <c r="W309" i="1"/>
  <c r="W42" i="9" s="1"/>
  <c r="V309" i="1"/>
  <c r="V42" i="9" s="1"/>
  <c r="R309" i="1"/>
  <c r="R42" i="9" s="1"/>
  <c r="P309" i="1"/>
  <c r="P42" i="9" s="1"/>
  <c r="N309" i="1"/>
  <c r="N42" i="9" s="1"/>
  <c r="K309" i="1"/>
  <c r="K42" i="9" s="1"/>
  <c r="H309" i="1"/>
  <c r="H42" i="9" s="1"/>
  <c r="G309" i="1"/>
  <c r="G42" i="9" s="1"/>
  <c r="F309" i="1"/>
  <c r="F42" i="9" s="1"/>
  <c r="D309" i="1"/>
  <c r="D42" i="9" s="1"/>
  <c r="C309" i="1"/>
  <c r="C42" i="9" s="1"/>
  <c r="AM308" i="1"/>
  <c r="AM43" i="9" s="1"/>
  <c r="AL308" i="1"/>
  <c r="AL43" i="9" s="1"/>
  <c r="AK308" i="1"/>
  <c r="AJ308" i="1"/>
  <c r="AH308" i="1"/>
  <c r="AH43" i="9" s="1"/>
  <c r="AG308" i="1"/>
  <c r="AG43" i="9" s="1"/>
  <c r="AF308" i="1"/>
  <c r="AE308" i="1"/>
  <c r="AE43" i="9" s="1"/>
  <c r="AC308" i="1"/>
  <c r="AC43" i="9" s="1"/>
  <c r="AB308" i="1"/>
  <c r="AB43" i="9" s="1"/>
  <c r="AA308" i="1"/>
  <c r="AA43" i="9" s="1"/>
  <c r="Z308" i="1"/>
  <c r="Z43" i="9" s="1"/>
  <c r="X308" i="1"/>
  <c r="W308" i="1"/>
  <c r="W43" i="9" s="1"/>
  <c r="V308" i="1"/>
  <c r="V43" i="9" s="1"/>
  <c r="U308" i="1"/>
  <c r="U43" i="9" s="1"/>
  <c r="S308" i="1"/>
  <c r="S43" i="9" s="1"/>
  <c r="R308" i="1"/>
  <c r="R43" i="9" s="1"/>
  <c r="Q308" i="1"/>
  <c r="Q43" i="9" s="1"/>
  <c r="P308" i="1"/>
  <c r="N308" i="1"/>
  <c r="N43" i="9" s="1"/>
  <c r="M308" i="1"/>
  <c r="M43" i="9" s="1"/>
  <c r="L308" i="1"/>
  <c r="L43" i="9" s="1"/>
  <c r="K308" i="1"/>
  <c r="K43" i="9" s="1"/>
  <c r="I308" i="1"/>
  <c r="I43" i="9" s="1"/>
  <c r="H308" i="1"/>
  <c r="H43" i="9" s="1"/>
  <c r="G308" i="1"/>
  <c r="G43" i="9" s="1"/>
  <c r="F308" i="1"/>
  <c r="F43" i="9" s="1"/>
  <c r="E308" i="1"/>
  <c r="E43" i="9" s="1"/>
  <c r="D308" i="1"/>
  <c r="D43" i="9" s="1"/>
  <c r="C308" i="1"/>
  <c r="C43" i="9" s="1"/>
  <c r="A303" i="1"/>
  <c r="A678" i="1" s="1"/>
  <c r="AT299" i="1"/>
  <c r="AO299" i="1"/>
  <c r="AI299" i="1"/>
  <c r="AD299" i="1"/>
  <c r="AD315" i="1" s="1"/>
  <c r="Y299" i="1"/>
  <c r="T299" i="1"/>
  <c r="O299" i="1"/>
  <c r="J299" i="1"/>
  <c r="H299" i="1"/>
  <c r="AW297" i="1"/>
  <c r="AW487" i="1" s="1"/>
  <c r="AV297" i="1"/>
  <c r="AV487" i="1" s="1"/>
  <c r="AU297" i="1"/>
  <c r="AU487" i="1" s="1"/>
  <c r="AS297" i="1"/>
  <c r="AR297" i="1"/>
  <c r="AR487" i="1" s="1"/>
  <c r="AQ297" i="1"/>
  <c r="AQ487" i="1" s="1"/>
  <c r="AP297" i="1"/>
  <c r="AP487" i="1" s="1"/>
  <c r="AN297" i="1"/>
  <c r="AM297" i="1"/>
  <c r="AL297" i="1"/>
  <c r="AK297" i="1"/>
  <c r="AJ297" i="1"/>
  <c r="AH297" i="1"/>
  <c r="AG297" i="1"/>
  <c r="AF297" i="1"/>
  <c r="AE297" i="1"/>
  <c r="AC297" i="1"/>
  <c r="AB297" i="1"/>
  <c r="AA297" i="1"/>
  <c r="Z297" i="1"/>
  <c r="X297" i="1"/>
  <c r="W297" i="1"/>
  <c r="V297" i="1"/>
  <c r="U297" i="1"/>
  <c r="S297" i="1"/>
  <c r="R297" i="1"/>
  <c r="Q297" i="1"/>
  <c r="P297" i="1"/>
  <c r="O297" i="1"/>
  <c r="N297" i="1"/>
  <c r="M297" i="1"/>
  <c r="L297" i="1"/>
  <c r="K297" i="1"/>
  <c r="J297" i="1"/>
  <c r="I297" i="1"/>
  <c r="H297" i="1"/>
  <c r="G297" i="1"/>
  <c r="F297" i="1"/>
  <c r="C297" i="1"/>
  <c r="AT296" i="1"/>
  <c r="AT297" i="1" s="1"/>
  <c r="AO296" i="1"/>
  <c r="AI296" i="1"/>
  <c r="AD296" i="1"/>
  <c r="Y296" i="1"/>
  <c r="Y297" i="1" s="1"/>
  <c r="T296" i="1"/>
  <c r="AT295" i="1"/>
  <c r="AO295" i="1"/>
  <c r="AI295" i="1"/>
  <c r="AD295" i="1"/>
  <c r="AD297" i="1" s="1"/>
  <c r="Y295" i="1"/>
  <c r="Y316" i="1" s="1"/>
  <c r="Y47" i="9" s="1"/>
  <c r="T295" i="1"/>
  <c r="T316" i="1" s="1"/>
  <c r="T47" i="9" s="1"/>
  <c r="P295" i="1"/>
  <c r="P316" i="1" s="1"/>
  <c r="P47" i="9" s="1"/>
  <c r="O295" i="1"/>
  <c r="O296" i="1" s="1"/>
  <c r="N295" i="1"/>
  <c r="N316" i="1" s="1"/>
  <c r="N47" i="9" s="1"/>
  <c r="M295" i="1"/>
  <c r="L295" i="1"/>
  <c r="L316" i="1" s="1"/>
  <c r="L47" i="9" s="1"/>
  <c r="K295" i="1"/>
  <c r="K296" i="1" s="1"/>
  <c r="K315" i="1" s="1"/>
  <c r="J295" i="1"/>
  <c r="J316" i="1" s="1"/>
  <c r="J47" i="9" s="1"/>
  <c r="I295" i="1"/>
  <c r="I316" i="1" s="1"/>
  <c r="I47" i="9" s="1"/>
  <c r="H295" i="1"/>
  <c r="H316" i="1" s="1"/>
  <c r="H47" i="9" s="1"/>
  <c r="G295" i="1"/>
  <c r="G296" i="1" s="1"/>
  <c r="G315" i="1" s="1"/>
  <c r="F295" i="1"/>
  <c r="F316" i="1" s="1"/>
  <c r="F47" i="9" s="1"/>
  <c r="E295" i="1"/>
  <c r="E316" i="1" s="1"/>
  <c r="E47" i="9" s="1"/>
  <c r="D295" i="1"/>
  <c r="D316" i="1" s="1"/>
  <c r="D47" i="9" s="1"/>
  <c r="C295" i="1"/>
  <c r="C316" i="1" s="1"/>
  <c r="C47" i="9" s="1"/>
  <c r="AW293" i="1"/>
  <c r="AW317" i="1" s="1"/>
  <c r="AV293" i="1"/>
  <c r="AV317" i="1" s="1"/>
  <c r="AU293" i="1"/>
  <c r="AU317" i="1" s="1"/>
  <c r="AS293" i="1"/>
  <c r="AS317" i="1" s="1"/>
  <c r="AR293" i="1"/>
  <c r="AR317" i="1" s="1"/>
  <c r="AQ293" i="1"/>
  <c r="AQ317" i="1" s="1"/>
  <c r="AP293" i="1"/>
  <c r="AP317" i="1" s="1"/>
  <c r="AN293" i="1"/>
  <c r="AN317" i="1" s="1"/>
  <c r="AM293" i="1"/>
  <c r="AM317" i="1" s="1"/>
  <c r="AM45" i="9" s="1"/>
  <c r="AL293" i="1"/>
  <c r="AL317" i="1" s="1"/>
  <c r="AL45" i="9" s="1"/>
  <c r="AK293" i="1"/>
  <c r="AK317" i="1" s="1"/>
  <c r="AJ293" i="1"/>
  <c r="AJ317" i="1" s="1"/>
  <c r="AJ45" i="9" s="1"/>
  <c r="AH293" i="1"/>
  <c r="AH317" i="1" s="1"/>
  <c r="AH45" i="9" s="1"/>
  <c r="AG293" i="1"/>
  <c r="AG317" i="1" s="1"/>
  <c r="AG45" i="9" s="1"/>
  <c r="AF293" i="1"/>
  <c r="AF317" i="1" s="1"/>
  <c r="AF45" i="9" s="1"/>
  <c r="AE293" i="1"/>
  <c r="AE317" i="1" s="1"/>
  <c r="AE45" i="9" s="1"/>
  <c r="AC293" i="1"/>
  <c r="AC317" i="1" s="1"/>
  <c r="AC45" i="9" s="1"/>
  <c r="AB293" i="1"/>
  <c r="AB317" i="1" s="1"/>
  <c r="AB45" i="9" s="1"/>
  <c r="AA293" i="1"/>
  <c r="AA317" i="1" s="1"/>
  <c r="AA45" i="9" s="1"/>
  <c r="Z293" i="1"/>
  <c r="Z317" i="1" s="1"/>
  <c r="Z45" i="9" s="1"/>
  <c r="X293" i="1"/>
  <c r="X317" i="1" s="1"/>
  <c r="X45" i="9" s="1"/>
  <c r="W293" i="1"/>
  <c r="W317" i="1" s="1"/>
  <c r="W45" i="9" s="1"/>
  <c r="V293" i="1"/>
  <c r="V317" i="1" s="1"/>
  <c r="V45" i="9" s="1"/>
  <c r="U293" i="1"/>
  <c r="U317" i="1" s="1"/>
  <c r="U45" i="9" s="1"/>
  <c r="S293" i="1"/>
  <c r="S317" i="1" s="1"/>
  <c r="S45" i="9" s="1"/>
  <c r="R293" i="1"/>
  <c r="R317" i="1" s="1"/>
  <c r="R45" i="9" s="1"/>
  <c r="Q293" i="1"/>
  <c r="Q317" i="1" s="1"/>
  <c r="Q45" i="9" s="1"/>
  <c r="P293" i="1"/>
  <c r="P317" i="1" s="1"/>
  <c r="P45" i="9" s="1"/>
  <c r="N293" i="1"/>
  <c r="N317" i="1" s="1"/>
  <c r="N45" i="9" s="1"/>
  <c r="M293" i="1"/>
  <c r="M317" i="1" s="1"/>
  <c r="M45" i="9" s="1"/>
  <c r="L293" i="1"/>
  <c r="L317" i="1" s="1"/>
  <c r="L45" i="9" s="1"/>
  <c r="K293" i="1"/>
  <c r="K317" i="1" s="1"/>
  <c r="K45" i="9" s="1"/>
  <c r="I293" i="1"/>
  <c r="I317" i="1" s="1"/>
  <c r="I45" i="9" s="1"/>
  <c r="H293" i="1"/>
  <c r="H317" i="1" s="1"/>
  <c r="H45" i="9" s="1"/>
  <c r="G293" i="1"/>
  <c r="G317" i="1" s="1"/>
  <c r="G45" i="9" s="1"/>
  <c r="F293" i="1"/>
  <c r="F317" i="1" s="1"/>
  <c r="F45" i="9" s="1"/>
  <c r="E293" i="1"/>
  <c r="E317" i="1" s="1"/>
  <c r="E45" i="9" s="1"/>
  <c r="D293" i="1"/>
  <c r="D317" i="1" s="1"/>
  <c r="D45" i="9" s="1"/>
  <c r="C293" i="1"/>
  <c r="C317" i="1" s="1"/>
  <c r="C45" i="9" s="1"/>
  <c r="AT292" i="1"/>
  <c r="AO292" i="1"/>
  <c r="AI292" i="1"/>
  <c r="AD292" i="1"/>
  <c r="AD309" i="1" s="1"/>
  <c r="Y292" i="1"/>
  <c r="T292" i="1"/>
  <c r="T309" i="1" s="1"/>
  <c r="T42" i="9" s="1"/>
  <c r="O292" i="1"/>
  <c r="J292" i="1"/>
  <c r="J309" i="1" s="1"/>
  <c r="J42" i="9" s="1"/>
  <c r="AT291" i="1"/>
  <c r="AO291" i="1"/>
  <c r="AI291" i="1"/>
  <c r="AI308" i="1" s="1"/>
  <c r="AI43" i="9" s="1"/>
  <c r="AD291" i="1"/>
  <c r="AD308" i="1" s="1"/>
  <c r="Y291" i="1"/>
  <c r="Y308" i="1" s="1"/>
  <c r="Y43" i="9" s="1"/>
  <c r="T291" i="1"/>
  <c r="T308" i="1" s="1"/>
  <c r="T43" i="9" s="1"/>
  <c r="O291" i="1"/>
  <c r="O308" i="1" s="1"/>
  <c r="O43" i="9" s="1"/>
  <c r="J291" i="1"/>
  <c r="J308" i="1" s="1"/>
  <c r="J43" i="9" s="1"/>
  <c r="AT290" i="1"/>
  <c r="AT293" i="1" s="1"/>
  <c r="AO290" i="1"/>
  <c r="AO293" i="1" s="1"/>
  <c r="AI290" i="1"/>
  <c r="AI293" i="1" s="1"/>
  <c r="AI317" i="1" s="1"/>
  <c r="AI45" i="9" s="1"/>
  <c r="AD290" i="1"/>
  <c r="AD293" i="1" s="1"/>
  <c r="AD317" i="1" s="1"/>
  <c r="AD45" i="9" s="1"/>
  <c r="Y290" i="1"/>
  <c r="Y293" i="1" s="1"/>
  <c r="Y317" i="1" s="1"/>
  <c r="Y45" i="9" s="1"/>
  <c r="T290" i="1"/>
  <c r="T293" i="1" s="1"/>
  <c r="T317" i="1" s="1"/>
  <c r="T45" i="9" s="1"/>
  <c r="O290" i="1"/>
  <c r="O293" i="1" s="1"/>
  <c r="O317" i="1" s="1"/>
  <c r="O45" i="9" s="1"/>
  <c r="J290" i="1"/>
  <c r="J293" i="1" s="1"/>
  <c r="J317" i="1" s="1"/>
  <c r="J45" i="9" s="1"/>
  <c r="AW287" i="1"/>
  <c r="AV287" i="1"/>
  <c r="AU287" i="1"/>
  <c r="AT287" i="1"/>
  <c r="AS287" i="1"/>
  <c r="AR287" i="1"/>
  <c r="AQ287" i="1"/>
  <c r="AP287" i="1"/>
  <c r="AN287" i="1"/>
  <c r="AM287" i="1"/>
  <c r="AL287" i="1"/>
  <c r="AK287" i="1"/>
  <c r="AJ287" i="1"/>
  <c r="AI287" i="1"/>
  <c r="AH287" i="1"/>
  <c r="AG287" i="1"/>
  <c r="AF287" i="1"/>
  <c r="AE287" i="1"/>
  <c r="AD287" i="1"/>
  <c r="AC287" i="1"/>
  <c r="AB287" i="1"/>
  <c r="AA287" i="1"/>
  <c r="Z287" i="1"/>
  <c r="Y287" i="1"/>
  <c r="X287" i="1"/>
  <c r="W287" i="1"/>
  <c r="V287" i="1"/>
  <c r="U287" i="1"/>
  <c r="T287" i="1"/>
  <c r="S287" i="1"/>
  <c r="R287" i="1"/>
  <c r="Q287" i="1"/>
  <c r="P287" i="1"/>
  <c r="O287" i="1"/>
  <c r="N287" i="1"/>
  <c r="M287" i="1"/>
  <c r="L287" i="1"/>
  <c r="K287" i="1"/>
  <c r="J287" i="1"/>
  <c r="I287" i="1"/>
  <c r="H287" i="1"/>
  <c r="G287" i="1"/>
  <c r="F287" i="1"/>
  <c r="E287" i="1"/>
  <c r="D287" i="1"/>
  <c r="C287" i="1"/>
  <c r="AT279" i="1"/>
  <c r="AO279" i="1"/>
  <c r="AT278" i="1"/>
  <c r="AO278" i="1"/>
  <c r="AT277" i="1"/>
  <c r="AO277" i="1"/>
  <c r="AT276" i="1"/>
  <c r="AO276" i="1"/>
  <c r="AW275" i="1"/>
  <c r="AV275" i="1"/>
  <c r="AS275" i="1"/>
  <c r="AR275" i="1"/>
  <c r="AQ275" i="1"/>
  <c r="AN275" i="1"/>
  <c r="AO275" i="1" s="1"/>
  <c r="N275" i="1"/>
  <c r="N339" i="1" s="1"/>
  <c r="M275" i="1"/>
  <c r="M339" i="1" s="1"/>
  <c r="L275" i="1"/>
  <c r="L339" i="1" s="1"/>
  <c r="K275" i="1"/>
  <c r="K339" i="1" s="1"/>
  <c r="J275" i="1"/>
  <c r="J339" i="1" s="1"/>
  <c r="I275" i="1"/>
  <c r="I339" i="1" s="1"/>
  <c r="H275" i="1"/>
  <c r="H339" i="1" s="1"/>
  <c r="G275" i="1"/>
  <c r="G339" i="1" s="1"/>
  <c r="F275" i="1"/>
  <c r="AT274" i="1"/>
  <c r="AO274" i="1"/>
  <c r="AT273" i="1"/>
  <c r="AO273" i="1"/>
  <c r="AT272" i="1"/>
  <c r="AO272" i="1"/>
  <c r="AT271" i="1"/>
  <c r="AO271" i="1"/>
  <c r="AW270" i="1"/>
  <c r="AV270" i="1"/>
  <c r="AU270" i="1"/>
  <c r="AR270" i="1"/>
  <c r="AQ270" i="1"/>
  <c r="AN270" i="1"/>
  <c r="AO270" i="1" s="1"/>
  <c r="F270" i="1"/>
  <c r="F339" i="1" s="1"/>
  <c r="AT269" i="1"/>
  <c r="AO269" i="1"/>
  <c r="AW265" i="1"/>
  <c r="AV265" i="1"/>
  <c r="AU265" i="1"/>
  <c r="AT265" i="1"/>
  <c r="AS265" i="1"/>
  <c r="AR265" i="1"/>
  <c r="AQ265" i="1"/>
  <c r="AP265" i="1"/>
  <c r="AO265" i="1"/>
  <c r="AN265" i="1"/>
  <c r="P258" i="1"/>
  <c r="P325" i="1" s="1"/>
  <c r="P386" i="1" s="1"/>
  <c r="P387" i="1" s="1"/>
  <c r="O258" i="1"/>
  <c r="O325" i="1" s="1"/>
  <c r="O386" i="1" s="1"/>
  <c r="AM256" i="1"/>
  <c r="AL256" i="1"/>
  <c r="AK256" i="1"/>
  <c r="AJ256" i="1"/>
  <c r="AI256" i="1"/>
  <c r="AH256" i="1"/>
  <c r="AG256" i="1"/>
  <c r="AF256" i="1"/>
  <c r="AE256" i="1"/>
  <c r="AD256" i="1"/>
  <c r="AC256" i="1"/>
  <c r="AB256" i="1"/>
  <c r="AA256" i="1"/>
  <c r="Z256" i="1"/>
  <c r="Y256" i="1"/>
  <c r="X256" i="1"/>
  <c r="W256" i="1"/>
  <c r="V256" i="1"/>
  <c r="U256" i="1"/>
  <c r="T256" i="1"/>
  <c r="S256" i="1"/>
  <c r="R256" i="1"/>
  <c r="Q256" i="1"/>
  <c r="P256" i="1"/>
  <c r="O256" i="1"/>
  <c r="N256" i="1"/>
  <c r="M256" i="1"/>
  <c r="L256" i="1"/>
  <c r="K256" i="1"/>
  <c r="J256" i="1"/>
  <c r="I256" i="1"/>
  <c r="H256" i="1"/>
  <c r="G256" i="1"/>
  <c r="F256" i="1"/>
  <c r="E256" i="1"/>
  <c r="D256" i="1"/>
  <c r="C256" i="1"/>
  <c r="AM249" i="1"/>
  <c r="AM305" i="1" s="1"/>
  <c r="AL249" i="1"/>
  <c r="AK249" i="1"/>
  <c r="AJ249" i="1"/>
  <c r="AJ305" i="1" s="1"/>
  <c r="AI249" i="1"/>
  <c r="AH249" i="1"/>
  <c r="AG249" i="1"/>
  <c r="AF249" i="1"/>
  <c r="AF305" i="1" s="1"/>
  <c r="AE249" i="1"/>
  <c r="AE305" i="1" s="1"/>
  <c r="AD249" i="1"/>
  <c r="AC249" i="1"/>
  <c r="AB249" i="1"/>
  <c r="AB305" i="1" s="1"/>
  <c r="AA249" i="1"/>
  <c r="AA305" i="1" s="1"/>
  <c r="Z245" i="1"/>
  <c r="Y245" i="1"/>
  <c r="X245" i="1"/>
  <c r="W245" i="1"/>
  <c r="V245" i="1"/>
  <c r="U245" i="1"/>
  <c r="T245" i="1"/>
  <c r="S245" i="1"/>
  <c r="R245" i="1"/>
  <c r="Q245" i="1"/>
  <c r="P245" i="1"/>
  <c r="O245" i="1"/>
  <c r="N245" i="1"/>
  <c r="M245" i="1"/>
  <c r="L245" i="1"/>
  <c r="K245" i="1"/>
  <c r="J245" i="1"/>
  <c r="I245" i="1"/>
  <c r="H245" i="1"/>
  <c r="G245" i="1"/>
  <c r="F245" i="1"/>
  <c r="E245" i="1"/>
  <c r="D245" i="1"/>
  <c r="C245" i="1"/>
  <c r="Z240" i="1"/>
  <c r="Z249" i="1" s="1"/>
  <c r="Z305" i="1" s="1"/>
  <c r="Y240" i="1"/>
  <c r="Y249" i="1" s="1"/>
  <c r="X240" i="1"/>
  <c r="X249" i="1" s="1"/>
  <c r="W240" i="1"/>
  <c r="W249" i="1" s="1"/>
  <c r="W305" i="1" s="1"/>
  <c r="V240" i="1"/>
  <c r="V249" i="1" s="1"/>
  <c r="V305" i="1" s="1"/>
  <c r="U240" i="1"/>
  <c r="U249" i="1" s="1"/>
  <c r="U305" i="1" s="1"/>
  <c r="T240" i="1"/>
  <c r="T249" i="1" s="1"/>
  <c r="S240" i="1"/>
  <c r="S249" i="1" s="1"/>
  <c r="S305" i="1" s="1"/>
  <c r="R240" i="1"/>
  <c r="R249" i="1" s="1"/>
  <c r="R305" i="1" s="1"/>
  <c r="Q240" i="1"/>
  <c r="Q249" i="1" s="1"/>
  <c r="Q305" i="1" s="1"/>
  <c r="P240" i="1"/>
  <c r="P249" i="1" s="1"/>
  <c r="O240" i="1"/>
  <c r="O249" i="1" s="1"/>
  <c r="N240" i="1"/>
  <c r="N249" i="1" s="1"/>
  <c r="M240" i="1"/>
  <c r="M249" i="1" s="1"/>
  <c r="L240" i="1"/>
  <c r="L249" i="1" s="1"/>
  <c r="K240" i="1"/>
  <c r="K249" i="1" s="1"/>
  <c r="K305" i="1" s="1"/>
  <c r="J240" i="1"/>
  <c r="J249" i="1" s="1"/>
  <c r="I240" i="1"/>
  <c r="I249" i="1" s="1"/>
  <c r="H240" i="1"/>
  <c r="H249" i="1" s="1"/>
  <c r="G240" i="1"/>
  <c r="G249" i="1" s="1"/>
  <c r="G305" i="1" s="1"/>
  <c r="F240" i="1"/>
  <c r="F249" i="1" s="1"/>
  <c r="E240" i="1"/>
  <c r="E249" i="1" s="1"/>
  <c r="E305" i="1" s="1"/>
  <c r="D240" i="1"/>
  <c r="D249" i="1" s="1"/>
  <c r="C240" i="1"/>
  <c r="C249" i="1" s="1"/>
  <c r="AM237" i="1"/>
  <c r="AL237" i="1"/>
  <c r="AL302" i="1" s="1"/>
  <c r="AL217" i="1" s="1"/>
  <c r="AL640" i="1" s="1"/>
  <c r="AK237" i="1"/>
  <c r="AK302" i="1" s="1"/>
  <c r="AJ237" i="1"/>
  <c r="AJ302" i="1" s="1"/>
  <c r="AI237" i="1"/>
  <c r="AH237" i="1"/>
  <c r="AH302" i="1" s="1"/>
  <c r="AG237" i="1"/>
  <c r="AG302" i="1" s="1"/>
  <c r="AF237" i="1"/>
  <c r="AF302" i="1" s="1"/>
  <c r="AF217" i="1" s="1"/>
  <c r="AF640" i="1" s="1"/>
  <c r="AE237" i="1"/>
  <c r="AD237" i="1"/>
  <c r="AD302" i="1" s="1"/>
  <c r="AC237" i="1"/>
  <c r="AC302" i="1" s="1"/>
  <c r="AB237" i="1"/>
  <c r="AB302" i="1" s="1"/>
  <c r="AB217" i="1" s="1"/>
  <c r="AB640" i="1" s="1"/>
  <c r="AA237" i="1"/>
  <c r="Z234" i="1"/>
  <c r="Y234" i="1"/>
  <c r="X234" i="1"/>
  <c r="W234" i="1"/>
  <c r="V234" i="1"/>
  <c r="U234" i="1"/>
  <c r="T234" i="1"/>
  <c r="S234" i="1"/>
  <c r="R234" i="1"/>
  <c r="Q234" i="1"/>
  <c r="P234" i="1"/>
  <c r="O234" i="1"/>
  <c r="N234" i="1"/>
  <c r="M234" i="1"/>
  <c r="L234" i="1"/>
  <c r="K234" i="1"/>
  <c r="J234" i="1"/>
  <c r="I234" i="1"/>
  <c r="H234" i="1"/>
  <c r="G234" i="1"/>
  <c r="F234" i="1"/>
  <c r="E234" i="1"/>
  <c r="D234" i="1"/>
  <c r="C234" i="1"/>
  <c r="Z229" i="1"/>
  <c r="Z237" i="1" s="1"/>
  <c r="Y229" i="1"/>
  <c r="Y237" i="1" s="1"/>
  <c r="X229" i="1"/>
  <c r="X237" i="1" s="1"/>
  <c r="X302" i="1" s="1"/>
  <c r="W229" i="1"/>
  <c r="W237" i="1" s="1"/>
  <c r="V229" i="1"/>
  <c r="V237" i="1" s="1"/>
  <c r="U229" i="1"/>
  <c r="U237" i="1" s="1"/>
  <c r="T229" i="1"/>
  <c r="T237" i="1" s="1"/>
  <c r="S229" i="1"/>
  <c r="S237" i="1" s="1"/>
  <c r="R229" i="1"/>
  <c r="R237" i="1" s="1"/>
  <c r="Q229" i="1"/>
  <c r="Q237" i="1" s="1"/>
  <c r="P229" i="1"/>
  <c r="P237" i="1" s="1"/>
  <c r="P302" i="1" s="1"/>
  <c r="O229" i="1"/>
  <c r="O237" i="1" s="1"/>
  <c r="N229" i="1"/>
  <c r="N237" i="1" s="1"/>
  <c r="M229" i="1"/>
  <c r="M237" i="1" s="1"/>
  <c r="L229" i="1"/>
  <c r="L237" i="1" s="1"/>
  <c r="L302" i="1" s="1"/>
  <c r="K229" i="1"/>
  <c r="K237" i="1" s="1"/>
  <c r="J229" i="1"/>
  <c r="J237" i="1" s="1"/>
  <c r="I229" i="1"/>
  <c r="I237" i="1" s="1"/>
  <c r="H229" i="1"/>
  <c r="H237" i="1" s="1"/>
  <c r="H302" i="1" s="1"/>
  <c r="G229" i="1"/>
  <c r="G237" i="1" s="1"/>
  <c r="F229" i="1"/>
  <c r="F237" i="1" s="1"/>
  <c r="E229" i="1"/>
  <c r="E237" i="1" s="1"/>
  <c r="D229" i="1"/>
  <c r="D237" i="1" s="1"/>
  <c r="C229" i="1"/>
  <c r="C237" i="1" s="1"/>
  <c r="A224" i="1"/>
  <c r="A220" i="1"/>
  <c r="AH217" i="1"/>
  <c r="AH640" i="1" s="1"/>
  <c r="AF216" i="1"/>
  <c r="P216" i="1"/>
  <c r="AK215" i="1"/>
  <c r="AG215" i="1"/>
  <c r="AC215" i="1"/>
  <c r="AJ214" i="1"/>
  <c r="AG214" i="1"/>
  <c r="AC214" i="1"/>
  <c r="A212" i="1"/>
  <c r="A677" i="1" s="1"/>
  <c r="AJ209" i="1"/>
  <c r="AJ211" i="1" s="1"/>
  <c r="U205" i="1"/>
  <c r="S205" i="1"/>
  <c r="R205" i="1"/>
  <c r="Q205" i="1"/>
  <c r="P205" i="1"/>
  <c r="N205" i="1"/>
  <c r="M205" i="1"/>
  <c r="L205" i="1"/>
  <c r="K205" i="1"/>
  <c r="I205" i="1"/>
  <c r="H205" i="1"/>
  <c r="G205" i="1"/>
  <c r="F205" i="1"/>
  <c r="E205" i="1"/>
  <c r="D205" i="1"/>
  <c r="C205" i="1"/>
  <c r="U204" i="1"/>
  <c r="S204" i="1"/>
  <c r="R204" i="1"/>
  <c r="Q204" i="1"/>
  <c r="P204" i="1"/>
  <c r="N204" i="1"/>
  <c r="M204" i="1"/>
  <c r="L204" i="1"/>
  <c r="K204" i="1"/>
  <c r="I204" i="1"/>
  <c r="H204" i="1"/>
  <c r="G204" i="1"/>
  <c r="F204" i="1"/>
  <c r="E204" i="1"/>
  <c r="D204" i="1"/>
  <c r="C204" i="1"/>
  <c r="U203" i="1"/>
  <c r="S203" i="1"/>
  <c r="R203" i="1"/>
  <c r="Q203" i="1"/>
  <c r="P203" i="1"/>
  <c r="N203" i="1"/>
  <c r="M203" i="1"/>
  <c r="L203" i="1"/>
  <c r="K203" i="1"/>
  <c r="I203" i="1"/>
  <c r="H203" i="1"/>
  <c r="G203" i="1"/>
  <c r="F203" i="1"/>
  <c r="E203" i="1"/>
  <c r="D203" i="1"/>
  <c r="C203" i="1"/>
  <c r="U202" i="1"/>
  <c r="S202" i="1"/>
  <c r="R202" i="1"/>
  <c r="Q202" i="1"/>
  <c r="P202" i="1"/>
  <c r="N202" i="1"/>
  <c r="M202" i="1"/>
  <c r="L202" i="1"/>
  <c r="K202" i="1"/>
  <c r="I202" i="1"/>
  <c r="H202" i="1"/>
  <c r="G202" i="1"/>
  <c r="F202" i="1"/>
  <c r="E202" i="1"/>
  <c r="D202" i="1"/>
  <c r="C202" i="1"/>
  <c r="M200" i="1"/>
  <c r="I200" i="1"/>
  <c r="E200" i="1"/>
  <c r="D200" i="1"/>
  <c r="T199" i="1"/>
  <c r="O199" i="1"/>
  <c r="J199" i="1"/>
  <c r="U198" i="1"/>
  <c r="U200" i="1" s="1"/>
  <c r="S198" i="1"/>
  <c r="S200" i="1" s="1"/>
  <c r="R198" i="1"/>
  <c r="R200" i="1" s="1"/>
  <c r="Q198" i="1"/>
  <c r="Q200" i="1" s="1"/>
  <c r="P198" i="1"/>
  <c r="P200" i="1" s="1"/>
  <c r="N198" i="1"/>
  <c r="N200" i="1" s="1"/>
  <c r="M198" i="1"/>
  <c r="L198" i="1"/>
  <c r="L200" i="1" s="1"/>
  <c r="K198" i="1"/>
  <c r="K200" i="1" s="1"/>
  <c r="I198" i="1"/>
  <c r="H198" i="1"/>
  <c r="H200" i="1" s="1"/>
  <c r="G198" i="1"/>
  <c r="G200" i="1" s="1"/>
  <c r="F198" i="1"/>
  <c r="F200" i="1" s="1"/>
  <c r="E198" i="1"/>
  <c r="D198" i="1"/>
  <c r="C198" i="1"/>
  <c r="C200" i="1" s="1"/>
  <c r="T197" i="1"/>
  <c r="O197" i="1"/>
  <c r="J197" i="1"/>
  <c r="T196" i="1"/>
  <c r="O196" i="1"/>
  <c r="O204" i="1" s="1"/>
  <c r="J196" i="1"/>
  <c r="T195" i="1"/>
  <c r="O195" i="1"/>
  <c r="J195" i="1"/>
  <c r="J203" i="1" s="1"/>
  <c r="T194" i="1"/>
  <c r="O194" i="1"/>
  <c r="J194" i="1"/>
  <c r="S192" i="1"/>
  <c r="K192" i="1"/>
  <c r="G192" i="1"/>
  <c r="P191" i="1"/>
  <c r="H191" i="1"/>
  <c r="D191" i="1"/>
  <c r="R190" i="1"/>
  <c r="Q190" i="1"/>
  <c r="I190" i="1"/>
  <c r="R189" i="1"/>
  <c r="G189" i="1"/>
  <c r="F189" i="1"/>
  <c r="S186" i="1"/>
  <c r="R186" i="1"/>
  <c r="Q186" i="1"/>
  <c r="P186" i="1"/>
  <c r="N186" i="1"/>
  <c r="M186" i="1"/>
  <c r="L186" i="1"/>
  <c r="K186" i="1"/>
  <c r="I186" i="1"/>
  <c r="H186" i="1"/>
  <c r="G186" i="1"/>
  <c r="F186" i="1"/>
  <c r="E186" i="1"/>
  <c r="D186" i="1"/>
  <c r="C186" i="1"/>
  <c r="S185" i="1"/>
  <c r="R185" i="1"/>
  <c r="R192" i="1" s="1"/>
  <c r="Q185" i="1"/>
  <c r="Q192" i="1" s="1"/>
  <c r="P185" i="1"/>
  <c r="P192" i="1" s="1"/>
  <c r="N185" i="1"/>
  <c r="N192" i="1" s="1"/>
  <c r="M185" i="1"/>
  <c r="M192" i="1" s="1"/>
  <c r="L185" i="1"/>
  <c r="L192" i="1" s="1"/>
  <c r="K185" i="1"/>
  <c r="J185" i="1"/>
  <c r="J192" i="1" s="1"/>
  <c r="I185" i="1"/>
  <c r="I192" i="1" s="1"/>
  <c r="H185" i="1"/>
  <c r="H192" i="1" s="1"/>
  <c r="G185" i="1"/>
  <c r="F185" i="1"/>
  <c r="F192" i="1" s="1"/>
  <c r="E185" i="1"/>
  <c r="E192" i="1" s="1"/>
  <c r="D185" i="1"/>
  <c r="D192" i="1" s="1"/>
  <c r="C185" i="1"/>
  <c r="C192" i="1" s="1"/>
  <c r="S184" i="1"/>
  <c r="S191" i="1" s="1"/>
  <c r="R184" i="1"/>
  <c r="R191" i="1" s="1"/>
  <c r="Q184" i="1"/>
  <c r="Q191" i="1" s="1"/>
  <c r="P184" i="1"/>
  <c r="N184" i="1"/>
  <c r="N191" i="1" s="1"/>
  <c r="M184" i="1"/>
  <c r="M191" i="1" s="1"/>
  <c r="L184" i="1"/>
  <c r="L191" i="1" s="1"/>
  <c r="K184" i="1"/>
  <c r="K191" i="1" s="1"/>
  <c r="I184" i="1"/>
  <c r="I191" i="1" s="1"/>
  <c r="H184" i="1"/>
  <c r="G184" i="1"/>
  <c r="G191" i="1" s="1"/>
  <c r="F184" i="1"/>
  <c r="F191" i="1" s="1"/>
  <c r="E184" i="1"/>
  <c r="E191" i="1" s="1"/>
  <c r="D184" i="1"/>
  <c r="C184" i="1"/>
  <c r="C191" i="1" s="1"/>
  <c r="S183" i="1"/>
  <c r="S190" i="1" s="1"/>
  <c r="R183" i="1"/>
  <c r="Q183" i="1"/>
  <c r="P183" i="1"/>
  <c r="P187" i="1" s="1"/>
  <c r="N183" i="1"/>
  <c r="M183" i="1"/>
  <c r="M190" i="1" s="1"/>
  <c r="L183" i="1"/>
  <c r="K183" i="1"/>
  <c r="K190" i="1" s="1"/>
  <c r="I183" i="1"/>
  <c r="H183" i="1"/>
  <c r="G183" i="1"/>
  <c r="G190" i="1" s="1"/>
  <c r="F183" i="1"/>
  <c r="F187" i="1" s="1"/>
  <c r="E183" i="1"/>
  <c r="E190" i="1" s="1"/>
  <c r="D183" i="1"/>
  <c r="C183" i="1"/>
  <c r="C190" i="1" s="1"/>
  <c r="S182" i="1"/>
  <c r="S187" i="1" s="1"/>
  <c r="R182" i="1"/>
  <c r="Q182" i="1"/>
  <c r="Q189" i="1" s="1"/>
  <c r="P182" i="1"/>
  <c r="P189" i="1" s="1"/>
  <c r="N182" i="1"/>
  <c r="N189" i="1" s="1"/>
  <c r="M182" i="1"/>
  <c r="M189" i="1" s="1"/>
  <c r="L182" i="1"/>
  <c r="L189" i="1" s="1"/>
  <c r="K182" i="1"/>
  <c r="I182" i="1"/>
  <c r="I189" i="1" s="1"/>
  <c r="H182" i="1"/>
  <c r="H189" i="1" s="1"/>
  <c r="G182" i="1"/>
  <c r="F182" i="1"/>
  <c r="E182" i="1"/>
  <c r="E189" i="1" s="1"/>
  <c r="D182" i="1"/>
  <c r="D189" i="1" s="1"/>
  <c r="C182" i="1"/>
  <c r="S180" i="1"/>
  <c r="R180" i="1"/>
  <c r="Q180" i="1"/>
  <c r="P180" i="1"/>
  <c r="N180" i="1"/>
  <c r="M180" i="1"/>
  <c r="L180" i="1"/>
  <c r="K180" i="1"/>
  <c r="I180" i="1"/>
  <c r="H180" i="1"/>
  <c r="G180" i="1"/>
  <c r="F180" i="1"/>
  <c r="E180" i="1"/>
  <c r="D180" i="1"/>
  <c r="C180" i="1"/>
  <c r="O179" i="1"/>
  <c r="O186" i="1" s="1"/>
  <c r="J179" i="1"/>
  <c r="J186" i="1" s="1"/>
  <c r="O178" i="1"/>
  <c r="J178" i="1"/>
  <c r="O177" i="1"/>
  <c r="J177" i="1"/>
  <c r="O176" i="1"/>
  <c r="J176" i="1"/>
  <c r="O175" i="1"/>
  <c r="O182" i="1" s="1"/>
  <c r="J175" i="1"/>
  <c r="J180" i="1" s="1"/>
  <c r="U173" i="1"/>
  <c r="S173" i="1"/>
  <c r="R173" i="1"/>
  <c r="Q173" i="1"/>
  <c r="P173" i="1"/>
  <c r="N173" i="1"/>
  <c r="M173" i="1"/>
  <c r="L173" i="1"/>
  <c r="K173" i="1"/>
  <c r="F173" i="1"/>
  <c r="E173" i="1"/>
  <c r="D173" i="1"/>
  <c r="U172" i="1"/>
  <c r="S172" i="1"/>
  <c r="R172" i="1"/>
  <c r="Q172" i="1"/>
  <c r="P172" i="1"/>
  <c r="N172" i="1"/>
  <c r="M172" i="1"/>
  <c r="L172" i="1"/>
  <c r="K172" i="1"/>
  <c r="F172" i="1"/>
  <c r="E172" i="1"/>
  <c r="D172" i="1"/>
  <c r="U171" i="1"/>
  <c r="S171" i="1"/>
  <c r="R171" i="1"/>
  <c r="Q171" i="1"/>
  <c r="P171" i="1"/>
  <c r="N171" i="1"/>
  <c r="M171" i="1"/>
  <c r="L171" i="1"/>
  <c r="K171" i="1"/>
  <c r="F171" i="1"/>
  <c r="E171" i="1"/>
  <c r="D171" i="1"/>
  <c r="U170" i="1"/>
  <c r="S170" i="1"/>
  <c r="R170" i="1"/>
  <c r="Q170" i="1"/>
  <c r="P170" i="1"/>
  <c r="N170" i="1"/>
  <c r="M170" i="1"/>
  <c r="L170" i="1"/>
  <c r="K170" i="1"/>
  <c r="F170" i="1"/>
  <c r="E170" i="1"/>
  <c r="D170" i="1"/>
  <c r="U168" i="1"/>
  <c r="S168" i="1"/>
  <c r="R168" i="1"/>
  <c r="Q168" i="1"/>
  <c r="P168" i="1"/>
  <c r="N168" i="1"/>
  <c r="M168" i="1"/>
  <c r="L168" i="1"/>
  <c r="K168" i="1"/>
  <c r="I168" i="1"/>
  <c r="H168" i="1"/>
  <c r="G168" i="1"/>
  <c r="F168" i="1"/>
  <c r="E168" i="1"/>
  <c r="D168" i="1"/>
  <c r="C168" i="1"/>
  <c r="T167" i="1"/>
  <c r="O167" i="1"/>
  <c r="O173" i="1" s="1"/>
  <c r="J167" i="1"/>
  <c r="T166" i="1"/>
  <c r="T172" i="1" s="1"/>
  <c r="O166" i="1"/>
  <c r="J166" i="1"/>
  <c r="J184" i="1" s="1"/>
  <c r="J191" i="1" s="1"/>
  <c r="T165" i="1"/>
  <c r="O165" i="1"/>
  <c r="O171" i="1" s="1"/>
  <c r="J165" i="1"/>
  <c r="J183" i="1" s="1"/>
  <c r="J190" i="1" s="1"/>
  <c r="T164" i="1"/>
  <c r="T170" i="1" s="1"/>
  <c r="O164" i="1"/>
  <c r="O170" i="1" s="1"/>
  <c r="J164" i="1"/>
  <c r="J168" i="1" s="1"/>
  <c r="P161" i="1"/>
  <c r="N161" i="1"/>
  <c r="M161" i="1"/>
  <c r="L161" i="1"/>
  <c r="K161" i="1"/>
  <c r="I161" i="1"/>
  <c r="H161" i="1"/>
  <c r="G161" i="1"/>
  <c r="F161" i="1"/>
  <c r="E161" i="1"/>
  <c r="D161" i="1"/>
  <c r="C161" i="1"/>
  <c r="P160" i="1"/>
  <c r="N160" i="1"/>
  <c r="M160" i="1"/>
  <c r="L160" i="1"/>
  <c r="K160" i="1"/>
  <c r="I160" i="1"/>
  <c r="H160" i="1"/>
  <c r="G160" i="1"/>
  <c r="F160" i="1"/>
  <c r="E160" i="1"/>
  <c r="D160" i="1"/>
  <c r="C160" i="1"/>
  <c r="P159" i="1"/>
  <c r="N159" i="1"/>
  <c r="M159" i="1"/>
  <c r="L159" i="1"/>
  <c r="K159" i="1"/>
  <c r="I159" i="1"/>
  <c r="H159" i="1"/>
  <c r="G159" i="1"/>
  <c r="F159" i="1"/>
  <c r="E159" i="1"/>
  <c r="D159" i="1"/>
  <c r="C159" i="1"/>
  <c r="P158" i="1"/>
  <c r="N158" i="1"/>
  <c r="N162" i="1" s="1"/>
  <c r="M158" i="1"/>
  <c r="M162" i="1" s="1"/>
  <c r="L158" i="1"/>
  <c r="L162" i="1" s="1"/>
  <c r="K158" i="1"/>
  <c r="I158" i="1"/>
  <c r="H158" i="1"/>
  <c r="G158" i="1"/>
  <c r="F158" i="1"/>
  <c r="F162" i="1" s="1"/>
  <c r="E158" i="1"/>
  <c r="D158" i="1"/>
  <c r="C158" i="1"/>
  <c r="P157" i="1"/>
  <c r="N157" i="1"/>
  <c r="M157" i="1"/>
  <c r="L157" i="1"/>
  <c r="K157" i="1"/>
  <c r="I157" i="1"/>
  <c r="H157" i="1"/>
  <c r="G157" i="1"/>
  <c r="F157" i="1"/>
  <c r="E157" i="1"/>
  <c r="D157" i="1"/>
  <c r="C157" i="1"/>
  <c r="O156" i="1"/>
  <c r="J156" i="1"/>
  <c r="O155" i="1"/>
  <c r="J155" i="1"/>
  <c r="O154" i="1"/>
  <c r="J154" i="1"/>
  <c r="O153" i="1"/>
  <c r="O157" i="1" s="1"/>
  <c r="J153" i="1"/>
  <c r="J157" i="1" s="1"/>
  <c r="P152" i="1"/>
  <c r="N152" i="1"/>
  <c r="M152" i="1"/>
  <c r="L152" i="1"/>
  <c r="K152" i="1"/>
  <c r="J152" i="1"/>
  <c r="I152" i="1"/>
  <c r="H152" i="1"/>
  <c r="G152" i="1"/>
  <c r="F152" i="1"/>
  <c r="E152" i="1"/>
  <c r="D152" i="1"/>
  <c r="C152" i="1"/>
  <c r="O151" i="1"/>
  <c r="J151" i="1"/>
  <c r="O150" i="1"/>
  <c r="J150" i="1"/>
  <c r="O149" i="1"/>
  <c r="J149" i="1"/>
  <c r="O148" i="1"/>
  <c r="O152" i="1" s="1"/>
  <c r="J148" i="1"/>
  <c r="P147" i="1"/>
  <c r="N147" i="1"/>
  <c r="M147" i="1"/>
  <c r="L147" i="1"/>
  <c r="K147" i="1"/>
  <c r="I147" i="1"/>
  <c r="H147" i="1"/>
  <c r="G147" i="1"/>
  <c r="F147" i="1"/>
  <c r="E147" i="1"/>
  <c r="D147" i="1"/>
  <c r="C147" i="1"/>
  <c r="O144" i="1"/>
  <c r="O147" i="1" s="1"/>
  <c r="J144" i="1"/>
  <c r="J147" i="1" s="1"/>
  <c r="P142" i="1"/>
  <c r="N142" i="1"/>
  <c r="M142" i="1"/>
  <c r="L142" i="1"/>
  <c r="K142" i="1"/>
  <c r="J142" i="1"/>
  <c r="I142" i="1"/>
  <c r="H142" i="1"/>
  <c r="G142" i="1"/>
  <c r="F142" i="1"/>
  <c r="E142" i="1"/>
  <c r="D142" i="1"/>
  <c r="C142" i="1"/>
  <c r="O141" i="1"/>
  <c r="O161" i="1" s="1"/>
  <c r="J141" i="1"/>
  <c r="O140" i="1"/>
  <c r="J140" i="1"/>
  <c r="J160" i="1" s="1"/>
  <c r="O139" i="1"/>
  <c r="O159" i="1" s="1"/>
  <c r="J139" i="1"/>
  <c r="O138" i="1"/>
  <c r="J138" i="1"/>
  <c r="P135" i="1"/>
  <c r="N135" i="1"/>
  <c r="M135" i="1"/>
  <c r="L135" i="1"/>
  <c r="K135" i="1"/>
  <c r="I135" i="1"/>
  <c r="H135" i="1"/>
  <c r="G135" i="1"/>
  <c r="F135" i="1"/>
  <c r="E135" i="1"/>
  <c r="D135" i="1"/>
  <c r="C135" i="1"/>
  <c r="P134" i="1"/>
  <c r="N134" i="1"/>
  <c r="M134" i="1"/>
  <c r="L134" i="1"/>
  <c r="K134" i="1"/>
  <c r="I134" i="1"/>
  <c r="H134" i="1"/>
  <c r="G134" i="1"/>
  <c r="F134" i="1"/>
  <c r="E134" i="1"/>
  <c r="D134" i="1"/>
  <c r="C134" i="1"/>
  <c r="P133" i="1"/>
  <c r="N133" i="1"/>
  <c r="M133" i="1"/>
  <c r="L133" i="1"/>
  <c r="K133" i="1"/>
  <c r="J133" i="1"/>
  <c r="I133" i="1"/>
  <c r="H133" i="1"/>
  <c r="G133" i="1"/>
  <c r="F133" i="1"/>
  <c r="E133" i="1"/>
  <c r="D133" i="1"/>
  <c r="C133" i="1"/>
  <c r="P132" i="1"/>
  <c r="P136" i="1" s="1"/>
  <c r="N132" i="1"/>
  <c r="M132" i="1"/>
  <c r="M136" i="1" s="1"/>
  <c r="L132" i="1"/>
  <c r="K132" i="1"/>
  <c r="K136" i="1" s="1"/>
  <c r="I132" i="1"/>
  <c r="H132" i="1"/>
  <c r="H136" i="1" s="1"/>
  <c r="G132" i="1"/>
  <c r="F132" i="1"/>
  <c r="F136" i="1" s="1"/>
  <c r="E132" i="1"/>
  <c r="D132" i="1"/>
  <c r="D136" i="1" s="1"/>
  <c r="C132" i="1"/>
  <c r="P131" i="1"/>
  <c r="N131" i="1"/>
  <c r="M131" i="1"/>
  <c r="L131" i="1"/>
  <c r="K131" i="1"/>
  <c r="I131" i="1"/>
  <c r="H131" i="1"/>
  <c r="G131" i="1"/>
  <c r="F131" i="1"/>
  <c r="E131" i="1"/>
  <c r="D131" i="1"/>
  <c r="C131" i="1"/>
  <c r="O130" i="1"/>
  <c r="J130" i="1"/>
  <c r="O129" i="1"/>
  <c r="J129" i="1"/>
  <c r="O128" i="1"/>
  <c r="O127" i="1"/>
  <c r="J127" i="1"/>
  <c r="J131" i="1" s="1"/>
  <c r="P126" i="1"/>
  <c r="N126" i="1"/>
  <c r="M126" i="1"/>
  <c r="L126" i="1"/>
  <c r="K126" i="1"/>
  <c r="I126" i="1"/>
  <c r="H126" i="1"/>
  <c r="G126" i="1"/>
  <c r="F126" i="1"/>
  <c r="E126" i="1"/>
  <c r="D126" i="1"/>
  <c r="C126" i="1"/>
  <c r="O125" i="1"/>
  <c r="J125" i="1"/>
  <c r="J135" i="1" s="1"/>
  <c r="O124" i="1"/>
  <c r="J124" i="1"/>
  <c r="J126" i="1" s="1"/>
  <c r="O123" i="1"/>
  <c r="O122" i="1"/>
  <c r="O126" i="1" s="1"/>
  <c r="J122" i="1"/>
  <c r="P121" i="1"/>
  <c r="N121" i="1"/>
  <c r="M121" i="1"/>
  <c r="L121" i="1"/>
  <c r="K121" i="1"/>
  <c r="I121" i="1"/>
  <c r="H121" i="1"/>
  <c r="G121" i="1"/>
  <c r="F121" i="1"/>
  <c r="E121" i="1"/>
  <c r="D121" i="1"/>
  <c r="C121" i="1"/>
  <c r="O120" i="1"/>
  <c r="J120" i="1"/>
  <c r="O119" i="1"/>
  <c r="J119" i="1"/>
  <c r="O118" i="1"/>
  <c r="J118" i="1"/>
  <c r="O117" i="1"/>
  <c r="J117" i="1"/>
  <c r="J121" i="1" s="1"/>
  <c r="Z104" i="1"/>
  <c r="Y104" i="1"/>
  <c r="X104" i="1"/>
  <c r="W104" i="1"/>
  <c r="V104" i="1"/>
  <c r="U104" i="1"/>
  <c r="T104" i="1"/>
  <c r="S104" i="1"/>
  <c r="R104" i="1"/>
  <c r="Q104" i="1"/>
  <c r="P104" i="1"/>
  <c r="O104" i="1"/>
  <c r="N104" i="1"/>
  <c r="M104" i="1"/>
  <c r="L104" i="1"/>
  <c r="K104" i="1"/>
  <c r="J104" i="1"/>
  <c r="I104" i="1"/>
  <c r="H104" i="1"/>
  <c r="G104" i="1"/>
  <c r="F104" i="1"/>
  <c r="E104" i="1"/>
  <c r="D104" i="1"/>
  <c r="C104" i="1"/>
  <c r="Z103" i="1"/>
  <c r="Y103" i="1"/>
  <c r="X103" i="1"/>
  <c r="W103" i="1"/>
  <c r="V103" i="1"/>
  <c r="U103" i="1"/>
  <c r="T103" i="1"/>
  <c r="S103" i="1"/>
  <c r="R103" i="1"/>
  <c r="Q103" i="1"/>
  <c r="P103" i="1"/>
  <c r="O103" i="1"/>
  <c r="N103" i="1"/>
  <c r="M103" i="1"/>
  <c r="L103" i="1"/>
  <c r="K103" i="1"/>
  <c r="J103" i="1"/>
  <c r="I103" i="1"/>
  <c r="H103" i="1"/>
  <c r="G103" i="1"/>
  <c r="F103" i="1"/>
  <c r="E103" i="1"/>
  <c r="D103" i="1"/>
  <c r="C103" i="1"/>
  <c r="Z102" i="1"/>
  <c r="Y102" i="1"/>
  <c r="X102" i="1"/>
  <c r="W102" i="1"/>
  <c r="V102" i="1"/>
  <c r="U102" i="1"/>
  <c r="T102" i="1"/>
  <c r="S102" i="1"/>
  <c r="R102" i="1"/>
  <c r="Q102" i="1"/>
  <c r="P102" i="1"/>
  <c r="O102" i="1"/>
  <c r="N102" i="1"/>
  <c r="M102" i="1"/>
  <c r="L102" i="1"/>
  <c r="K102" i="1"/>
  <c r="J102" i="1"/>
  <c r="I102" i="1"/>
  <c r="H102" i="1"/>
  <c r="G102" i="1"/>
  <c r="F102" i="1"/>
  <c r="E102" i="1"/>
  <c r="D102" i="1"/>
  <c r="C102" i="1"/>
  <c r="Z101" i="1"/>
  <c r="Y101" i="1"/>
  <c r="X101" i="1"/>
  <c r="W101" i="1"/>
  <c r="V101" i="1"/>
  <c r="U101" i="1"/>
  <c r="T101" i="1"/>
  <c r="S101" i="1"/>
  <c r="R101" i="1"/>
  <c r="Q101" i="1"/>
  <c r="P101" i="1"/>
  <c r="O101" i="1"/>
  <c r="N101" i="1"/>
  <c r="M101" i="1"/>
  <c r="L101" i="1"/>
  <c r="K101" i="1"/>
  <c r="J101" i="1"/>
  <c r="I101" i="1"/>
  <c r="H101" i="1"/>
  <c r="G101" i="1"/>
  <c r="F101" i="1"/>
  <c r="E101" i="1"/>
  <c r="D101" i="1"/>
  <c r="C101" i="1"/>
  <c r="Z99" i="1"/>
  <c r="Y99" i="1"/>
  <c r="X99" i="1"/>
  <c r="W99" i="1"/>
  <c r="V99" i="1"/>
  <c r="U99" i="1"/>
  <c r="T99" i="1"/>
  <c r="S99" i="1"/>
  <c r="R99" i="1"/>
  <c r="Q99" i="1"/>
  <c r="P99" i="1"/>
  <c r="O99" i="1"/>
  <c r="N99" i="1"/>
  <c r="M99" i="1"/>
  <c r="L99" i="1"/>
  <c r="K99" i="1"/>
  <c r="J99" i="1"/>
  <c r="I99" i="1"/>
  <c r="H99" i="1"/>
  <c r="G99" i="1"/>
  <c r="F99" i="1"/>
  <c r="E99" i="1"/>
  <c r="D99" i="1"/>
  <c r="C99" i="1"/>
  <c r="Z98" i="1"/>
  <c r="Y98" i="1"/>
  <c r="Y100" i="1" s="1"/>
  <c r="X98" i="1"/>
  <c r="W98" i="1"/>
  <c r="V98" i="1"/>
  <c r="U98" i="1"/>
  <c r="U100" i="1" s="1"/>
  <c r="T98" i="1"/>
  <c r="S98" i="1"/>
  <c r="R98" i="1"/>
  <c r="Q98" i="1"/>
  <c r="Q100" i="1" s="1"/>
  <c r="P98" i="1"/>
  <c r="O98" i="1"/>
  <c r="N98" i="1"/>
  <c r="M98" i="1"/>
  <c r="L98" i="1"/>
  <c r="K98" i="1"/>
  <c r="J98" i="1"/>
  <c r="I98" i="1"/>
  <c r="I100" i="1" s="1"/>
  <c r="H98" i="1"/>
  <c r="G98" i="1"/>
  <c r="F98" i="1"/>
  <c r="E98" i="1"/>
  <c r="E100" i="1" s="1"/>
  <c r="D98" i="1"/>
  <c r="C98" i="1"/>
  <c r="Y87" i="1"/>
  <c r="Z86" i="1"/>
  <c r="Y86" i="1"/>
  <c r="X86" i="1"/>
  <c r="X95" i="1" s="1"/>
  <c r="W86" i="1"/>
  <c r="V86" i="1"/>
  <c r="U86" i="1"/>
  <c r="T86" i="1"/>
  <c r="S86" i="1"/>
  <c r="R86" i="1"/>
  <c r="Q86" i="1"/>
  <c r="P86" i="1"/>
  <c r="O86" i="1"/>
  <c r="N86" i="1"/>
  <c r="M86" i="1"/>
  <c r="L86" i="1"/>
  <c r="K86" i="1"/>
  <c r="J86" i="1"/>
  <c r="I86" i="1"/>
  <c r="H86" i="1"/>
  <c r="G86" i="1"/>
  <c r="F86" i="1"/>
  <c r="E86" i="1"/>
  <c r="D86" i="1"/>
  <c r="D95" i="1" s="1"/>
  <c r="C86" i="1"/>
  <c r="Z85" i="1"/>
  <c r="Y85" i="1"/>
  <c r="X85" i="1"/>
  <c r="W85" i="1"/>
  <c r="V85" i="1"/>
  <c r="U85" i="1"/>
  <c r="T85" i="1"/>
  <c r="S85" i="1"/>
  <c r="R85" i="1"/>
  <c r="Q85" i="1"/>
  <c r="P85" i="1"/>
  <c r="O85" i="1"/>
  <c r="N85" i="1"/>
  <c r="M85" i="1"/>
  <c r="L85" i="1"/>
  <c r="K85" i="1"/>
  <c r="J85" i="1"/>
  <c r="I85" i="1"/>
  <c r="H85" i="1"/>
  <c r="G85" i="1"/>
  <c r="F85" i="1"/>
  <c r="K94" i="1" s="1"/>
  <c r="E85" i="1"/>
  <c r="D85" i="1"/>
  <c r="C85" i="1"/>
  <c r="Z84" i="1"/>
  <c r="Y84" i="1"/>
  <c r="X84" i="1"/>
  <c r="W84" i="1"/>
  <c r="V84" i="1"/>
  <c r="U84" i="1"/>
  <c r="T84" i="1"/>
  <c r="S84" i="1"/>
  <c r="R84" i="1"/>
  <c r="Q84" i="1"/>
  <c r="P84" i="1"/>
  <c r="O84" i="1"/>
  <c r="N84" i="1"/>
  <c r="M84" i="1"/>
  <c r="L84" i="1"/>
  <c r="K84" i="1"/>
  <c r="J84" i="1"/>
  <c r="I84" i="1"/>
  <c r="H84" i="1"/>
  <c r="G84" i="1"/>
  <c r="F84" i="1"/>
  <c r="K93" i="1" s="1"/>
  <c r="E84" i="1"/>
  <c r="D84" i="1"/>
  <c r="C84" i="1"/>
  <c r="Z83" i="1"/>
  <c r="Y83" i="1"/>
  <c r="X83" i="1"/>
  <c r="W83" i="1"/>
  <c r="V83" i="1"/>
  <c r="U83" i="1"/>
  <c r="T83" i="1"/>
  <c r="S83" i="1"/>
  <c r="R83" i="1"/>
  <c r="R87" i="1" s="1"/>
  <c r="Q83" i="1"/>
  <c r="P83" i="1"/>
  <c r="O83" i="1"/>
  <c r="N83" i="1"/>
  <c r="M83" i="1"/>
  <c r="L83" i="1"/>
  <c r="K83" i="1"/>
  <c r="J83" i="1"/>
  <c r="J87" i="1" s="1"/>
  <c r="I83" i="1"/>
  <c r="I87" i="1" s="1"/>
  <c r="H83" i="1"/>
  <c r="H87" i="1" s="1"/>
  <c r="G83" i="1"/>
  <c r="G87" i="1" s="1"/>
  <c r="F83" i="1"/>
  <c r="F87" i="1" s="1"/>
  <c r="E83" i="1"/>
  <c r="E87" i="1" s="1"/>
  <c r="D83" i="1"/>
  <c r="C83" i="1"/>
  <c r="C87" i="1" s="1"/>
  <c r="Z81" i="1"/>
  <c r="Y81" i="1"/>
  <c r="X81" i="1"/>
  <c r="W81" i="1"/>
  <c r="W90" i="1" s="1"/>
  <c r="V81" i="1"/>
  <c r="U81" i="1"/>
  <c r="T81" i="1"/>
  <c r="S81" i="1"/>
  <c r="S90" i="1" s="1"/>
  <c r="R81" i="1"/>
  <c r="Q81" i="1"/>
  <c r="P81" i="1"/>
  <c r="O81" i="1"/>
  <c r="O90" i="1" s="1"/>
  <c r="N81" i="1"/>
  <c r="M81" i="1"/>
  <c r="L81" i="1"/>
  <c r="K81" i="1"/>
  <c r="K90" i="1" s="1"/>
  <c r="J81" i="1"/>
  <c r="I81" i="1"/>
  <c r="H81" i="1"/>
  <c r="G81" i="1"/>
  <c r="F81" i="1"/>
  <c r="E81" i="1"/>
  <c r="D81" i="1"/>
  <c r="C81" i="1"/>
  <c r="Z80" i="1"/>
  <c r="Z82" i="1" s="1"/>
  <c r="Y80" i="1"/>
  <c r="Y82" i="1" s="1"/>
  <c r="X80" i="1"/>
  <c r="X82" i="1" s="1"/>
  <c r="W80" i="1"/>
  <c r="W82" i="1" s="1"/>
  <c r="V80" i="1"/>
  <c r="V82" i="1" s="1"/>
  <c r="U80" i="1"/>
  <c r="T80" i="1"/>
  <c r="T82" i="1" s="1"/>
  <c r="S80" i="1"/>
  <c r="S82" i="1" s="1"/>
  <c r="R80" i="1"/>
  <c r="Q80" i="1"/>
  <c r="P80" i="1"/>
  <c r="P82" i="1" s="1"/>
  <c r="O80" i="1"/>
  <c r="O82" i="1" s="1"/>
  <c r="N80" i="1"/>
  <c r="M80" i="1"/>
  <c r="L80" i="1"/>
  <c r="L82" i="1" s="1"/>
  <c r="K80" i="1"/>
  <c r="K82" i="1" s="1"/>
  <c r="J80" i="1"/>
  <c r="J82" i="1" s="1"/>
  <c r="I80" i="1"/>
  <c r="I82" i="1" s="1"/>
  <c r="H80" i="1"/>
  <c r="H82" i="1" s="1"/>
  <c r="G80" i="1"/>
  <c r="G82" i="1" s="1"/>
  <c r="G28" i="1" s="1"/>
  <c r="G34" i="9" s="1"/>
  <c r="F80" i="1"/>
  <c r="E80" i="1"/>
  <c r="E82" i="1" s="1"/>
  <c r="E91" i="1" s="1"/>
  <c r="D80" i="1"/>
  <c r="D82" i="1" s="1"/>
  <c r="C80" i="1"/>
  <c r="C82" i="1" s="1"/>
  <c r="C28" i="1" s="1"/>
  <c r="C34" i="9" s="1"/>
  <c r="AJ55" i="1"/>
  <c r="AE55" i="1"/>
  <c r="Z55" i="1"/>
  <c r="U55" i="1"/>
  <c r="AM52" i="1"/>
  <c r="AL52" i="1"/>
  <c r="AK52" i="1"/>
  <c r="AI52" i="1"/>
  <c r="AH52" i="1"/>
  <c r="AG52" i="1"/>
  <c r="AF52" i="1"/>
  <c r="AJ51" i="1"/>
  <c r="AJ50" i="1"/>
  <c r="AJ48" i="1"/>
  <c r="AQ41" i="1"/>
  <c r="Z41" i="1"/>
  <c r="Z34" i="1"/>
  <c r="AW33" i="1"/>
  <c r="AW41" i="1" s="1"/>
  <c r="AV33" i="1"/>
  <c r="AV41" i="1" s="1"/>
  <c r="AU33" i="1"/>
  <c r="AU41" i="1" s="1"/>
  <c r="AS33" i="1"/>
  <c r="AS41" i="1" s="1"/>
  <c r="AR33" i="1"/>
  <c r="AR41" i="1" s="1"/>
  <c r="AQ33" i="1"/>
  <c r="AP33" i="1"/>
  <c r="AP41" i="1" s="1"/>
  <c r="AN33" i="1"/>
  <c r="AN41" i="1" s="1"/>
  <c r="AM33" i="1"/>
  <c r="AM41" i="1" s="1"/>
  <c r="AL33" i="1"/>
  <c r="AL41" i="1" s="1"/>
  <c r="AK33" i="1"/>
  <c r="AJ33" i="1"/>
  <c r="AJ41" i="1" s="1"/>
  <c r="AI33" i="1"/>
  <c r="AH33" i="1"/>
  <c r="AH41" i="1" s="1"/>
  <c r="AG33" i="1"/>
  <c r="AG41" i="1" s="1"/>
  <c r="AF33" i="1"/>
  <c r="AE33" i="1"/>
  <c r="AE41" i="1" s="1"/>
  <c r="AD33" i="1"/>
  <c r="AD41" i="1" s="1"/>
  <c r="AC33" i="1"/>
  <c r="AC41" i="1" s="1"/>
  <c r="AB33" i="1"/>
  <c r="AB41" i="1" s="1"/>
  <c r="AA33" i="1"/>
  <c r="AA41" i="1" s="1"/>
  <c r="AM32" i="1"/>
  <c r="AM40" i="1" s="1"/>
  <c r="AM45" i="1" s="1"/>
  <c r="AL32" i="1"/>
  <c r="AK32" i="1"/>
  <c r="AJ32" i="1"/>
  <c r="AI32" i="1"/>
  <c r="AH32" i="1"/>
  <c r="AG32" i="1"/>
  <c r="AF32" i="1"/>
  <c r="AE32" i="1"/>
  <c r="AD32" i="1"/>
  <c r="AC32" i="1"/>
  <c r="AB32" i="1"/>
  <c r="AA32" i="1"/>
  <c r="AM31" i="1"/>
  <c r="AL31" i="1"/>
  <c r="AL36" i="1" s="1"/>
  <c r="AL36" i="9" s="1"/>
  <c r="AK31" i="1"/>
  <c r="AJ31" i="1"/>
  <c r="AI31" i="1"/>
  <c r="AH31" i="1"/>
  <c r="AH36" i="1" s="1"/>
  <c r="AH36" i="9" s="1"/>
  <c r="AG31" i="1"/>
  <c r="AF31" i="1"/>
  <c r="AE31" i="1"/>
  <c r="AD31" i="1"/>
  <c r="AC31" i="1"/>
  <c r="AB31" i="1"/>
  <c r="AA31" i="1"/>
  <c r="AM25" i="1"/>
  <c r="AM37" i="1" s="1"/>
  <c r="AM37" i="9" s="1"/>
  <c r="AL25" i="1"/>
  <c r="AL31" i="9" s="1"/>
  <c r="AK25" i="1"/>
  <c r="AK31" i="9" s="1"/>
  <c r="AJ25" i="1"/>
  <c r="AJ31" i="9" s="1"/>
  <c r="AH25" i="1"/>
  <c r="AH31" i="9" s="1"/>
  <c r="AG25" i="1"/>
  <c r="AG31" i="9" s="1"/>
  <c r="AF25" i="1"/>
  <c r="AF31" i="9" s="1"/>
  <c r="AE25" i="1"/>
  <c r="AC25" i="1"/>
  <c r="AC31" i="9" s="1"/>
  <c r="AB25" i="1"/>
  <c r="AB31" i="9" s="1"/>
  <c r="AA25" i="1"/>
  <c r="AA31" i="9" s="1"/>
  <c r="Z25" i="1"/>
  <c r="Z31" i="9" s="1"/>
  <c r="AR24" i="1"/>
  <c r="AR30" i="9" s="1"/>
  <c r="AQ24" i="1"/>
  <c r="AQ30" i="9" s="1"/>
  <c r="AP24" i="1"/>
  <c r="AP30" i="9" s="1"/>
  <c r="AI24" i="1"/>
  <c r="AD24" i="1"/>
  <c r="AD30" i="9" s="1"/>
  <c r="AR23" i="1"/>
  <c r="AR29" i="9" s="1"/>
  <c r="AQ23" i="1"/>
  <c r="AQ29" i="9" s="1"/>
  <c r="AP23" i="1"/>
  <c r="AP29" i="9" s="1"/>
  <c r="AI23" i="1"/>
  <c r="AD23" i="1"/>
  <c r="AD29" i="9" s="1"/>
  <c r="AM22" i="1"/>
  <c r="AL22" i="1"/>
  <c r="AL28" i="9" s="1"/>
  <c r="AK22" i="1"/>
  <c r="AK28" i="9" s="1"/>
  <c r="AJ22" i="1"/>
  <c r="AJ28" i="9" s="1"/>
  <c r="AH22" i="1"/>
  <c r="AH28" i="9" s="1"/>
  <c r="AG22" i="1"/>
  <c r="AG28" i="9" s="1"/>
  <c r="AF22" i="1"/>
  <c r="AF28" i="9" s="1"/>
  <c r="AE22" i="1"/>
  <c r="AC22" i="1"/>
  <c r="AC28" i="9" s="1"/>
  <c r="AB22" i="1"/>
  <c r="AB28" i="9" s="1"/>
  <c r="AA22" i="1"/>
  <c r="Z22" i="1"/>
  <c r="Z28" i="9" s="1"/>
  <c r="AR21" i="1"/>
  <c r="AR27" i="9" s="1"/>
  <c r="AQ21" i="1"/>
  <c r="AQ27" i="9" s="1"/>
  <c r="AP21" i="1"/>
  <c r="AP27" i="9" s="1"/>
  <c r="AI21" i="1"/>
  <c r="AD21" i="1"/>
  <c r="AD27" i="9" s="1"/>
  <c r="AR20" i="1"/>
  <c r="AR26" i="9" s="1"/>
  <c r="AQ20" i="1"/>
  <c r="AQ26" i="9" s="1"/>
  <c r="AP20" i="1"/>
  <c r="AP26" i="9" s="1"/>
  <c r="AI20" i="1"/>
  <c r="AD20" i="1"/>
  <c r="AD26" i="9" s="1"/>
  <c r="AR19" i="1"/>
  <c r="AR25" i="9" s="1"/>
  <c r="AQ19" i="1"/>
  <c r="AQ25" i="9" s="1"/>
  <c r="AP19" i="1"/>
  <c r="AP25" i="9" s="1"/>
  <c r="AI19" i="1"/>
  <c r="AD19" i="1"/>
  <c r="AD25" i="9" s="1"/>
  <c r="AR18" i="1"/>
  <c r="AQ18" i="1"/>
  <c r="AP18" i="1"/>
  <c r="AI18" i="1"/>
  <c r="AI22" i="1" s="1"/>
  <c r="AD18" i="1"/>
  <c r="AL15" i="1"/>
  <c r="AL22" i="9" s="1"/>
  <c r="AK15" i="1"/>
  <c r="AK22" i="9" s="1"/>
  <c r="AH15" i="1"/>
  <c r="AH22" i="9" s="1"/>
  <c r="AG15" i="1"/>
  <c r="AG22" i="9" s="1"/>
  <c r="AK14" i="1"/>
  <c r="AK21" i="9" s="1"/>
  <c r="AM13" i="1"/>
  <c r="AM20" i="9" s="1"/>
  <c r="AL13" i="1"/>
  <c r="AL20" i="9" s="1"/>
  <c r="AK13" i="1"/>
  <c r="AK20" i="9" s="1"/>
  <c r="AJ13" i="1"/>
  <c r="AJ20" i="9" s="1"/>
  <c r="AH13" i="1"/>
  <c r="AH20" i="9" s="1"/>
  <c r="AG13" i="1"/>
  <c r="AG20" i="9" s="1"/>
  <c r="AF13" i="1"/>
  <c r="AF20" i="9" s="1"/>
  <c r="AE13" i="1"/>
  <c r="AE20" i="9" s="1"/>
  <c r="AM12" i="1"/>
  <c r="AM19" i="9" s="1"/>
  <c r="AL12" i="1"/>
  <c r="AL19" i="9" s="1"/>
  <c r="AK12" i="1"/>
  <c r="AK19" i="9" s="1"/>
  <c r="AJ12" i="1"/>
  <c r="AJ19" i="9" s="1"/>
  <c r="AH12" i="1"/>
  <c r="AH19" i="9" s="1"/>
  <c r="AG12" i="1"/>
  <c r="AG19" i="9" s="1"/>
  <c r="AF12" i="1"/>
  <c r="AF19" i="9" s="1"/>
  <c r="AE12" i="1"/>
  <c r="AE19" i="9" s="1"/>
  <c r="AL11" i="1"/>
  <c r="AL18" i="9" s="1"/>
  <c r="AH11" i="1"/>
  <c r="AH18" i="9" s="1"/>
  <c r="AM10" i="1"/>
  <c r="AM17" i="9" s="1"/>
  <c r="AL10" i="1"/>
  <c r="AL17" i="9" s="1"/>
  <c r="AK10" i="1"/>
  <c r="AK17" i="9" s="1"/>
  <c r="AJ10" i="1"/>
  <c r="AJ17" i="9" s="1"/>
  <c r="AH10" i="1"/>
  <c r="AH17" i="9" s="1"/>
  <c r="AG10" i="1"/>
  <c r="AG17" i="9" s="1"/>
  <c r="AF10" i="1"/>
  <c r="AF17" i="9" s="1"/>
  <c r="AE10" i="1"/>
  <c r="AE17" i="9" s="1"/>
  <c r="AM9" i="1"/>
  <c r="AM16" i="9" s="1"/>
  <c r="AL9" i="1"/>
  <c r="AL16" i="9" s="1"/>
  <c r="AK9" i="1"/>
  <c r="AK16" i="9" s="1"/>
  <c r="AJ9" i="1"/>
  <c r="AJ16" i="9" s="1"/>
  <c r="AH9" i="1"/>
  <c r="AH16" i="9" s="1"/>
  <c r="AG9" i="1"/>
  <c r="AG16" i="9" s="1"/>
  <c r="AF9" i="1"/>
  <c r="AF16" i="9" s="1"/>
  <c r="AE9" i="1"/>
  <c r="AE16" i="9" s="1"/>
  <c r="AM8" i="1"/>
  <c r="AM15" i="9" s="1"/>
  <c r="AL8" i="1"/>
  <c r="AL15" i="9" s="1"/>
  <c r="AK8" i="1"/>
  <c r="AK15" i="9" s="1"/>
  <c r="AJ8" i="1"/>
  <c r="AJ15" i="9" s="1"/>
  <c r="AH8" i="1"/>
  <c r="AH15" i="9" s="1"/>
  <c r="AG8" i="1"/>
  <c r="AG15" i="9" s="1"/>
  <c r="AF8" i="1"/>
  <c r="AF15" i="9" s="1"/>
  <c r="AE8" i="1"/>
  <c r="AE15" i="9" s="1"/>
  <c r="AM7" i="1"/>
  <c r="AM14" i="9" s="1"/>
  <c r="AL7" i="1"/>
  <c r="AL14" i="9" s="1"/>
  <c r="AK7" i="1"/>
  <c r="AK14" i="9" s="1"/>
  <c r="AJ7" i="1"/>
  <c r="AJ14" i="9" s="1"/>
  <c r="AH7" i="1"/>
  <c r="AH14" i="9" s="1"/>
  <c r="AG7" i="1"/>
  <c r="AG14" i="9" s="1"/>
  <c r="AF7" i="1"/>
  <c r="AF14" i="9" s="1"/>
  <c r="AE7" i="1"/>
  <c r="AE14" i="9" s="1"/>
  <c r="D5" i="1"/>
  <c r="D2" i="9" s="1"/>
  <c r="A5" i="1"/>
  <c r="D4" i="1"/>
  <c r="D3" i="1" s="1"/>
  <c r="A4" i="1"/>
  <c r="C2" i="1"/>
  <c r="C3" i="1" s="1"/>
  <c r="C687" i="1" s="1"/>
  <c r="H13" i="7"/>
  <c r="H11" i="7"/>
  <c r="H9" i="7"/>
  <c r="D22" i="10"/>
  <c r="D31" i="10"/>
  <c r="D13" i="10"/>
  <c r="D25" i="10"/>
  <c r="D12" i="10"/>
  <c r="D19" i="10"/>
  <c r="D15" i="10"/>
  <c r="D28" i="10"/>
  <c r="D21" i="10"/>
  <c r="D27" i="10"/>
  <c r="D24" i="10"/>
  <c r="D18" i="10"/>
  <c r="D10" i="10"/>
  <c r="D7" i="10"/>
  <c r="D16" i="10"/>
  <c r="D6" i="10"/>
  <c r="D30" i="10"/>
  <c r="D9" i="10"/>
  <c r="H217" i="1" l="1"/>
  <c r="H640" i="1" s="1"/>
  <c r="H216" i="1"/>
  <c r="H214" i="1"/>
  <c r="X217" i="1"/>
  <c r="X640" i="1" s="1"/>
  <c r="X215" i="1"/>
  <c r="AC15" i="1"/>
  <c r="AC22" i="9" s="1"/>
  <c r="X216" i="1"/>
  <c r="P217" i="1"/>
  <c r="P640" i="1" s="1"/>
  <c r="B121" i="12"/>
  <c r="H26" i="11"/>
  <c r="AH216" i="1"/>
  <c r="H17" i="11"/>
  <c r="I305" i="1"/>
  <c r="U51" i="9"/>
  <c r="C148" i="12"/>
  <c r="AE37" i="1"/>
  <c r="AE37" i="9" s="1"/>
  <c r="AA34" i="1"/>
  <c r="AE34" i="1"/>
  <c r="O94" i="1"/>
  <c r="S94" i="1"/>
  <c r="W94" i="1"/>
  <c r="K95" i="1"/>
  <c r="O95" i="1"/>
  <c r="S95" i="1"/>
  <c r="W95" i="1"/>
  <c r="I296" i="1"/>
  <c r="I315" i="1" s="1"/>
  <c r="AJ217" i="1"/>
  <c r="AJ640" i="1" s="1"/>
  <c r="C125" i="11"/>
  <c r="B36" i="12"/>
  <c r="B43" i="12" s="1"/>
  <c r="F121" i="12"/>
  <c r="L26" i="11"/>
  <c r="AD217" i="1"/>
  <c r="AD640" i="1" s="1"/>
  <c r="N296" i="1"/>
  <c r="N315" i="1" s="1"/>
  <c r="F296" i="1"/>
  <c r="F315" i="1" s="1"/>
  <c r="J296" i="1"/>
  <c r="AI34" i="1"/>
  <c r="D90" i="1"/>
  <c r="L90" i="1"/>
  <c r="P90" i="1"/>
  <c r="T90" i="1"/>
  <c r="N93" i="1"/>
  <c r="V89" i="1"/>
  <c r="D107" i="1"/>
  <c r="H107" i="1"/>
  <c r="L107" i="1"/>
  <c r="P107" i="1"/>
  <c r="T107" i="1"/>
  <c r="X107" i="1"/>
  <c r="D108" i="1"/>
  <c r="H108" i="1"/>
  <c r="L108" i="1"/>
  <c r="P108" i="1"/>
  <c r="T108" i="1"/>
  <c r="X108" i="1"/>
  <c r="AF209" i="1"/>
  <c r="AF211" i="1" s="1"/>
  <c r="P214" i="1"/>
  <c r="AJ216" i="1"/>
  <c r="AE51" i="9"/>
  <c r="E148" i="12"/>
  <c r="F101" i="9"/>
  <c r="J101" i="9"/>
  <c r="AD101" i="9"/>
  <c r="E4" i="1"/>
  <c r="AI8" i="1"/>
  <c r="AI15" i="9" s="1"/>
  <c r="AG14" i="1"/>
  <c r="AG21" i="9" s="1"/>
  <c r="AH37" i="1"/>
  <c r="AH37" i="9" s="1"/>
  <c r="AL37" i="1"/>
  <c r="AL37" i="9" s="1"/>
  <c r="AO33" i="1"/>
  <c r="E89" i="1"/>
  <c r="M89" i="1"/>
  <c r="Q89" i="1"/>
  <c r="U89" i="1"/>
  <c r="Y89" i="1"/>
  <c r="Q82" i="1"/>
  <c r="Q91" i="1" s="1"/>
  <c r="D92" i="1"/>
  <c r="H28" i="1"/>
  <c r="H34" i="9" s="1"/>
  <c r="L92" i="1"/>
  <c r="P92" i="1"/>
  <c r="T92" i="1"/>
  <c r="X92" i="1"/>
  <c r="D93" i="1"/>
  <c r="L93" i="1"/>
  <c r="P93" i="1"/>
  <c r="T93" i="1"/>
  <c r="X93" i="1"/>
  <c r="D94" i="1"/>
  <c r="L94" i="1"/>
  <c r="P94" i="1"/>
  <c r="T94" i="1"/>
  <c r="X94" i="1"/>
  <c r="L95" i="1"/>
  <c r="T95" i="1"/>
  <c r="Y92" i="1"/>
  <c r="F107" i="1"/>
  <c r="J107" i="1"/>
  <c r="N107" i="1"/>
  <c r="R107" i="1"/>
  <c r="V107" i="1"/>
  <c r="Z107" i="1"/>
  <c r="F108" i="1"/>
  <c r="J108" i="1"/>
  <c r="N108" i="1"/>
  <c r="R108" i="1"/>
  <c r="V108" i="1"/>
  <c r="Z108" i="1"/>
  <c r="L217" i="1"/>
  <c r="L640" i="1" s="1"/>
  <c r="L214" i="1"/>
  <c r="L215" i="1"/>
  <c r="AH14" i="1"/>
  <c r="AH21" i="9" s="1"/>
  <c r="AE40" i="1"/>
  <c r="AE45" i="1" s="1"/>
  <c r="AJ52" i="1"/>
  <c r="K89" i="1"/>
  <c r="N82" i="1"/>
  <c r="N91" i="1" s="1"/>
  <c r="N89" i="1"/>
  <c r="W89" i="1"/>
  <c r="F90" i="1"/>
  <c r="N90" i="1"/>
  <c r="R90" i="1"/>
  <c r="V90" i="1"/>
  <c r="Z90" i="1"/>
  <c r="U82" i="1"/>
  <c r="U91" i="1" s="1"/>
  <c r="M92" i="1"/>
  <c r="Q92" i="1"/>
  <c r="U92" i="1"/>
  <c r="E93" i="1"/>
  <c r="M93" i="1"/>
  <c r="Q93" i="1"/>
  <c r="U93" i="1"/>
  <c r="Y93" i="1"/>
  <c r="E94" i="1"/>
  <c r="M94" i="1"/>
  <c r="Q94" i="1"/>
  <c r="U94" i="1"/>
  <c r="Y94" i="1"/>
  <c r="E95" i="1"/>
  <c r="M95" i="1"/>
  <c r="Q95" i="1"/>
  <c r="U95" i="1"/>
  <c r="Y95" i="1"/>
  <c r="F89" i="1"/>
  <c r="V93" i="1"/>
  <c r="J158" i="1"/>
  <c r="AM34" i="1"/>
  <c r="AI41" i="1"/>
  <c r="X90" i="1"/>
  <c r="E5" i="1"/>
  <c r="E2" i="9" s="1"/>
  <c r="AI12" i="1"/>
  <c r="AI19" i="9" s="1"/>
  <c r="AL14" i="1"/>
  <c r="AL21" i="9" s="1"/>
  <c r="AF34" i="1"/>
  <c r="D91" i="1"/>
  <c r="L91" i="1"/>
  <c r="T91" i="1"/>
  <c r="X91" i="1"/>
  <c r="K92" i="1"/>
  <c r="O92" i="1"/>
  <c r="S92" i="1"/>
  <c r="W92" i="1"/>
  <c r="Z89" i="1"/>
  <c r="E92" i="1"/>
  <c r="P95" i="1"/>
  <c r="C110" i="1"/>
  <c r="G110" i="1"/>
  <c r="K110" i="1"/>
  <c r="O110" i="1"/>
  <c r="S110" i="1"/>
  <c r="W110" i="1"/>
  <c r="C111" i="1"/>
  <c r="G111" i="1"/>
  <c r="K111" i="1"/>
  <c r="O111" i="1"/>
  <c r="S111" i="1"/>
  <c r="W111" i="1"/>
  <c r="C112" i="1"/>
  <c r="G112" i="1"/>
  <c r="K112" i="1"/>
  <c r="O112" i="1"/>
  <c r="S112" i="1"/>
  <c r="W112" i="1"/>
  <c r="C113" i="1"/>
  <c r="G113" i="1"/>
  <c r="K113" i="1"/>
  <c r="O113" i="1"/>
  <c r="S113" i="1"/>
  <c r="W113" i="1"/>
  <c r="J134" i="1"/>
  <c r="O158" i="1"/>
  <c r="O162" i="1" s="1"/>
  <c r="O160" i="1"/>
  <c r="O93" i="1"/>
  <c r="S93" i="1"/>
  <c r="W93" i="1"/>
  <c r="D110" i="1"/>
  <c r="H110" i="1"/>
  <c r="L110" i="1"/>
  <c r="P110" i="1"/>
  <c r="T110" i="1"/>
  <c r="X110" i="1"/>
  <c r="D111" i="1"/>
  <c r="H111" i="1"/>
  <c r="L111" i="1"/>
  <c r="P111" i="1"/>
  <c r="T111" i="1"/>
  <c r="X111" i="1"/>
  <c r="D112" i="1"/>
  <c r="H112" i="1"/>
  <c r="L112" i="1"/>
  <c r="P112" i="1"/>
  <c r="T112" i="1"/>
  <c r="X112" i="1"/>
  <c r="D113" i="1"/>
  <c r="H113" i="1"/>
  <c r="L113" i="1"/>
  <c r="P113" i="1"/>
  <c r="T113" i="1"/>
  <c r="X113" i="1"/>
  <c r="O132" i="1"/>
  <c r="O134" i="1"/>
  <c r="O131" i="1"/>
  <c r="E136" i="1"/>
  <c r="I136" i="1"/>
  <c r="N136" i="1"/>
  <c r="E162" i="1"/>
  <c r="I162" i="1"/>
  <c r="O184" i="1"/>
  <c r="O191" i="1" s="1"/>
  <c r="T173" i="1"/>
  <c r="N187" i="1"/>
  <c r="N190" i="1"/>
  <c r="S189" i="1"/>
  <c r="T202" i="1"/>
  <c r="J204" i="1"/>
  <c r="O205" i="1"/>
  <c r="AB214" i="1"/>
  <c r="AH214" i="1"/>
  <c r="AF215" i="1"/>
  <c r="AL215" i="1"/>
  <c r="AB216" i="1"/>
  <c r="F305" i="1"/>
  <c r="N305" i="1"/>
  <c r="N41" i="9" s="1"/>
  <c r="AP270" i="1"/>
  <c r="AP275" i="1"/>
  <c r="AT275" i="1" s="1"/>
  <c r="AU275" i="1"/>
  <c r="Y309" i="1"/>
  <c r="Y42" i="9" s="1"/>
  <c r="M316" i="1"/>
  <c r="M47" i="9" s="1"/>
  <c r="M296" i="1"/>
  <c r="M315" i="1" s="1"/>
  <c r="M305" i="1" s="1"/>
  <c r="AO297" i="1"/>
  <c r="AS487" i="1"/>
  <c r="AS270" i="1"/>
  <c r="Y315" i="1"/>
  <c r="X43" i="9"/>
  <c r="X214" i="1"/>
  <c r="AE309" i="1"/>
  <c r="AE42" i="9" s="1"/>
  <c r="S46" i="9"/>
  <c r="S309" i="1"/>
  <c r="S42" i="9" s="1"/>
  <c r="AV613" i="1"/>
  <c r="AU381" i="1"/>
  <c r="AU9" i="9" s="1"/>
  <c r="F190" i="1"/>
  <c r="AD43" i="9"/>
  <c r="AD215" i="1"/>
  <c r="AD42" i="9"/>
  <c r="AD216" i="1"/>
  <c r="J315" i="1"/>
  <c r="J305" i="1" s="1"/>
  <c r="J41" i="9" s="1"/>
  <c r="P43" i="9"/>
  <c r="P66" i="9" s="1"/>
  <c r="P215" i="1"/>
  <c r="AJ43" i="9"/>
  <c r="AJ215" i="1"/>
  <c r="L42" i="9"/>
  <c r="L216" i="1"/>
  <c r="AK46" i="9"/>
  <c r="AO319" i="1"/>
  <c r="C107" i="1"/>
  <c r="G107" i="1"/>
  <c r="K107" i="1"/>
  <c r="O107" i="1"/>
  <c r="S107" i="1"/>
  <c r="W107" i="1"/>
  <c r="C108" i="1"/>
  <c r="G108" i="1"/>
  <c r="K108" i="1"/>
  <c r="O108" i="1"/>
  <c r="S108" i="1"/>
  <c r="W108" i="1"/>
  <c r="F110" i="1"/>
  <c r="J110" i="1"/>
  <c r="N110" i="1"/>
  <c r="R110" i="1"/>
  <c r="V110" i="1"/>
  <c r="Z110" i="1"/>
  <c r="F111" i="1"/>
  <c r="J111" i="1"/>
  <c r="N111" i="1"/>
  <c r="R111" i="1"/>
  <c r="V111" i="1"/>
  <c r="Z111" i="1"/>
  <c r="F112" i="1"/>
  <c r="J112" i="1"/>
  <c r="N112" i="1"/>
  <c r="R112" i="1"/>
  <c r="V112" i="1"/>
  <c r="Z112" i="1"/>
  <c r="F113" i="1"/>
  <c r="J113" i="1"/>
  <c r="N113" i="1"/>
  <c r="R113" i="1"/>
  <c r="V113" i="1"/>
  <c r="Z113" i="1"/>
  <c r="O133" i="1"/>
  <c r="O135" i="1"/>
  <c r="C136" i="1"/>
  <c r="G136" i="1"/>
  <c r="L136" i="1"/>
  <c r="J159" i="1"/>
  <c r="J161" i="1"/>
  <c r="C162" i="1"/>
  <c r="G162" i="1"/>
  <c r="P162" i="1"/>
  <c r="T171" i="1"/>
  <c r="J202" i="1"/>
  <c r="O203" i="1"/>
  <c r="T204" i="1"/>
  <c r="AF208" i="1"/>
  <c r="AF210" i="1" s="1"/>
  <c r="AB209" i="1"/>
  <c r="AB211" i="1" s="1"/>
  <c r="AD214" i="1"/>
  <c r="AL214" i="1"/>
  <c r="AB215" i="1"/>
  <c r="AH215" i="1"/>
  <c r="AB208" i="1"/>
  <c r="AB210" i="1" s="1"/>
  <c r="AJ208" i="1"/>
  <c r="AJ210" i="1" s="1"/>
  <c r="AH250" i="1"/>
  <c r="AH257" i="1" s="1"/>
  <c r="AH261" i="1" s="1"/>
  <c r="O315" i="1"/>
  <c r="O305" i="1" s="1"/>
  <c r="AI315" i="1"/>
  <c r="AI305" i="1" s="1"/>
  <c r="AF43" i="9"/>
  <c r="AF214" i="1"/>
  <c r="AK43" i="9"/>
  <c r="AK214" i="1"/>
  <c r="AA309" i="1"/>
  <c r="AA42" i="9" s="1"/>
  <c r="Q46" i="9"/>
  <c r="D162" i="1"/>
  <c r="H162" i="1"/>
  <c r="C187" i="1"/>
  <c r="G187" i="1"/>
  <c r="D187" i="1"/>
  <c r="H187" i="1"/>
  <c r="R187" i="1"/>
  <c r="C189" i="1"/>
  <c r="H215" i="1"/>
  <c r="Y305" i="1"/>
  <c r="Y550" i="1" s="1"/>
  <c r="AI316" i="1"/>
  <c r="AI47" i="9" s="1"/>
  <c r="AI297" i="1"/>
  <c r="AL42" i="9"/>
  <c r="AL216" i="1"/>
  <c r="AM46" i="9"/>
  <c r="AM309" i="1"/>
  <c r="AM42" i="9" s="1"/>
  <c r="W477" i="1"/>
  <c r="Z101" i="9"/>
  <c r="E48" i="9"/>
  <c r="I48" i="9"/>
  <c r="M48" i="9"/>
  <c r="Q48" i="9"/>
  <c r="U48" i="9"/>
  <c r="Y48" i="9"/>
  <c r="AC48" i="9"/>
  <c r="AG48" i="9"/>
  <c r="AK48" i="9"/>
  <c r="D387" i="1"/>
  <c r="Z387" i="1"/>
  <c r="AO326" i="1"/>
  <c r="AO49" i="9" s="1"/>
  <c r="S477" i="1"/>
  <c r="X477" i="1"/>
  <c r="AM477" i="1"/>
  <c r="AQ477" i="1"/>
  <c r="AU477" i="1"/>
  <c r="E78" i="9"/>
  <c r="I78" i="9"/>
  <c r="N78" i="9"/>
  <c r="S78" i="9"/>
  <c r="X78" i="9"/>
  <c r="AC78" i="9"/>
  <c r="AH78" i="9"/>
  <c r="AM78" i="9"/>
  <c r="C81" i="9"/>
  <c r="G81" i="9"/>
  <c r="L81" i="9"/>
  <c r="Q81" i="9"/>
  <c r="V81" i="9"/>
  <c r="AA81" i="9"/>
  <c r="AF81" i="9"/>
  <c r="AK81" i="9"/>
  <c r="C538" i="1"/>
  <c r="G538" i="1"/>
  <c r="L538" i="1"/>
  <c r="Q538" i="1"/>
  <c r="V538" i="1"/>
  <c r="AA538" i="1"/>
  <c r="AF538" i="1"/>
  <c r="AK538" i="1"/>
  <c r="AO535" i="1"/>
  <c r="AO536" i="1"/>
  <c r="AT536" i="1"/>
  <c r="AT368" i="1" s="1"/>
  <c r="AT79" i="9" s="1"/>
  <c r="D596" i="1"/>
  <c r="H596" i="1"/>
  <c r="M596" i="1"/>
  <c r="R596" i="1"/>
  <c r="W596" i="1"/>
  <c r="AB596" i="1"/>
  <c r="AG596" i="1"/>
  <c r="AL596" i="1"/>
  <c r="T595" i="1"/>
  <c r="T596" i="1" s="1"/>
  <c r="Y591" i="1"/>
  <c r="O606" i="1"/>
  <c r="AI606" i="1"/>
  <c r="J615" i="1"/>
  <c r="AD615" i="1"/>
  <c r="AC616" i="1"/>
  <c r="D101" i="9"/>
  <c r="K477" i="1"/>
  <c r="P477" i="1"/>
  <c r="AE477" i="1"/>
  <c r="AE480" i="1" s="1"/>
  <c r="AJ477" i="1"/>
  <c r="AJ480" i="1" s="1"/>
  <c r="AK479" i="1" s="1"/>
  <c r="AL479" i="1" s="1"/>
  <c r="AM479" i="1" s="1"/>
  <c r="AN477" i="1"/>
  <c r="AR477" i="1"/>
  <c r="AV477" i="1"/>
  <c r="AO507" i="1"/>
  <c r="AO512" i="1"/>
  <c r="D81" i="9"/>
  <c r="H81" i="9"/>
  <c r="M81" i="9"/>
  <c r="R81" i="9"/>
  <c r="W81" i="9"/>
  <c r="AB81" i="9"/>
  <c r="AG81" i="9"/>
  <c r="AL81" i="9"/>
  <c r="AO521" i="1"/>
  <c r="AR527" i="1"/>
  <c r="AW527" i="1"/>
  <c r="AO525" i="1"/>
  <c r="AO362" i="1" s="1"/>
  <c r="AT525" i="1"/>
  <c r="AT362" i="1" s="1"/>
  <c r="AO526" i="1"/>
  <c r="D538" i="1"/>
  <c r="H538" i="1"/>
  <c r="M538" i="1"/>
  <c r="R538" i="1"/>
  <c r="W538" i="1"/>
  <c r="AB538" i="1"/>
  <c r="AG538" i="1"/>
  <c r="AL538" i="1"/>
  <c r="AO532" i="1"/>
  <c r="AO368" i="1" s="1"/>
  <c r="AO79" i="9" s="1"/>
  <c r="AD559" i="1"/>
  <c r="J583" i="1"/>
  <c r="AD583" i="1"/>
  <c r="T606" i="1"/>
  <c r="O615" i="1"/>
  <c r="AI615" i="1"/>
  <c r="T623" i="1"/>
  <c r="K187" i="1"/>
  <c r="L187" i="1"/>
  <c r="K189" i="1"/>
  <c r="O202" i="1"/>
  <c r="T203" i="1"/>
  <c r="J205" i="1"/>
  <c r="D305" i="1"/>
  <c r="X305" i="1"/>
  <c r="AD305" i="1"/>
  <c r="AH550" i="1" s="1"/>
  <c r="AH305" i="1"/>
  <c r="AL305" i="1"/>
  <c r="O309" i="1"/>
  <c r="O42" i="9" s="1"/>
  <c r="AI309" i="1"/>
  <c r="AI42" i="9" s="1"/>
  <c r="T315" i="1"/>
  <c r="T305" i="1" s="1"/>
  <c r="C48" i="9"/>
  <c r="G48" i="9"/>
  <c r="K48" i="9"/>
  <c r="S48" i="9"/>
  <c r="W48" i="9"/>
  <c r="AA48" i="9"/>
  <c r="AE48" i="9"/>
  <c r="AI48" i="9"/>
  <c r="AM48" i="9"/>
  <c r="F387" i="1"/>
  <c r="AJ387" i="1"/>
  <c r="K367" i="1"/>
  <c r="K80" i="9" s="1"/>
  <c r="O367" i="1"/>
  <c r="O80" i="9" s="1"/>
  <c r="AE367" i="1"/>
  <c r="AE80" i="9" s="1"/>
  <c r="AI367" i="1"/>
  <c r="AI80" i="9" s="1"/>
  <c r="F382" i="1"/>
  <c r="J382" i="1"/>
  <c r="N382" i="1"/>
  <c r="R382" i="1"/>
  <c r="V382" i="1"/>
  <c r="Z382" i="1"/>
  <c r="AD382" i="1"/>
  <c r="AH382" i="1"/>
  <c r="AL382" i="1"/>
  <c r="O78" i="9"/>
  <c r="AI78" i="9"/>
  <c r="J81" i="9"/>
  <c r="AD81" i="9"/>
  <c r="J538" i="1"/>
  <c r="AD538" i="1"/>
  <c r="C477" i="1"/>
  <c r="C480" i="1" s="1"/>
  <c r="D479" i="1" s="1"/>
  <c r="D480" i="1" s="1"/>
  <c r="E479" i="1" s="1"/>
  <c r="G477" i="1"/>
  <c r="L477" i="1"/>
  <c r="AA477" i="1"/>
  <c r="AA480" i="1" s="1"/>
  <c r="AF477" i="1"/>
  <c r="AF480" i="1" s="1"/>
  <c r="AO491" i="1"/>
  <c r="AO497" i="1"/>
  <c r="C78" i="9"/>
  <c r="G78" i="9"/>
  <c r="L78" i="9"/>
  <c r="Q78" i="9"/>
  <c r="V78" i="9"/>
  <c r="AA78" i="9"/>
  <c r="AF78" i="9"/>
  <c r="AK78" i="9"/>
  <c r="AO503" i="1"/>
  <c r="AO509" i="1"/>
  <c r="AO513" i="1"/>
  <c r="E81" i="9"/>
  <c r="I81" i="9"/>
  <c r="N81" i="9"/>
  <c r="S81" i="9"/>
  <c r="X81" i="9"/>
  <c r="AC81" i="9"/>
  <c r="AH81" i="9"/>
  <c r="AM81" i="9"/>
  <c r="AO522" i="1"/>
  <c r="E538" i="1"/>
  <c r="I538" i="1"/>
  <c r="N538" i="1"/>
  <c r="S538" i="1"/>
  <c r="X538" i="1"/>
  <c r="AC538" i="1"/>
  <c r="AH538" i="1"/>
  <c r="AM538" i="1"/>
  <c r="AO540" i="1"/>
  <c r="D556" i="1"/>
  <c r="L556" i="1"/>
  <c r="P556" i="1"/>
  <c r="T556" i="1"/>
  <c r="X556" i="1"/>
  <c r="AB556" i="1"/>
  <c r="AF556" i="1"/>
  <c r="AJ556" i="1"/>
  <c r="K559" i="1"/>
  <c r="S559" i="1"/>
  <c r="W559" i="1"/>
  <c r="AA559" i="1"/>
  <c r="AE559" i="1"/>
  <c r="AM559" i="1"/>
  <c r="F562" i="1"/>
  <c r="N562" i="1"/>
  <c r="R562" i="1"/>
  <c r="V562" i="1"/>
  <c r="Z562" i="1"/>
  <c r="AD562" i="1"/>
  <c r="AH562" i="1"/>
  <c r="AL562" i="1"/>
  <c r="O583" i="1"/>
  <c r="O596" i="1" s="1"/>
  <c r="AI583" i="1"/>
  <c r="AI596" i="1" s="1"/>
  <c r="J595" i="1"/>
  <c r="AD595" i="1"/>
  <c r="Y606" i="1"/>
  <c r="Y114" i="9" s="1"/>
  <c r="C705" i="1"/>
  <c r="C703" i="1" s="1"/>
  <c r="C409" i="1" s="1"/>
  <c r="C411" i="1" s="1"/>
  <c r="C707" i="1"/>
  <c r="C700" i="1"/>
  <c r="C698" i="1"/>
  <c r="C696" i="1" s="1"/>
  <c r="C408" i="1" s="1"/>
  <c r="C691" i="1"/>
  <c r="C689" i="1" s="1"/>
  <c r="C407" i="1" s="1"/>
  <c r="C693" i="1"/>
  <c r="E1" i="9"/>
  <c r="F4" i="1"/>
  <c r="AE28" i="9"/>
  <c r="AE11" i="1"/>
  <c r="AE18" i="9" s="1"/>
  <c r="AI28" i="9"/>
  <c r="AM28" i="9"/>
  <c r="AM11" i="1"/>
  <c r="AM18" i="9" s="1"/>
  <c r="AI29" i="9"/>
  <c r="AN23" i="1"/>
  <c r="AQ25" i="1"/>
  <c r="AE36" i="1"/>
  <c r="AE36" i="9" s="1"/>
  <c r="AE39" i="1"/>
  <c r="J28" i="1"/>
  <c r="J34" i="9" s="1"/>
  <c r="Q109" i="1"/>
  <c r="F302" i="1"/>
  <c r="F26" i="11" s="1"/>
  <c r="F250" i="1"/>
  <c r="F257" i="1" s="1"/>
  <c r="F261" i="1" s="1"/>
  <c r="J302" i="1"/>
  <c r="J250" i="1"/>
  <c r="J257" i="1" s="1"/>
  <c r="J261" i="1" s="1"/>
  <c r="N302" i="1"/>
  <c r="N250" i="1"/>
  <c r="N257" i="1" s="1"/>
  <c r="N261" i="1" s="1"/>
  <c r="R302" i="1"/>
  <c r="R250" i="1"/>
  <c r="R257" i="1" s="1"/>
  <c r="R261" i="1" s="1"/>
  <c r="V302" i="1"/>
  <c r="V250" i="1"/>
  <c r="V257" i="1" s="1"/>
  <c r="V261" i="1" s="1"/>
  <c r="Z302" i="1"/>
  <c r="Z250" i="1"/>
  <c r="Z257" i="1" s="1"/>
  <c r="Z261" i="1" s="1"/>
  <c r="AI24" i="9"/>
  <c r="AN18" i="1"/>
  <c r="AI7" i="1"/>
  <c r="AI14" i="9" s="1"/>
  <c r="AI26" i="9"/>
  <c r="AI9" i="1"/>
  <c r="AI16" i="9" s="1"/>
  <c r="AN20" i="1"/>
  <c r="AA28" i="9"/>
  <c r="AQ22" i="1"/>
  <c r="AM26" i="1"/>
  <c r="AM32" i="9" s="1"/>
  <c r="AT41" i="1"/>
  <c r="AI36" i="1"/>
  <c r="AI36" i="9" s="1"/>
  <c r="AI39" i="1"/>
  <c r="AA40" i="1"/>
  <c r="AA45" i="1" s="1"/>
  <c r="O91" i="1"/>
  <c r="S91" i="1"/>
  <c r="M87" i="1"/>
  <c r="M96" i="1" s="1"/>
  <c r="P91" i="1"/>
  <c r="F93" i="1"/>
  <c r="Z93" i="1"/>
  <c r="E109" i="1"/>
  <c r="U109" i="1"/>
  <c r="E110" i="1"/>
  <c r="E105" i="1"/>
  <c r="E114" i="1" s="1"/>
  <c r="I110" i="1"/>
  <c r="I105" i="1"/>
  <c r="I114" i="1" s="1"/>
  <c r="M110" i="1"/>
  <c r="M105" i="1"/>
  <c r="Q110" i="1"/>
  <c r="Q105" i="1"/>
  <c r="U110" i="1"/>
  <c r="U105" i="1"/>
  <c r="Y110" i="1"/>
  <c r="Y105" i="1"/>
  <c r="Y114" i="1" s="1"/>
  <c r="E111" i="1"/>
  <c r="I111" i="1"/>
  <c r="M111" i="1"/>
  <c r="Q111" i="1"/>
  <c r="U111" i="1"/>
  <c r="Y111" i="1"/>
  <c r="E112" i="1"/>
  <c r="I112" i="1"/>
  <c r="M112" i="1"/>
  <c r="Q112" i="1"/>
  <c r="U112" i="1"/>
  <c r="Y112" i="1"/>
  <c r="E113" i="1"/>
  <c r="I113" i="1"/>
  <c r="M113" i="1"/>
  <c r="Q113" i="1"/>
  <c r="U113" i="1"/>
  <c r="Y113" i="1"/>
  <c r="C302" i="1"/>
  <c r="C26" i="11" s="1"/>
  <c r="C250" i="1"/>
  <c r="C257" i="1" s="1"/>
  <c r="C261" i="1" s="1"/>
  <c r="G302" i="1"/>
  <c r="G209" i="1" s="1"/>
  <c r="G250" i="1"/>
  <c r="G257" i="1" s="1"/>
  <c r="G261" i="1" s="1"/>
  <c r="K302" i="1"/>
  <c r="G26" i="11" s="1"/>
  <c r="K250" i="1"/>
  <c r="K257" i="1" s="1"/>
  <c r="K261" i="1" s="1"/>
  <c r="O302" i="1"/>
  <c r="O250" i="1"/>
  <c r="O257" i="1" s="1"/>
  <c r="O261" i="1" s="1"/>
  <c r="S302" i="1"/>
  <c r="S250" i="1"/>
  <c r="S257" i="1" s="1"/>
  <c r="S261" i="1" s="1"/>
  <c r="W302" i="1"/>
  <c r="W250" i="1"/>
  <c r="W257" i="1" s="1"/>
  <c r="W261" i="1" s="1"/>
  <c r="AH268" i="1"/>
  <c r="AH280" i="1" s="1"/>
  <c r="AH263" i="1"/>
  <c r="F5" i="1"/>
  <c r="AI30" i="9"/>
  <c r="AI13" i="1"/>
  <c r="AI20" i="9" s="1"/>
  <c r="AN24" i="1"/>
  <c r="AA26" i="1"/>
  <c r="AA32" i="9" s="1"/>
  <c r="AC36" i="1"/>
  <c r="AC36" i="9" s="1"/>
  <c r="AC34" i="1"/>
  <c r="AG36" i="1"/>
  <c r="AG36" i="9" s="1"/>
  <c r="AG34" i="1"/>
  <c r="AK34" i="1"/>
  <c r="AK36" i="1"/>
  <c r="AK36" i="9" s="1"/>
  <c r="AM36" i="1"/>
  <c r="AM36" i="9" s="1"/>
  <c r="AM39" i="1"/>
  <c r="Y91" i="1"/>
  <c r="F96" i="1"/>
  <c r="N92" i="1"/>
  <c r="V92" i="1"/>
  <c r="Z92" i="1"/>
  <c r="F94" i="1"/>
  <c r="N94" i="1"/>
  <c r="R94" i="1"/>
  <c r="V94" i="1"/>
  <c r="Z94" i="1"/>
  <c r="F95" i="1"/>
  <c r="N95" i="1"/>
  <c r="R95" i="1"/>
  <c r="V95" i="1"/>
  <c r="Z95" i="1"/>
  <c r="Q87" i="1"/>
  <c r="I109" i="1"/>
  <c r="Y109" i="1"/>
  <c r="D302" i="1"/>
  <c r="D26" i="11" s="1"/>
  <c r="D250" i="1"/>
  <c r="D257" i="1" s="1"/>
  <c r="D261" i="1" s="1"/>
  <c r="T302" i="1"/>
  <c r="T250" i="1"/>
  <c r="T257" i="1" s="1"/>
  <c r="T261" i="1" s="1"/>
  <c r="G41" i="9"/>
  <c r="G208" i="1"/>
  <c r="G210" i="1" s="1"/>
  <c r="K41" i="9"/>
  <c r="K550" i="1"/>
  <c r="S41" i="9"/>
  <c r="W41" i="9"/>
  <c r="W208" i="1"/>
  <c r="W210" i="1" s="1"/>
  <c r="W209" i="1"/>
  <c r="E3" i="1"/>
  <c r="E687" i="1" s="1"/>
  <c r="D1" i="9"/>
  <c r="D687" i="1"/>
  <c r="AQ24" i="9"/>
  <c r="AI25" i="9"/>
  <c r="AN19" i="1"/>
  <c r="AI27" i="9"/>
  <c r="AI10" i="1"/>
  <c r="AI17" i="9" s="1"/>
  <c r="AN21" i="1"/>
  <c r="AE31" i="9"/>
  <c r="AE14" i="1"/>
  <c r="AE21" i="9" s="1"/>
  <c r="AI25" i="1"/>
  <c r="AI26" i="1" s="1"/>
  <c r="AM31" i="9"/>
  <c r="AM14" i="1"/>
  <c r="AM21" i="9" s="1"/>
  <c r="AE26" i="1"/>
  <c r="AE32" i="9" s="1"/>
  <c r="AA36" i="1"/>
  <c r="AA36" i="9" s="1"/>
  <c r="AA37" i="1"/>
  <c r="AA37" i="9" s="1"/>
  <c r="AA39" i="1"/>
  <c r="E90" i="1"/>
  <c r="E28" i="1"/>
  <c r="E34" i="9" s="1"/>
  <c r="I28" i="1"/>
  <c r="I34" i="9" s="1"/>
  <c r="M90" i="1"/>
  <c r="Q90" i="1"/>
  <c r="Q28" i="1"/>
  <c r="Q34" i="9" s="1"/>
  <c r="U90" i="1"/>
  <c r="Y90" i="1"/>
  <c r="Y28" i="1"/>
  <c r="Y34" i="9" s="1"/>
  <c r="M82" i="1"/>
  <c r="M91" i="1" s="1"/>
  <c r="U87" i="1"/>
  <c r="R89" i="1"/>
  <c r="R93" i="1"/>
  <c r="E107" i="1"/>
  <c r="I107" i="1"/>
  <c r="M107" i="1"/>
  <c r="Q107" i="1"/>
  <c r="U107" i="1"/>
  <c r="Y107" i="1"/>
  <c r="E108" i="1"/>
  <c r="I108" i="1"/>
  <c r="M108" i="1"/>
  <c r="Q108" i="1"/>
  <c r="U108" i="1"/>
  <c r="Y108" i="1"/>
  <c r="M100" i="1"/>
  <c r="M109" i="1" s="1"/>
  <c r="O189" i="1"/>
  <c r="O142" i="1"/>
  <c r="T168" i="1"/>
  <c r="O180" i="1"/>
  <c r="J182" i="1"/>
  <c r="O185" i="1"/>
  <c r="O192" i="1" s="1"/>
  <c r="E187" i="1"/>
  <c r="I187" i="1"/>
  <c r="M187" i="1"/>
  <c r="Q187" i="1"/>
  <c r="T198" i="1"/>
  <c r="T200" i="1" s="1"/>
  <c r="AD40" i="9"/>
  <c r="AD65" i="9" s="1"/>
  <c r="AH549" i="1"/>
  <c r="AD306" i="1"/>
  <c r="AD310" i="1" s="1"/>
  <c r="AH40" i="9"/>
  <c r="AH634" i="1"/>
  <c r="AH306" i="1"/>
  <c r="AH310" i="1" s="1"/>
  <c r="AL40" i="9"/>
  <c r="AL634" i="1"/>
  <c r="AL306" i="1"/>
  <c r="AL310" i="1" s="1"/>
  <c r="AC305" i="1"/>
  <c r="AC250" i="1"/>
  <c r="AC257" i="1" s="1"/>
  <c r="AC261" i="1" s="1"/>
  <c r="AG305" i="1"/>
  <c r="AG306" i="1" s="1"/>
  <c r="AG250" i="1"/>
  <c r="AG257" i="1" s="1"/>
  <c r="AG261" i="1" s="1"/>
  <c r="AK305" i="1"/>
  <c r="AK250" i="1"/>
  <c r="AK257" i="1" s="1"/>
  <c r="AK261" i="1" s="1"/>
  <c r="AD250" i="1"/>
  <c r="AD257" i="1" s="1"/>
  <c r="AD261" i="1" s="1"/>
  <c r="AL250" i="1"/>
  <c r="AL257" i="1" s="1"/>
  <c r="AL261" i="1" s="1"/>
  <c r="AN45" i="9"/>
  <c r="AN493" i="1"/>
  <c r="AN620" i="1" s="1"/>
  <c r="AO620" i="1" s="1"/>
  <c r="AS45" i="9"/>
  <c r="AS493" i="1"/>
  <c r="D385" i="1"/>
  <c r="D388" i="1"/>
  <c r="D389" i="1" s="1"/>
  <c r="H388" i="1"/>
  <c r="H389" i="1" s="1"/>
  <c r="L388" i="1"/>
  <c r="L389" i="1" s="1"/>
  <c r="P388" i="1"/>
  <c r="P389" i="1" s="1"/>
  <c r="P385" i="1"/>
  <c r="T388" i="1"/>
  <c r="X388" i="1"/>
  <c r="AB388" i="1"/>
  <c r="AF388" i="1"/>
  <c r="AJ388" i="1"/>
  <c r="AJ389" i="1" s="1"/>
  <c r="AJ385" i="1"/>
  <c r="C393" i="1"/>
  <c r="C392" i="1"/>
  <c r="K393" i="1"/>
  <c r="K392" i="1"/>
  <c r="AR24" i="9"/>
  <c r="AB26" i="1"/>
  <c r="AB34" i="1"/>
  <c r="AJ36" i="1"/>
  <c r="AJ36" i="9" s="1"/>
  <c r="AF37" i="1"/>
  <c r="AF37" i="9" s="1"/>
  <c r="AF39" i="1"/>
  <c r="AB40" i="1"/>
  <c r="AB45" i="1" s="1"/>
  <c r="AF41" i="1"/>
  <c r="F82" i="1"/>
  <c r="F91" i="1" s="1"/>
  <c r="R82" i="1"/>
  <c r="V87" i="1"/>
  <c r="V28" i="1" s="1"/>
  <c r="V34" i="9" s="1"/>
  <c r="S89" i="1"/>
  <c r="F92" i="1"/>
  <c r="R92" i="1"/>
  <c r="F100" i="1"/>
  <c r="J100" i="1"/>
  <c r="J109" i="1" s="1"/>
  <c r="N100" i="1"/>
  <c r="N109" i="1" s="1"/>
  <c r="R100" i="1"/>
  <c r="R109" i="1" s="1"/>
  <c r="V100" i="1"/>
  <c r="V109" i="1" s="1"/>
  <c r="Z100" i="1"/>
  <c r="Z109" i="1" s="1"/>
  <c r="F105" i="1"/>
  <c r="F114" i="1" s="1"/>
  <c r="J105" i="1"/>
  <c r="J114" i="1" s="1"/>
  <c r="N105" i="1"/>
  <c r="R105" i="1"/>
  <c r="R114" i="1" s="1"/>
  <c r="V105" i="1"/>
  <c r="Z105" i="1"/>
  <c r="J132" i="1"/>
  <c r="J136" i="1" s="1"/>
  <c r="O172" i="1"/>
  <c r="D190" i="1"/>
  <c r="H190" i="1"/>
  <c r="L190" i="1"/>
  <c r="P190" i="1"/>
  <c r="E250" i="1"/>
  <c r="E257" i="1" s="1"/>
  <c r="E261" i="1" s="1"/>
  <c r="E302" i="1"/>
  <c r="E26" i="11" s="1"/>
  <c r="I250" i="1"/>
  <c r="I257" i="1" s="1"/>
  <c r="I261" i="1" s="1"/>
  <c r="I302" i="1"/>
  <c r="L549" i="1" s="1"/>
  <c r="M250" i="1"/>
  <c r="M257" i="1" s="1"/>
  <c r="M261" i="1" s="1"/>
  <c r="M302" i="1"/>
  <c r="Q250" i="1"/>
  <c r="Q257" i="1" s="1"/>
  <c r="Q261" i="1" s="1"/>
  <c r="Q302" i="1"/>
  <c r="U250" i="1"/>
  <c r="U257" i="1" s="1"/>
  <c r="U261" i="1" s="1"/>
  <c r="U302" i="1"/>
  <c r="Y250" i="1"/>
  <c r="Y257" i="1" s="1"/>
  <c r="Y261" i="1" s="1"/>
  <c r="Y302" i="1"/>
  <c r="P40" i="9"/>
  <c r="P65" i="9" s="1"/>
  <c r="P549" i="1"/>
  <c r="P569" i="1" s="1"/>
  <c r="AA302" i="1"/>
  <c r="AA250" i="1"/>
  <c r="AA257" i="1" s="1"/>
  <c r="AA261" i="1" s="1"/>
  <c r="AE302" i="1"/>
  <c r="AE250" i="1"/>
  <c r="AE257" i="1" s="1"/>
  <c r="AE261" i="1" s="1"/>
  <c r="AI302" i="1"/>
  <c r="AI250" i="1"/>
  <c r="AI257" i="1" s="1"/>
  <c r="AI261" i="1" s="1"/>
  <c r="AM302" i="1"/>
  <c r="AM250" i="1"/>
  <c r="AM257" i="1" s="1"/>
  <c r="AM261" i="1" s="1"/>
  <c r="F41" i="9"/>
  <c r="F550" i="1"/>
  <c r="R41" i="9"/>
  <c r="V41" i="9"/>
  <c r="Z41" i="9"/>
  <c r="Z550" i="1"/>
  <c r="I41" i="9"/>
  <c r="Q41" i="9"/>
  <c r="AD41" i="9"/>
  <c r="AH41" i="9"/>
  <c r="AH64" i="9" s="1"/>
  <c r="AL41" i="9"/>
  <c r="H250" i="1"/>
  <c r="H257" i="1" s="1"/>
  <c r="H261" i="1" s="1"/>
  <c r="P250" i="1"/>
  <c r="P257" i="1" s="1"/>
  <c r="P261" i="1" s="1"/>
  <c r="X250" i="1"/>
  <c r="X257" i="1" s="1"/>
  <c r="X261" i="1" s="1"/>
  <c r="AF250" i="1"/>
  <c r="AF257" i="1" s="1"/>
  <c r="AF261" i="1" s="1"/>
  <c r="AK45" i="9"/>
  <c r="AO317" i="1"/>
  <c r="AO45" i="9" s="1"/>
  <c r="AP45" i="9"/>
  <c r="AP493" i="1"/>
  <c r="AT317" i="1"/>
  <c r="AT45" i="9" s="1"/>
  <c r="AU45" i="9"/>
  <c r="AU493" i="1"/>
  <c r="F51" i="9"/>
  <c r="J51" i="9"/>
  <c r="N51" i="9"/>
  <c r="R51" i="9"/>
  <c r="V51" i="9"/>
  <c r="Z51" i="9"/>
  <c r="AD51" i="9"/>
  <c r="AH51" i="9"/>
  <c r="AL51" i="9"/>
  <c r="AR22" i="1"/>
  <c r="AJ26" i="1"/>
  <c r="AJ34" i="1"/>
  <c r="AF36" i="1"/>
  <c r="AF36" i="9" s="1"/>
  <c r="AJ37" i="1"/>
  <c r="AJ37" i="9" s="1"/>
  <c r="AB39" i="1"/>
  <c r="AF40" i="1"/>
  <c r="AF45" i="1" s="1"/>
  <c r="N87" i="1"/>
  <c r="N96" i="1" s="1"/>
  <c r="Z87" i="1"/>
  <c r="Z96" i="1" s="1"/>
  <c r="O89" i="1"/>
  <c r="B732" i="1"/>
  <c r="AF11" i="1"/>
  <c r="AF18" i="9" s="1"/>
  <c r="AG26" i="1"/>
  <c r="F28" i="1"/>
  <c r="F34" i="9" s="1"/>
  <c r="N28" i="1"/>
  <c r="N34" i="9" s="1"/>
  <c r="AG39" i="1"/>
  <c r="AK39" i="1"/>
  <c r="AC40" i="1"/>
  <c r="AC45" i="1" s="1"/>
  <c r="AK40" i="1"/>
  <c r="AK41" i="1"/>
  <c r="AO41" i="1" s="1"/>
  <c r="K87" i="1"/>
  <c r="K96" i="1" s="1"/>
  <c r="O87" i="1"/>
  <c r="O96" i="1" s="1"/>
  <c r="S87" i="1"/>
  <c r="S96" i="1" s="1"/>
  <c r="W87" i="1"/>
  <c r="W96" i="1" s="1"/>
  <c r="D89" i="1"/>
  <c r="L89" i="1"/>
  <c r="P89" i="1"/>
  <c r="T89" i="1"/>
  <c r="X89" i="1"/>
  <c r="C100" i="1"/>
  <c r="C109" i="1" s="1"/>
  <c r="G100" i="1"/>
  <c r="G109" i="1" s="1"/>
  <c r="K100" i="1"/>
  <c r="K109" i="1" s="1"/>
  <c r="O100" i="1"/>
  <c r="O109" i="1" s="1"/>
  <c r="S100" i="1"/>
  <c r="S109" i="1" s="1"/>
  <c r="W100" i="1"/>
  <c r="W109" i="1" s="1"/>
  <c r="C105" i="1"/>
  <c r="C114" i="1" s="1"/>
  <c r="G105" i="1"/>
  <c r="G114" i="1" s="1"/>
  <c r="K105" i="1"/>
  <c r="O105" i="1"/>
  <c r="O114" i="1" s="1"/>
  <c r="S105" i="1"/>
  <c r="W105" i="1"/>
  <c r="W114" i="1" s="1"/>
  <c r="O121" i="1"/>
  <c r="O183" i="1"/>
  <c r="O190" i="1" s="1"/>
  <c r="J198" i="1"/>
  <c r="J200" i="1" s="1"/>
  <c r="L40" i="9"/>
  <c r="L66" i="9" s="1"/>
  <c r="AB40" i="9"/>
  <c r="AB634" i="1"/>
  <c r="AF549" i="1"/>
  <c r="AF569" i="1" s="1"/>
  <c r="AB306" i="1"/>
  <c r="AB310" i="1" s="1"/>
  <c r="AF40" i="9"/>
  <c r="AF634" i="1"/>
  <c r="AI549" i="1"/>
  <c r="AF306" i="1"/>
  <c r="AF310" i="1" s="1"/>
  <c r="AJ40" i="9"/>
  <c r="AJ634" i="1"/>
  <c r="AJ549" i="1"/>
  <c r="AJ571" i="1" s="1"/>
  <c r="AJ306" i="1"/>
  <c r="AJ310" i="1" s="1"/>
  <c r="AA41" i="9"/>
  <c r="AE41" i="9"/>
  <c r="AE550" i="1"/>
  <c r="AM41" i="9"/>
  <c r="AQ45" i="9"/>
  <c r="AQ493" i="1"/>
  <c r="AV45" i="9"/>
  <c r="AV493" i="1"/>
  <c r="AR25" i="1"/>
  <c r="AF26" i="1"/>
  <c r="AB36" i="1"/>
  <c r="AB36" i="9" s="1"/>
  <c r="AB37" i="1"/>
  <c r="AB37" i="9" s="1"/>
  <c r="AJ39" i="1"/>
  <c r="AJ40" i="1"/>
  <c r="AJ45" i="1" s="1"/>
  <c r="B2" i="9"/>
  <c r="AJ11" i="1"/>
  <c r="AJ18" i="9" s="1"/>
  <c r="AC26" i="1"/>
  <c r="AK26" i="1"/>
  <c r="AC37" i="1"/>
  <c r="AC37" i="9" s="1"/>
  <c r="AG37" i="1"/>
  <c r="AG37" i="9" s="1"/>
  <c r="AK37" i="1"/>
  <c r="AK37" i="9" s="1"/>
  <c r="AC39" i="1"/>
  <c r="AG40" i="1"/>
  <c r="AG45" i="1" s="1"/>
  <c r="AG11" i="1"/>
  <c r="AG18" i="9" s="1"/>
  <c r="AK11" i="1"/>
  <c r="AK18" i="9" s="1"/>
  <c r="AF14" i="1"/>
  <c r="AF21" i="9" s="1"/>
  <c r="AJ14" i="1"/>
  <c r="AJ21" i="9" s="1"/>
  <c r="AD24" i="9"/>
  <c r="AD634" i="1"/>
  <c r="AP24" i="9"/>
  <c r="AD22" i="1"/>
  <c r="AP22" i="1"/>
  <c r="AD25" i="1"/>
  <c r="AD37" i="1" s="1"/>
  <c r="AD37" i="9" s="1"/>
  <c r="AP25" i="1"/>
  <c r="Z26" i="1"/>
  <c r="AH26" i="1"/>
  <c r="AL26" i="1"/>
  <c r="AT33" i="1"/>
  <c r="AD34" i="1"/>
  <c r="AH34" i="1"/>
  <c r="AL34" i="1"/>
  <c r="Z36" i="1"/>
  <c r="Z36" i="9" s="1"/>
  <c r="Z37" i="1"/>
  <c r="Z37" i="9" s="1"/>
  <c r="Z39" i="1"/>
  <c r="AH39" i="1"/>
  <c r="AL39" i="1"/>
  <c r="Z40" i="1"/>
  <c r="Z45" i="1" s="1"/>
  <c r="AH40" i="1"/>
  <c r="AH45" i="1" s="1"/>
  <c r="AL40" i="1"/>
  <c r="AL45" i="1" s="1"/>
  <c r="D87" i="1"/>
  <c r="E96" i="1" s="1"/>
  <c r="L87" i="1"/>
  <c r="P87" i="1"/>
  <c r="T87" i="1"/>
  <c r="X87" i="1"/>
  <c r="D100" i="1"/>
  <c r="D109" i="1" s="1"/>
  <c r="H100" i="1"/>
  <c r="H109" i="1" s="1"/>
  <c r="L100" i="1"/>
  <c r="L109" i="1" s="1"/>
  <c r="P100" i="1"/>
  <c r="P109" i="1" s="1"/>
  <c r="T100" i="1"/>
  <c r="T109" i="1" s="1"/>
  <c r="X100" i="1"/>
  <c r="X109" i="1" s="1"/>
  <c r="D105" i="1"/>
  <c r="H105" i="1"/>
  <c r="H114" i="1" s="1"/>
  <c r="L105" i="1"/>
  <c r="L114" i="1" s="1"/>
  <c r="P105" i="1"/>
  <c r="P114" i="1" s="1"/>
  <c r="T105" i="1"/>
  <c r="T114" i="1" s="1"/>
  <c r="X105" i="1"/>
  <c r="X114" i="1" s="1"/>
  <c r="O168" i="1"/>
  <c r="O198" i="1"/>
  <c r="O200" i="1" s="1"/>
  <c r="H40" i="9"/>
  <c r="H66" i="9" s="1"/>
  <c r="X40" i="9"/>
  <c r="X306" i="1"/>
  <c r="X310" i="1" s="1"/>
  <c r="AC40" i="9"/>
  <c r="AC66" i="9" s="1"/>
  <c r="AC634" i="1"/>
  <c r="AG549" i="1"/>
  <c r="AG569" i="1" s="1"/>
  <c r="AC306" i="1"/>
  <c r="AG40" i="9"/>
  <c r="AG66" i="9" s="1"/>
  <c r="AG634" i="1"/>
  <c r="AK40" i="9"/>
  <c r="AK634" i="1"/>
  <c r="AK306" i="1"/>
  <c r="D41" i="9"/>
  <c r="D550" i="1"/>
  <c r="D565" i="1" s="1"/>
  <c r="X41" i="9"/>
  <c r="AB550" i="1"/>
  <c r="E41" i="9"/>
  <c r="E550" i="1"/>
  <c r="U41" i="9"/>
  <c r="U550" i="1"/>
  <c r="AB41" i="9"/>
  <c r="AB64" i="9" s="1"/>
  <c r="AF41" i="9"/>
  <c r="AF64" i="9" s="1"/>
  <c r="AJ41" i="9"/>
  <c r="AJ64" i="9" s="1"/>
  <c r="AJ550" i="1"/>
  <c r="L250" i="1"/>
  <c r="L257" i="1" s="1"/>
  <c r="L261" i="1" s="1"/>
  <c r="AB250" i="1"/>
  <c r="AB257" i="1" s="1"/>
  <c r="AB261" i="1" s="1"/>
  <c r="AJ250" i="1"/>
  <c r="AJ257" i="1" s="1"/>
  <c r="AJ261" i="1" s="1"/>
  <c r="AR45" i="9"/>
  <c r="AR493" i="1"/>
  <c r="AW45" i="9"/>
  <c r="AW493" i="1"/>
  <c r="O388" i="1"/>
  <c r="O389" i="1" s="1"/>
  <c r="F392" i="1"/>
  <c r="F393" i="1"/>
  <c r="Z392" i="1"/>
  <c r="Z393" i="1"/>
  <c r="H296" i="1"/>
  <c r="H315" i="1" s="1"/>
  <c r="L296" i="1"/>
  <c r="L315" i="1" s="1"/>
  <c r="L46" i="9" s="1"/>
  <c r="P296" i="1"/>
  <c r="P315" i="1" s="1"/>
  <c r="P305" i="1" s="1"/>
  <c r="D297" i="1"/>
  <c r="T297" i="1"/>
  <c r="AN590" i="1"/>
  <c r="AO590" i="1" s="1"/>
  <c r="AP590" i="1" s="1"/>
  <c r="AQ590" i="1" s="1"/>
  <c r="AR590" i="1" s="1"/>
  <c r="AS590" i="1" s="1"/>
  <c r="AT590" i="1" s="1"/>
  <c r="AU590" i="1" s="1"/>
  <c r="AV590" i="1" s="1"/>
  <c r="AW590" i="1" s="1"/>
  <c r="AN487" i="1"/>
  <c r="AB66" i="9"/>
  <c r="AF66" i="9"/>
  <c r="E309" i="1"/>
  <c r="Q309" i="1"/>
  <c r="U309" i="1"/>
  <c r="AC309" i="1"/>
  <c r="AG309" i="1"/>
  <c r="AK309" i="1"/>
  <c r="D46" i="9"/>
  <c r="P46" i="9"/>
  <c r="T46" i="9"/>
  <c r="X46" i="9"/>
  <c r="AB46" i="9"/>
  <c r="AF46" i="9"/>
  <c r="AJ46" i="9"/>
  <c r="AO314" i="1"/>
  <c r="AO46" i="9" s="1"/>
  <c r="AD316" i="1"/>
  <c r="AD47" i="9" s="1"/>
  <c r="AT316" i="1"/>
  <c r="AT47" i="9" s="1"/>
  <c r="F48" i="9"/>
  <c r="J48" i="9"/>
  <c r="N48" i="9"/>
  <c r="R48" i="9"/>
  <c r="V48" i="9"/>
  <c r="Z48" i="9"/>
  <c r="AD48" i="9"/>
  <c r="AH48" i="9"/>
  <c r="AL48" i="9"/>
  <c r="D49" i="9"/>
  <c r="H49" i="9"/>
  <c r="L49" i="9"/>
  <c r="P49" i="9"/>
  <c r="T49" i="9"/>
  <c r="X49" i="9"/>
  <c r="AB49" i="9"/>
  <c r="AF49" i="9"/>
  <c r="AJ49" i="9"/>
  <c r="D330" i="1"/>
  <c r="H330" i="1"/>
  <c r="L330" i="1"/>
  <c r="P330" i="1"/>
  <c r="B148" i="12" s="1"/>
  <c r="T330" i="1"/>
  <c r="X330" i="1"/>
  <c r="AB330" i="1"/>
  <c r="AF330" i="1"/>
  <c r="AJ330" i="1"/>
  <c r="F148" i="12" s="1"/>
  <c r="C642" i="1"/>
  <c r="D642" i="1"/>
  <c r="AS72" i="9"/>
  <c r="AS639" i="1"/>
  <c r="AW72" i="9"/>
  <c r="AW639" i="1"/>
  <c r="C76" i="9"/>
  <c r="C644" i="1"/>
  <c r="G76" i="9"/>
  <c r="G644" i="1"/>
  <c r="K76" i="9"/>
  <c r="K644" i="1"/>
  <c r="K651" i="1"/>
  <c r="O76" i="9"/>
  <c r="O644" i="1"/>
  <c r="S76" i="9"/>
  <c r="S644" i="1"/>
  <c r="W76" i="9"/>
  <c r="W644" i="1"/>
  <c r="AA76" i="9"/>
  <c r="AA644" i="1"/>
  <c r="AE76" i="9"/>
  <c r="AE644" i="1"/>
  <c r="AE651" i="1"/>
  <c r="AI76" i="9"/>
  <c r="AI644" i="1"/>
  <c r="AM76" i="9"/>
  <c r="AM644" i="1"/>
  <c r="F93" i="9"/>
  <c r="F7" i="9"/>
  <c r="F632" i="1"/>
  <c r="J93" i="9"/>
  <c r="J7" i="9"/>
  <c r="J632" i="1"/>
  <c r="N93" i="9"/>
  <c r="N7" i="9"/>
  <c r="N632" i="1"/>
  <c r="R93" i="9"/>
  <c r="R7" i="9"/>
  <c r="R632" i="1"/>
  <c r="V93" i="9"/>
  <c r="V7" i="9"/>
  <c r="V632" i="1"/>
  <c r="Z93" i="9"/>
  <c r="Z7" i="9"/>
  <c r="Z632" i="1"/>
  <c r="AD93" i="9"/>
  <c r="AD7" i="9"/>
  <c r="AD632" i="1"/>
  <c r="AH93" i="9"/>
  <c r="AH7" i="9"/>
  <c r="AH632" i="1"/>
  <c r="AL93" i="9"/>
  <c r="AL7" i="9"/>
  <c r="AL632" i="1"/>
  <c r="D108" i="9"/>
  <c r="D8" i="9"/>
  <c r="D633" i="1"/>
  <c r="H108" i="9"/>
  <c r="H8" i="9"/>
  <c r="H633" i="1"/>
  <c r="L108" i="9"/>
  <c r="L8" i="9"/>
  <c r="L633" i="1"/>
  <c r="P108" i="9"/>
  <c r="P8" i="9"/>
  <c r="P633" i="1"/>
  <c r="T108" i="9"/>
  <c r="T8" i="9"/>
  <c r="T633" i="1"/>
  <c r="X108" i="9"/>
  <c r="X8" i="9"/>
  <c r="X633" i="1"/>
  <c r="AB108" i="9"/>
  <c r="AB8" i="9"/>
  <c r="AB633" i="1"/>
  <c r="AF108" i="9"/>
  <c r="AF8" i="9"/>
  <c r="AF633" i="1"/>
  <c r="AJ108" i="9"/>
  <c r="AJ8" i="9"/>
  <c r="AJ633" i="1"/>
  <c r="AN380" i="1"/>
  <c r="C384" i="1"/>
  <c r="C388" i="1" s="1"/>
  <c r="G384" i="1"/>
  <c r="K384" i="1"/>
  <c r="S384" i="1"/>
  <c r="W384" i="1"/>
  <c r="AA384" i="1"/>
  <c r="AE384" i="1"/>
  <c r="AI384" i="1"/>
  <c r="AM384" i="1"/>
  <c r="Y500" i="1"/>
  <c r="Y639" i="1"/>
  <c r="Y527" i="1"/>
  <c r="I477" i="1"/>
  <c r="AC477" i="1"/>
  <c r="AC480" i="1" s="1"/>
  <c r="R477" i="1"/>
  <c r="AL477" i="1"/>
  <c r="AL480" i="1" s="1"/>
  <c r="AP477" i="1"/>
  <c r="AT477" i="1"/>
  <c r="AO487" i="1"/>
  <c r="C296" i="1"/>
  <c r="C315" i="1" s="1"/>
  <c r="C305" i="1" s="1"/>
  <c r="E297" i="1"/>
  <c r="AH65" i="9"/>
  <c r="I46" i="9"/>
  <c r="M46" i="9"/>
  <c r="Y46" i="9"/>
  <c r="AT315" i="1"/>
  <c r="AT46" i="9" s="1"/>
  <c r="G316" i="1"/>
  <c r="G47" i="9" s="1"/>
  <c r="K316" i="1"/>
  <c r="K47" i="9" s="1"/>
  <c r="O316" i="1"/>
  <c r="O47" i="9" s="1"/>
  <c r="O48" i="9"/>
  <c r="E49" i="9"/>
  <c r="I49" i="9"/>
  <c r="M49" i="9"/>
  <c r="Q49" i="9"/>
  <c r="U49" i="9"/>
  <c r="Y49" i="9"/>
  <c r="AC49" i="9"/>
  <c r="AG49" i="9"/>
  <c r="AK49" i="9"/>
  <c r="AT49" i="9"/>
  <c r="AP72" i="9"/>
  <c r="AP639" i="1"/>
  <c r="D76" i="9"/>
  <c r="D644" i="1"/>
  <c r="H76" i="9"/>
  <c r="H644" i="1"/>
  <c r="L76" i="9"/>
  <c r="L644" i="1"/>
  <c r="P76" i="9"/>
  <c r="P644" i="1"/>
  <c r="P651" i="1"/>
  <c r="T76" i="9"/>
  <c r="T644" i="1"/>
  <c r="X76" i="9"/>
  <c r="X644" i="1"/>
  <c r="AB76" i="9"/>
  <c r="AB644" i="1"/>
  <c r="AF76" i="9"/>
  <c r="AF644" i="1"/>
  <c r="AJ76" i="9"/>
  <c r="AJ644" i="1"/>
  <c r="AJ651" i="1"/>
  <c r="AO76" i="9"/>
  <c r="C93" i="9"/>
  <c r="C7" i="9"/>
  <c r="C632" i="1"/>
  <c r="G7" i="9"/>
  <c r="G632" i="1"/>
  <c r="K93" i="9"/>
  <c r="K7" i="9"/>
  <c r="K632" i="1"/>
  <c r="O93" i="9"/>
  <c r="O7" i="9"/>
  <c r="O632" i="1"/>
  <c r="S93" i="9"/>
  <c r="S7" i="9"/>
  <c r="S632" i="1"/>
  <c r="W93" i="9"/>
  <c r="W7" i="9"/>
  <c r="W632" i="1"/>
  <c r="AA93" i="9"/>
  <c r="AA7" i="9"/>
  <c r="AA632" i="1"/>
  <c r="AE93" i="9"/>
  <c r="AE7" i="9"/>
  <c r="AE632" i="1"/>
  <c r="AI93" i="9"/>
  <c r="AI7" i="9"/>
  <c r="AI632" i="1"/>
  <c r="AM93" i="9"/>
  <c r="AM7" i="9"/>
  <c r="AM632" i="1"/>
  <c r="AO612" i="1"/>
  <c r="AN615" i="1"/>
  <c r="E108" i="9"/>
  <c r="E8" i="9"/>
  <c r="E633" i="1"/>
  <c r="I108" i="9"/>
  <c r="I8" i="9"/>
  <c r="I633" i="1"/>
  <c r="M108" i="9"/>
  <c r="M8" i="9"/>
  <c r="M633" i="1"/>
  <c r="Q108" i="9"/>
  <c r="Q8" i="9"/>
  <c r="Q633" i="1"/>
  <c r="U108" i="9"/>
  <c r="U8" i="9"/>
  <c r="U633" i="1"/>
  <c r="Y108" i="9"/>
  <c r="Y8" i="9"/>
  <c r="Y633" i="1"/>
  <c r="AC108" i="9"/>
  <c r="AC8" i="9"/>
  <c r="AC633" i="1"/>
  <c r="AG108" i="9"/>
  <c r="AG8" i="9"/>
  <c r="AG633" i="1"/>
  <c r="AK108" i="9"/>
  <c r="AK8" i="9"/>
  <c r="AK633" i="1"/>
  <c r="J500" i="1"/>
  <c r="AD500" i="1"/>
  <c r="J639" i="1"/>
  <c r="J527" i="1"/>
  <c r="AD639" i="1"/>
  <c r="AD527" i="1"/>
  <c r="U477" i="1"/>
  <c r="N477" i="1"/>
  <c r="AH477" i="1"/>
  <c r="AH480" i="1" s="1"/>
  <c r="AT487" i="1"/>
  <c r="AH66" i="9"/>
  <c r="F46" i="9"/>
  <c r="J46" i="9"/>
  <c r="N46" i="9"/>
  <c r="R46" i="9"/>
  <c r="V46" i="9"/>
  <c r="Z46" i="9"/>
  <c r="AD46" i="9"/>
  <c r="AH46" i="9"/>
  <c r="AL46" i="9"/>
  <c r="D48" i="9"/>
  <c r="H48" i="9"/>
  <c r="L48" i="9"/>
  <c r="P48" i="9"/>
  <c r="T48" i="9"/>
  <c r="X48" i="9"/>
  <c r="AB48" i="9"/>
  <c r="AF48" i="9"/>
  <c r="AJ48" i="9"/>
  <c r="F49" i="9"/>
  <c r="J49" i="9"/>
  <c r="N49" i="9"/>
  <c r="R49" i="9"/>
  <c r="V49" i="9"/>
  <c r="Z49" i="9"/>
  <c r="AD49" i="9"/>
  <c r="AH49" i="9"/>
  <c r="AL49" i="9"/>
  <c r="C5" i="9"/>
  <c r="AQ72" i="9"/>
  <c r="AQ639" i="1"/>
  <c r="AU72" i="9"/>
  <c r="AU639" i="1"/>
  <c r="E76" i="9"/>
  <c r="E644" i="1"/>
  <c r="I76" i="9"/>
  <c r="I644" i="1"/>
  <c r="M76" i="9"/>
  <c r="M644" i="1"/>
  <c r="Q76" i="9"/>
  <c r="Q644" i="1"/>
  <c r="U76" i="9"/>
  <c r="U644" i="1"/>
  <c r="U651" i="1"/>
  <c r="Y76" i="9"/>
  <c r="Y644" i="1"/>
  <c r="AC76" i="9"/>
  <c r="AC644" i="1"/>
  <c r="AG76" i="9"/>
  <c r="AG644" i="1"/>
  <c r="AK76" i="9"/>
  <c r="AK644" i="1"/>
  <c r="AT76" i="9"/>
  <c r="D93" i="9"/>
  <c r="D7" i="9"/>
  <c r="D632" i="1"/>
  <c r="H7" i="9"/>
  <c r="H632" i="1"/>
  <c r="L93" i="9"/>
  <c r="L7" i="9"/>
  <c r="L632" i="1"/>
  <c r="P93" i="9"/>
  <c r="P7" i="9"/>
  <c r="P632" i="1"/>
  <c r="T93" i="9"/>
  <c r="T7" i="9"/>
  <c r="T632" i="1"/>
  <c r="X93" i="9"/>
  <c r="X7" i="9"/>
  <c r="X632" i="1"/>
  <c r="AB93" i="9"/>
  <c r="AB7" i="9"/>
  <c r="AB632" i="1"/>
  <c r="AF93" i="9"/>
  <c r="AF7" i="9"/>
  <c r="AF632" i="1"/>
  <c r="AJ93" i="9"/>
  <c r="AJ7" i="9"/>
  <c r="AJ632" i="1"/>
  <c r="F108" i="9"/>
  <c r="F109" i="9" s="1"/>
  <c r="F110" i="9" s="1"/>
  <c r="F8" i="9"/>
  <c r="F633" i="1"/>
  <c r="J108" i="9"/>
  <c r="J8" i="9"/>
  <c r="J633" i="1"/>
  <c r="N108" i="9"/>
  <c r="N8" i="9"/>
  <c r="N633" i="1"/>
  <c r="R108" i="9"/>
  <c r="R8" i="9"/>
  <c r="R633" i="1"/>
  <c r="V108" i="9"/>
  <c r="V8" i="9"/>
  <c r="V633" i="1"/>
  <c r="Z108" i="9"/>
  <c r="Z8" i="9"/>
  <c r="Z633" i="1"/>
  <c r="AD108" i="9"/>
  <c r="AD8" i="9"/>
  <c r="AD633" i="1"/>
  <c r="AH108" i="9"/>
  <c r="AH8" i="9"/>
  <c r="AH633" i="1"/>
  <c r="AL108" i="9"/>
  <c r="AL8" i="9"/>
  <c r="AL633" i="1"/>
  <c r="D382" i="1"/>
  <c r="H382" i="1"/>
  <c r="L382" i="1"/>
  <c r="P382" i="1"/>
  <c r="T382" i="1"/>
  <c r="X382" i="1"/>
  <c r="AB382" i="1"/>
  <c r="AF382" i="1"/>
  <c r="AJ382" i="1"/>
  <c r="E384" i="1"/>
  <c r="I384" i="1"/>
  <c r="M384" i="1"/>
  <c r="Q384" i="1"/>
  <c r="U384" i="1"/>
  <c r="Y384" i="1"/>
  <c r="AC384" i="1"/>
  <c r="AG384" i="1"/>
  <c r="AK384" i="1"/>
  <c r="O500" i="1"/>
  <c r="AI500" i="1"/>
  <c r="Q477" i="1"/>
  <c r="AK477" i="1"/>
  <c r="AK480" i="1" s="1"/>
  <c r="AO477" i="1"/>
  <c r="AS477" i="1"/>
  <c r="AW477" i="1"/>
  <c r="Z477" i="1"/>
  <c r="H65" i="9"/>
  <c r="X65" i="9"/>
  <c r="AB65" i="9"/>
  <c r="AF65" i="9"/>
  <c r="AJ65" i="9"/>
  <c r="C46" i="9"/>
  <c r="G46" i="9"/>
  <c r="K46" i="9"/>
  <c r="O46" i="9"/>
  <c r="AI46" i="9"/>
  <c r="AO316" i="1"/>
  <c r="AO47" i="9" s="1"/>
  <c r="C49" i="9"/>
  <c r="G49" i="9"/>
  <c r="K49" i="9"/>
  <c r="O49" i="9"/>
  <c r="S49" i="9"/>
  <c r="W49" i="9"/>
  <c r="AA49" i="9"/>
  <c r="AE49" i="9"/>
  <c r="AI49" i="9"/>
  <c r="AM49" i="9"/>
  <c r="AN72" i="9"/>
  <c r="AN639" i="1"/>
  <c r="AR72" i="9"/>
  <c r="AR639" i="1"/>
  <c r="AV72" i="9"/>
  <c r="AV639" i="1"/>
  <c r="F76" i="9"/>
  <c r="F644" i="1"/>
  <c r="J76" i="9"/>
  <c r="J644" i="1"/>
  <c r="N76" i="9"/>
  <c r="N644" i="1"/>
  <c r="R76" i="9"/>
  <c r="R644" i="1"/>
  <c r="V76" i="9"/>
  <c r="V644" i="1"/>
  <c r="Z76" i="9"/>
  <c r="Z651" i="1"/>
  <c r="Z644" i="1"/>
  <c r="AD76" i="9"/>
  <c r="AD644" i="1"/>
  <c r="AH76" i="9"/>
  <c r="AH644" i="1"/>
  <c r="AL76" i="9"/>
  <c r="AL644" i="1"/>
  <c r="E93" i="9"/>
  <c r="E7" i="9"/>
  <c r="E632" i="1"/>
  <c r="I7" i="9"/>
  <c r="I632" i="1"/>
  <c r="M93" i="9"/>
  <c r="M7" i="9"/>
  <c r="M632" i="1"/>
  <c r="Q93" i="9"/>
  <c r="Q7" i="9"/>
  <c r="Q632" i="1"/>
  <c r="U93" i="9"/>
  <c r="U7" i="9"/>
  <c r="U632" i="1"/>
  <c r="Y93" i="9"/>
  <c r="Y7" i="9"/>
  <c r="Y632" i="1"/>
  <c r="AC93" i="9"/>
  <c r="AC7" i="9"/>
  <c r="AC632" i="1"/>
  <c r="AG93" i="9"/>
  <c r="AG7" i="9"/>
  <c r="AG632" i="1"/>
  <c r="AK93" i="9"/>
  <c r="AK7" i="9"/>
  <c r="AK632" i="1"/>
  <c r="C108" i="9"/>
  <c r="C109" i="9" s="1"/>
  <c r="C110" i="9" s="1"/>
  <c r="C8" i="9"/>
  <c r="C633" i="1"/>
  <c r="G108" i="9"/>
  <c r="G8" i="9"/>
  <c r="G633" i="1"/>
  <c r="K108" i="9"/>
  <c r="K8" i="9"/>
  <c r="K633" i="1"/>
  <c r="O108" i="9"/>
  <c r="O109" i="9" s="1"/>
  <c r="O8" i="9"/>
  <c r="O633" i="1"/>
  <c r="S108" i="9"/>
  <c r="S8" i="9"/>
  <c r="S633" i="1"/>
  <c r="W108" i="9"/>
  <c r="W8" i="9"/>
  <c r="W633" i="1"/>
  <c r="AA108" i="9"/>
  <c r="AA8" i="9"/>
  <c r="AA633" i="1"/>
  <c r="AE108" i="9"/>
  <c r="AE8" i="9"/>
  <c r="AE633" i="1"/>
  <c r="AI108" i="9"/>
  <c r="AI8" i="9"/>
  <c r="AI633" i="1"/>
  <c r="AM108" i="9"/>
  <c r="AM8" i="9"/>
  <c r="AM633" i="1"/>
  <c r="E382" i="1"/>
  <c r="I382" i="1"/>
  <c r="M382" i="1"/>
  <c r="Q382" i="1"/>
  <c r="U382" i="1"/>
  <c r="Y382" i="1"/>
  <c r="AC382" i="1"/>
  <c r="AG382" i="1"/>
  <c r="AK382" i="1"/>
  <c r="F384" i="1"/>
  <c r="J384" i="1"/>
  <c r="N384" i="1"/>
  <c r="R384" i="1"/>
  <c r="V384" i="1"/>
  <c r="Z384" i="1"/>
  <c r="AD384" i="1"/>
  <c r="AH384" i="1"/>
  <c r="AL384" i="1"/>
  <c r="T500" i="1"/>
  <c r="M477" i="1"/>
  <c r="AG477" i="1"/>
  <c r="AG480" i="1" s="1"/>
  <c r="V477" i="1"/>
  <c r="O436" i="1"/>
  <c r="O452" i="1" s="1"/>
  <c r="AI436" i="1"/>
  <c r="AI452" i="1" s="1"/>
  <c r="T81" i="9"/>
  <c r="T463" i="1"/>
  <c r="T538" i="1"/>
  <c r="Y474" i="1"/>
  <c r="C500" i="1"/>
  <c r="G500" i="1"/>
  <c r="K500" i="1"/>
  <c r="S500" i="1"/>
  <c r="W500" i="1"/>
  <c r="AA500" i="1"/>
  <c r="AE500" i="1"/>
  <c r="AM500" i="1"/>
  <c r="F639" i="1"/>
  <c r="F527" i="1"/>
  <c r="N639" i="1"/>
  <c r="N527" i="1"/>
  <c r="AK639" i="1"/>
  <c r="AI569" i="1"/>
  <c r="AH570" i="1"/>
  <c r="AG571" i="1"/>
  <c r="C105" i="9"/>
  <c r="C637" i="1"/>
  <c r="G105" i="9"/>
  <c r="G627" i="1"/>
  <c r="L105" i="9"/>
  <c r="Q105" i="9"/>
  <c r="Q637" i="1"/>
  <c r="V105" i="9"/>
  <c r="AA105" i="9"/>
  <c r="AA627" i="1"/>
  <c r="AF105" i="9"/>
  <c r="AK105" i="9"/>
  <c r="AK637" i="1"/>
  <c r="AN591" i="1"/>
  <c r="J114" i="9"/>
  <c r="J616" i="1"/>
  <c r="T436" i="1"/>
  <c r="T452" i="1" s="1"/>
  <c r="O639" i="1"/>
  <c r="O527" i="1"/>
  <c r="AI639" i="1"/>
  <c r="AI527" i="1"/>
  <c r="E463" i="1"/>
  <c r="E477" i="1" s="1"/>
  <c r="Y463" i="1"/>
  <c r="Y538" i="1"/>
  <c r="Z650" i="1" s="1"/>
  <c r="J474" i="1"/>
  <c r="AD474" i="1"/>
  <c r="D500" i="1"/>
  <c r="H500" i="1"/>
  <c r="L500" i="1"/>
  <c r="P500" i="1"/>
  <c r="X500" i="1"/>
  <c r="AB500" i="1"/>
  <c r="AF500" i="1"/>
  <c r="AJ500" i="1"/>
  <c r="C639" i="1"/>
  <c r="C527" i="1"/>
  <c r="U639" i="1"/>
  <c r="U527" i="1"/>
  <c r="AC639" i="1"/>
  <c r="AC527" i="1"/>
  <c r="AG639" i="1"/>
  <c r="AG527" i="1"/>
  <c r="AN586" i="1"/>
  <c r="K650" i="1"/>
  <c r="P650" i="1"/>
  <c r="AE650" i="1"/>
  <c r="AJ650" i="1"/>
  <c r="AJ569" i="1"/>
  <c r="AI570" i="1"/>
  <c r="AH571" i="1"/>
  <c r="D105" i="9"/>
  <c r="D106" i="9" s="1"/>
  <c r="H105" i="9"/>
  <c r="H637" i="1"/>
  <c r="M105" i="9"/>
  <c r="M637" i="1"/>
  <c r="R105" i="9"/>
  <c r="R637" i="1"/>
  <c r="W105" i="9"/>
  <c r="W637" i="1"/>
  <c r="AB105" i="9"/>
  <c r="AB637" i="1"/>
  <c r="AG105" i="9"/>
  <c r="AG637" i="1"/>
  <c r="AL105" i="9"/>
  <c r="AL637" i="1"/>
  <c r="O114" i="9"/>
  <c r="O115" i="9" s="1"/>
  <c r="O616" i="1"/>
  <c r="O625" i="1" s="1"/>
  <c r="O627" i="1" s="1"/>
  <c r="AI114" i="9"/>
  <c r="AI115" i="9" s="1"/>
  <c r="AI616" i="1"/>
  <c r="Y436" i="1"/>
  <c r="Y452" i="1" s="1"/>
  <c r="T639" i="1"/>
  <c r="T527" i="1"/>
  <c r="F463" i="1"/>
  <c r="F477" i="1" s="1"/>
  <c r="J463" i="1"/>
  <c r="AD463" i="1"/>
  <c r="O474" i="1"/>
  <c r="AI474" i="1"/>
  <c r="E500" i="1"/>
  <c r="I500" i="1"/>
  <c r="M500" i="1"/>
  <c r="Q500" i="1"/>
  <c r="U500" i="1"/>
  <c r="AC500" i="1"/>
  <c r="AG500" i="1"/>
  <c r="AK500" i="1"/>
  <c r="D639" i="1"/>
  <c r="D527" i="1"/>
  <c r="H639" i="1"/>
  <c r="H527" i="1"/>
  <c r="Q639" i="1"/>
  <c r="Q527" i="1"/>
  <c r="V639" i="1"/>
  <c r="V527" i="1"/>
  <c r="Z639" i="1"/>
  <c r="Z527" i="1"/>
  <c r="P570" i="1"/>
  <c r="AF570" i="1"/>
  <c r="AJ570" i="1"/>
  <c r="AI571" i="1"/>
  <c r="E596" i="1"/>
  <c r="I596" i="1"/>
  <c r="N637" i="1" s="1"/>
  <c r="N105" i="9"/>
  <c r="S105" i="9"/>
  <c r="S627" i="1"/>
  <c r="X105" i="9"/>
  <c r="AC105" i="9"/>
  <c r="AH105" i="9"/>
  <c r="AH637" i="1"/>
  <c r="AM105" i="9"/>
  <c r="Y595" i="1"/>
  <c r="Y596" i="1" s="1"/>
  <c r="J436" i="1"/>
  <c r="J452" i="1" s="1"/>
  <c r="AD436" i="1"/>
  <c r="AD452" i="1" s="1"/>
  <c r="O463" i="1"/>
  <c r="AI463" i="1"/>
  <c r="T474" i="1"/>
  <c r="F500" i="1"/>
  <c r="N500" i="1"/>
  <c r="R500" i="1"/>
  <c r="V500" i="1"/>
  <c r="Z500" i="1"/>
  <c r="AH500" i="1"/>
  <c r="AL500" i="1"/>
  <c r="E639" i="1"/>
  <c r="E527" i="1"/>
  <c r="I639" i="1"/>
  <c r="I527" i="1"/>
  <c r="M639" i="1"/>
  <c r="M527" i="1"/>
  <c r="R639" i="1"/>
  <c r="R527" i="1"/>
  <c r="AH569" i="1"/>
  <c r="AG570" i="1"/>
  <c r="AF571" i="1"/>
  <c r="O105" i="9"/>
  <c r="AI105" i="9"/>
  <c r="F105" i="9"/>
  <c r="K105" i="9"/>
  <c r="K637" i="1"/>
  <c r="P105" i="9"/>
  <c r="P637" i="1"/>
  <c r="U105" i="9"/>
  <c r="U637" i="1"/>
  <c r="Z105" i="9"/>
  <c r="Z637" i="1"/>
  <c r="AE105" i="9"/>
  <c r="AE637" i="1"/>
  <c r="AJ105" i="9"/>
  <c r="AJ637" i="1"/>
  <c r="G639" i="1"/>
  <c r="K639" i="1"/>
  <c r="S639" i="1"/>
  <c r="W639" i="1"/>
  <c r="AA639" i="1"/>
  <c r="AE639" i="1"/>
  <c r="AM639" i="1"/>
  <c r="G527" i="1"/>
  <c r="K527" i="1"/>
  <c r="S527" i="1"/>
  <c r="W527" i="1"/>
  <c r="AA527" i="1"/>
  <c r="AE527" i="1"/>
  <c r="AM527" i="1"/>
  <c r="AT530" i="1"/>
  <c r="J559" i="1"/>
  <c r="AO589" i="1"/>
  <c r="T114" i="9"/>
  <c r="T616" i="1"/>
  <c r="T625" i="1" s="1"/>
  <c r="AA114" i="9"/>
  <c r="AC115" i="9" s="1"/>
  <c r="AA616" i="1"/>
  <c r="AA625" i="1" s="1"/>
  <c r="AP609" i="1"/>
  <c r="T100" i="9"/>
  <c r="T101" i="9" s="1"/>
  <c r="L639" i="1"/>
  <c r="P639" i="1"/>
  <c r="X639" i="1"/>
  <c r="AB639" i="1"/>
  <c r="AF639" i="1"/>
  <c r="AJ639" i="1"/>
  <c r="AO519" i="1"/>
  <c r="AO520" i="1"/>
  <c r="AO81" i="9" s="1"/>
  <c r="L527" i="1"/>
  <c r="P649" i="1" s="1"/>
  <c r="P527" i="1"/>
  <c r="X527" i="1"/>
  <c r="AB527" i="1"/>
  <c r="AF527" i="1"/>
  <c r="AJ527" i="1"/>
  <c r="AE543" i="1"/>
  <c r="F114" i="9"/>
  <c r="F115" i="9" s="1"/>
  <c r="F616" i="1"/>
  <c r="W114" i="9"/>
  <c r="X115" i="9" s="1"/>
  <c r="W616" i="1"/>
  <c r="W625" i="1" s="1"/>
  <c r="W627" i="1" s="1"/>
  <c r="Y100" i="9"/>
  <c r="Y101" i="9" s="1"/>
  <c r="AP619" i="1"/>
  <c r="AT639" i="1"/>
  <c r="AK527" i="1"/>
  <c r="J556" i="1"/>
  <c r="J562" i="1"/>
  <c r="AD114" i="9"/>
  <c r="AD616" i="1"/>
  <c r="C114" i="9"/>
  <c r="C616" i="1"/>
  <c r="C625" i="1" s="1"/>
  <c r="C627" i="1" s="1"/>
  <c r="G114" i="9"/>
  <c r="G616" i="1"/>
  <c r="G625" i="1" s="1"/>
  <c r="K114" i="9"/>
  <c r="P115" i="9" s="1"/>
  <c r="K616" i="1"/>
  <c r="K625" i="1" s="1"/>
  <c r="K627" i="1" s="1"/>
  <c r="S114" i="9"/>
  <c r="S616" i="1"/>
  <c r="S625" i="1" s="1"/>
  <c r="E616" i="1"/>
  <c r="E625" i="1" s="1"/>
  <c r="AH639" i="1"/>
  <c r="AL639" i="1"/>
  <c r="AT523" i="1"/>
  <c r="AT363" i="1" s="1"/>
  <c r="AT77" i="9" s="1"/>
  <c r="AH527" i="1"/>
  <c r="AL527" i="1"/>
  <c r="AO530" i="1"/>
  <c r="D114" i="9"/>
  <c r="D616" i="1"/>
  <c r="H114" i="9"/>
  <c r="H616" i="1"/>
  <c r="AE114" i="9"/>
  <c r="AE115" i="9" s="1"/>
  <c r="AE616" i="1"/>
  <c r="AE625" i="1" s="1"/>
  <c r="AE627" i="1" s="1"/>
  <c r="AM114" i="9"/>
  <c r="AM616" i="1"/>
  <c r="AM625" i="1" s="1"/>
  <c r="AM627" i="1" s="1"/>
  <c r="I616" i="1"/>
  <c r="I625" i="1" s="1"/>
  <c r="Y616" i="1"/>
  <c r="Y625" i="1" s="1"/>
  <c r="O100" i="9"/>
  <c r="O101" i="9" s="1"/>
  <c r="AI100" i="9"/>
  <c r="AI101" i="9" s="1"/>
  <c r="AI625" i="1"/>
  <c r="AI627" i="1" s="1"/>
  <c r="M115" i="9"/>
  <c r="U115" i="9"/>
  <c r="AG115" i="9"/>
  <c r="L101" i="9"/>
  <c r="P101" i="9"/>
  <c r="AF101" i="9"/>
  <c r="AJ101" i="9"/>
  <c r="M625" i="1"/>
  <c r="M627" i="1" s="1"/>
  <c r="Q625" i="1"/>
  <c r="Q627" i="1" s="1"/>
  <c r="U625" i="1"/>
  <c r="U627" i="1" s="1"/>
  <c r="AC625" i="1"/>
  <c r="AC627" i="1" s="1"/>
  <c r="AG625" i="1"/>
  <c r="AG627" i="1" s="1"/>
  <c r="AK625" i="1"/>
  <c r="AK627" i="1" s="1"/>
  <c r="Z115" i="9"/>
  <c r="L616" i="1"/>
  <c r="L625" i="1" s="1"/>
  <c r="L627" i="1" s="1"/>
  <c r="P616" i="1"/>
  <c r="P625" i="1" s="1"/>
  <c r="P627" i="1" s="1"/>
  <c r="X616" i="1"/>
  <c r="X625" i="1" s="1"/>
  <c r="X627" i="1" s="1"/>
  <c r="AB616" i="1"/>
  <c r="AB625" i="1" s="1"/>
  <c r="AB627" i="1" s="1"/>
  <c r="AF616" i="1"/>
  <c r="AF625" i="1" s="1"/>
  <c r="AF627" i="1" s="1"/>
  <c r="AJ616" i="1"/>
  <c r="AJ625" i="1" s="1"/>
  <c r="AJ627" i="1" s="1"/>
  <c r="E101" i="9"/>
  <c r="M101" i="9"/>
  <c r="U101" i="9"/>
  <c r="AG101" i="9"/>
  <c r="F625" i="1"/>
  <c r="F627" i="1" s="1"/>
  <c r="J625" i="1"/>
  <c r="AD625" i="1"/>
  <c r="AL625" i="1"/>
  <c r="AL627" i="1" s="1"/>
  <c r="N101" i="9"/>
  <c r="R101" i="9"/>
  <c r="V101" i="9"/>
  <c r="AH101" i="9"/>
  <c r="N616" i="1"/>
  <c r="N625" i="1" s="1"/>
  <c r="N627" i="1" s="1"/>
  <c r="R616" i="1"/>
  <c r="R625" i="1" s="1"/>
  <c r="R627" i="1" s="1"/>
  <c r="V616" i="1"/>
  <c r="V625" i="1" s="1"/>
  <c r="V627" i="1" s="1"/>
  <c r="Z616" i="1"/>
  <c r="Z625" i="1" s="1"/>
  <c r="Z627" i="1" s="1"/>
  <c r="AH616" i="1"/>
  <c r="AH625" i="1" s="1"/>
  <c r="AH627" i="1" s="1"/>
  <c r="AL616" i="1"/>
  <c r="K101" i="9"/>
  <c r="AE101" i="9"/>
  <c r="D625" i="1"/>
  <c r="D627" i="1" s="1"/>
  <c r="H625" i="1"/>
  <c r="H627" i="1" s="1"/>
  <c r="B39" i="12" l="1"/>
  <c r="B40" i="12" s="1"/>
  <c r="F141" i="12"/>
  <c r="X64" i="9"/>
  <c r="S114" i="1"/>
  <c r="Y41" i="9"/>
  <c r="E121" i="12"/>
  <c r="K26" i="11"/>
  <c r="E35" i="11" s="1"/>
  <c r="AA550" i="1"/>
  <c r="O549" i="1"/>
  <c r="C35" i="11"/>
  <c r="D35" i="11"/>
  <c r="U28" i="1"/>
  <c r="U34" i="9" s="1"/>
  <c r="S28" i="1"/>
  <c r="S34" i="9" s="1"/>
  <c r="Z91" i="1"/>
  <c r="F138" i="12"/>
  <c r="F127" i="12"/>
  <c r="F135" i="12"/>
  <c r="F124" i="12"/>
  <c r="F129" i="12"/>
  <c r="F131" i="12" s="1"/>
  <c r="C121" i="12"/>
  <c r="I26" i="11"/>
  <c r="P571" i="1"/>
  <c r="D566" i="1"/>
  <c r="D114" i="1"/>
  <c r="AG310" i="1"/>
  <c r="D121" i="12"/>
  <c r="J26" i="11"/>
  <c r="V91" i="1"/>
  <c r="B138" i="12"/>
  <c r="B129" i="12"/>
  <c r="B131" i="12" s="1"/>
  <c r="B135" i="12"/>
  <c r="B127" i="12"/>
  <c r="B124" i="12"/>
  <c r="X66" i="9"/>
  <c r="AJ66" i="9"/>
  <c r="L65" i="9"/>
  <c r="Y115" i="9"/>
  <c r="AE109" i="9"/>
  <c r="D115" i="9"/>
  <c r="E109" i="9"/>
  <c r="W101" i="9"/>
  <c r="AJ115" i="9"/>
  <c r="S115" i="9"/>
  <c r="Z109" i="9"/>
  <c r="Z110" i="9" s="1"/>
  <c r="X101" i="9"/>
  <c r="A703" i="1"/>
  <c r="O570" i="1"/>
  <c r="O571" i="1"/>
  <c r="O569" i="1"/>
  <c r="O209" i="1"/>
  <c r="O41" i="9"/>
  <c r="S550" i="1"/>
  <c r="R550" i="1"/>
  <c r="O208" i="1"/>
  <c r="O210" i="1" s="1"/>
  <c r="L570" i="1"/>
  <c r="L571" i="1"/>
  <c r="L569" i="1"/>
  <c r="M41" i="9"/>
  <c r="Q550" i="1"/>
  <c r="V550" i="1"/>
  <c r="X550" i="1"/>
  <c r="W550" i="1"/>
  <c r="T550" i="1"/>
  <c r="T41" i="9"/>
  <c r="V637" i="1"/>
  <c r="T105" i="9"/>
  <c r="X106" i="9" s="1"/>
  <c r="X116" i="9" s="1"/>
  <c r="S637" i="1"/>
  <c r="T637" i="1"/>
  <c r="AI41" i="9"/>
  <c r="AI550" i="1"/>
  <c r="R106" i="9"/>
  <c r="P109" i="9"/>
  <c r="AD209" i="1"/>
  <c r="AD211" i="1" s="1"/>
  <c r="AD208" i="1"/>
  <c r="AD210" i="1" s="1"/>
  <c r="AT270" i="1"/>
  <c r="O136" i="1"/>
  <c r="AB115" i="9"/>
  <c r="U649" i="1"/>
  <c r="AK106" i="9"/>
  <c r="Q106" i="9"/>
  <c r="AE110" i="9"/>
  <c r="AL109" i="9"/>
  <c r="V109" i="9"/>
  <c r="V110" i="9" s="1"/>
  <c r="X209" i="1"/>
  <c r="X211" i="1" s="1"/>
  <c r="X208" i="1"/>
  <c r="X210" i="1" s="1"/>
  <c r="AW613" i="1"/>
  <c r="AW381" i="1" s="1"/>
  <c r="AW9" i="9" s="1"/>
  <c r="AV381" i="1"/>
  <c r="AV9" i="9" s="1"/>
  <c r="J162" i="1"/>
  <c r="AL106" i="9"/>
  <c r="AL116" i="9" s="1"/>
  <c r="AL115" i="9"/>
  <c r="AE649" i="1"/>
  <c r="AK101" i="9"/>
  <c r="AM115" i="9"/>
  <c r="AT527" i="1"/>
  <c r="AD115" i="9"/>
  <c r="T627" i="1"/>
  <c r="Z106" i="9"/>
  <c r="Z116" i="9" s="1"/>
  <c r="O106" i="9"/>
  <c r="O116" i="9" s="1"/>
  <c r="AI109" i="9"/>
  <c r="AI110" i="9" s="1"/>
  <c r="J109" i="9"/>
  <c r="J110" i="9" s="1"/>
  <c r="Z114" i="1"/>
  <c r="R91" i="1"/>
  <c r="AP620" i="1"/>
  <c r="AQ620" i="1" s="1"/>
  <c r="AR620" i="1" s="1"/>
  <c r="AS620" i="1" s="1"/>
  <c r="AT620" i="1" s="1"/>
  <c r="Q96" i="1"/>
  <c r="AL209" i="1"/>
  <c r="AL211" i="1" s="1"/>
  <c r="AL208" i="1"/>
  <c r="AL210" i="1" s="1"/>
  <c r="AD596" i="1"/>
  <c r="AM480" i="1"/>
  <c r="AJ649" i="1"/>
  <c r="E115" i="9"/>
  <c r="K649" i="1"/>
  <c r="AM101" i="9"/>
  <c r="AK115" i="9"/>
  <c r="AK116" i="9" s="1"/>
  <c r="T477" i="1"/>
  <c r="E480" i="1"/>
  <c r="F479" i="1" s="1"/>
  <c r="F480" i="1" s="1"/>
  <c r="G479" i="1" s="1"/>
  <c r="AT649" i="1"/>
  <c r="AC109" i="9"/>
  <c r="M109" i="9"/>
  <c r="M110" i="9" s="1"/>
  <c r="AB109" i="9"/>
  <c r="L109" i="9"/>
  <c r="L110" i="9" s="1"/>
  <c r="E565" i="1"/>
  <c r="AK310" i="1"/>
  <c r="V114" i="1"/>
  <c r="Q114" i="1"/>
  <c r="AH208" i="1"/>
  <c r="AH210" i="1" s="1"/>
  <c r="AH209" i="1"/>
  <c r="AH211" i="1" s="1"/>
  <c r="J596" i="1"/>
  <c r="A696" i="1"/>
  <c r="A689" i="1"/>
  <c r="P41" i="9"/>
  <c r="P64" i="9" s="1"/>
  <c r="P550" i="1"/>
  <c r="P209" i="1"/>
  <c r="P208" i="1"/>
  <c r="P210" i="1" s="1"/>
  <c r="P306" i="1"/>
  <c r="P310" i="1" s="1"/>
  <c r="B141" i="12" s="1"/>
  <c r="Y105" i="9"/>
  <c r="Y106" i="9" s="1"/>
  <c r="Y637" i="1"/>
  <c r="Y627" i="1"/>
  <c r="X637" i="1"/>
  <c r="AD637" i="1"/>
  <c r="AA637" i="1"/>
  <c r="H305" i="1"/>
  <c r="H46" i="9"/>
  <c r="E707" i="1"/>
  <c r="E700" i="1"/>
  <c r="E705" i="1"/>
  <c r="E703" i="1" s="1"/>
  <c r="E693" i="1"/>
  <c r="E698" i="1"/>
  <c r="E696" i="1" s="1"/>
  <c r="E408" i="1" s="1"/>
  <c r="E691" i="1"/>
  <c r="E689" i="1" s="1"/>
  <c r="E407" i="1" s="1"/>
  <c r="C41" i="9"/>
  <c r="C550" i="1"/>
  <c r="C208" i="1"/>
  <c r="C210" i="1" s="1"/>
  <c r="C209" i="1"/>
  <c r="AI32" i="9"/>
  <c r="AI28" i="1"/>
  <c r="AI34" i="9" s="1"/>
  <c r="N516" i="1"/>
  <c r="N356" i="1"/>
  <c r="AO586" i="1"/>
  <c r="D516" i="1"/>
  <c r="D286" i="1" s="1"/>
  <c r="D288" i="1" s="1"/>
  <c r="D356" i="1"/>
  <c r="AE516" i="1"/>
  <c r="AE286" i="1" s="1"/>
  <c r="AE288" i="1" s="1"/>
  <c r="AE356" i="1"/>
  <c r="AD388" i="1"/>
  <c r="AD516" i="1"/>
  <c r="AD286" i="1" s="1"/>
  <c r="AD288" i="1" s="1"/>
  <c r="AD356" i="1"/>
  <c r="AO379" i="1"/>
  <c r="AP379" i="1" s="1"/>
  <c r="AO380" i="1"/>
  <c r="Y516" i="1"/>
  <c r="Y286" i="1" s="1"/>
  <c r="Y288" i="1" s="1"/>
  <c r="Y356" i="1"/>
  <c r="AE388" i="1"/>
  <c r="AE389" i="1" s="1"/>
  <c r="AE385" i="1"/>
  <c r="K388" i="1"/>
  <c r="K389" i="1" s="1"/>
  <c r="K385" i="1"/>
  <c r="AJ51" i="9"/>
  <c r="T51" i="9"/>
  <c r="D51" i="9"/>
  <c r="AC42" i="9"/>
  <c r="AC65" i="9" s="1"/>
  <c r="AC216" i="1"/>
  <c r="AC217" i="1"/>
  <c r="AC640" i="1" s="1"/>
  <c r="AJ268" i="1"/>
  <c r="AJ280" i="1" s="1"/>
  <c r="AJ263" i="1"/>
  <c r="L305" i="1"/>
  <c r="AK120" i="9"/>
  <c r="AG120" i="9"/>
  <c r="AC120" i="9"/>
  <c r="T96" i="1"/>
  <c r="T28" i="1"/>
  <c r="T34" i="9" s="1"/>
  <c r="AL44" i="1"/>
  <c r="AL42" i="1"/>
  <c r="AP31" i="9"/>
  <c r="AP40" i="1"/>
  <c r="AP14" i="1"/>
  <c r="AP21" i="9" s="1"/>
  <c r="AP32" i="1"/>
  <c r="AP28" i="9"/>
  <c r="AP26" i="1"/>
  <c r="AP28" i="1" s="1"/>
  <c r="AP34" i="9" s="1"/>
  <c r="AP31" i="1"/>
  <c r="AP11" i="1"/>
  <c r="AP18" i="9" s="1"/>
  <c r="AK32" i="9"/>
  <c r="AK28" i="1"/>
  <c r="AK34" i="9" s="1"/>
  <c r="AJ44" i="1"/>
  <c r="AJ42" i="1"/>
  <c r="AR31" i="9"/>
  <c r="AR14" i="1"/>
  <c r="AR21" i="9" s="1"/>
  <c r="AR32" i="1"/>
  <c r="AR40" i="1" s="1"/>
  <c r="AR45" i="1" s="1"/>
  <c r="AJ311" i="1"/>
  <c r="AJ320" i="1"/>
  <c r="F149" i="12" s="1"/>
  <c r="AJ218" i="1"/>
  <c r="AJ643" i="1" s="1"/>
  <c r="AF311" i="1"/>
  <c r="AF320" i="1"/>
  <c r="AF218" i="1"/>
  <c r="AF643" i="1" s="1"/>
  <c r="AB311" i="1"/>
  <c r="AB320" i="1"/>
  <c r="AB218" i="1"/>
  <c r="AB643" i="1" s="1"/>
  <c r="B722" i="1"/>
  <c r="B4" i="1" s="1"/>
  <c r="B3" i="1" s="1"/>
  <c r="A2" i="1"/>
  <c r="B723" i="1" s="1"/>
  <c r="H268" i="1"/>
  <c r="H280" i="1" s="1"/>
  <c r="H263" i="1"/>
  <c r="AI40" i="9"/>
  <c r="AI64" i="9" s="1"/>
  <c r="AM549" i="1"/>
  <c r="AI306" i="1"/>
  <c r="AI310" i="1" s="1"/>
  <c r="AI217" i="1"/>
  <c r="AI640" i="1" s="1"/>
  <c r="AI208" i="1"/>
  <c r="AI210" i="1" s="1"/>
  <c r="AI214" i="1"/>
  <c r="AI209" i="1"/>
  <c r="AI215" i="1"/>
  <c r="AI216" i="1"/>
  <c r="AI15" i="1"/>
  <c r="AI22" i="9" s="1"/>
  <c r="AA40" i="9"/>
  <c r="AF120" i="9" s="1"/>
  <c r="AA634" i="1"/>
  <c r="AD549" i="1"/>
  <c r="AA306" i="1"/>
  <c r="AA310" i="1" s="1"/>
  <c r="AA217" i="1"/>
  <c r="AA640" i="1" s="1"/>
  <c r="AA208" i="1"/>
  <c r="AA210" i="1" s="1"/>
  <c r="AA214" i="1"/>
  <c r="AA209" i="1"/>
  <c r="AF15" i="1"/>
  <c r="AF22" i="9" s="1"/>
  <c r="AA215" i="1"/>
  <c r="AA216" i="1"/>
  <c r="AA15" i="1"/>
  <c r="AA22" i="9" s="1"/>
  <c r="Y40" i="9"/>
  <c r="Y64" i="9" s="1"/>
  <c r="AC549" i="1"/>
  <c r="Y306" i="1"/>
  <c r="Y310" i="1" s="1"/>
  <c r="Y215" i="1"/>
  <c r="AD15" i="1"/>
  <c r="AD22" i="9" s="1"/>
  <c r="Y216" i="1"/>
  <c r="Y15" i="1"/>
  <c r="Y22" i="9" s="1"/>
  <c r="Y217" i="1"/>
  <c r="Y640" i="1" s="1"/>
  <c r="Y208" i="1"/>
  <c r="Y210" i="1" s="1"/>
  <c r="Y214" i="1"/>
  <c r="Y209" i="1"/>
  <c r="Q40" i="9"/>
  <c r="T549" i="1"/>
  <c r="Q306" i="1"/>
  <c r="Q310" i="1" s="1"/>
  <c r="Q215" i="1"/>
  <c r="Q15" i="1"/>
  <c r="Q22" i="9" s="1"/>
  <c r="Q208" i="1"/>
  <c r="Q210" i="1" s="1"/>
  <c r="Q214" i="1"/>
  <c r="Q209" i="1"/>
  <c r="I40" i="9"/>
  <c r="I64" i="9" s="1"/>
  <c r="M549" i="1"/>
  <c r="I306" i="1"/>
  <c r="I310" i="1" s="1"/>
  <c r="I215" i="1"/>
  <c r="I216" i="1"/>
  <c r="I217" i="1"/>
  <c r="I640" i="1" s="1"/>
  <c r="I208" i="1"/>
  <c r="I210" i="1" s="1"/>
  <c r="I214" i="1"/>
  <c r="I209" i="1"/>
  <c r="AF42" i="1"/>
  <c r="AF44" i="1"/>
  <c r="AB32" i="9"/>
  <c r="AB28" i="1"/>
  <c r="AB34" i="9" s="1"/>
  <c r="AK268" i="1"/>
  <c r="AK263" i="1"/>
  <c r="AC268" i="1"/>
  <c r="AC280" i="1" s="1"/>
  <c r="AC263" i="1"/>
  <c r="AD120" i="9"/>
  <c r="AD44" i="9"/>
  <c r="M28" i="1"/>
  <c r="M34" i="9" s="1"/>
  <c r="AN27" i="9"/>
  <c r="AO21" i="1"/>
  <c r="AS21" i="1"/>
  <c r="D707" i="1"/>
  <c r="D700" i="1"/>
  <c r="D705" i="1"/>
  <c r="D703" i="1" s="1"/>
  <c r="D693" i="1"/>
  <c r="D698" i="1"/>
  <c r="D696" i="1" s="1"/>
  <c r="D408" i="1" s="1"/>
  <c r="D691" i="1"/>
  <c r="D689" i="1" s="1"/>
  <c r="D407" i="1" s="1"/>
  <c r="T40" i="9"/>
  <c r="T64" i="9" s="1"/>
  <c r="X549" i="1"/>
  <c r="T306" i="1"/>
  <c r="T310" i="1" s="1"/>
  <c r="T214" i="1"/>
  <c r="T209" i="1"/>
  <c r="T215" i="1"/>
  <c r="T15" i="1"/>
  <c r="T22" i="9" s="1"/>
  <c r="T216" i="1"/>
  <c r="T217" i="1"/>
  <c r="T640" i="1" s="1"/>
  <c r="T208" i="1"/>
  <c r="T210" i="1" s="1"/>
  <c r="AN30" i="9"/>
  <c r="AS24" i="1"/>
  <c r="AO24" i="1"/>
  <c r="AH265" i="1"/>
  <c r="S268" i="1"/>
  <c r="S280" i="1" s="1"/>
  <c r="S263" i="1"/>
  <c r="K268" i="1"/>
  <c r="K280" i="1" s="1"/>
  <c r="K263" i="1"/>
  <c r="C268" i="1"/>
  <c r="C280" i="1" s="1"/>
  <c r="C282" i="1" s="1"/>
  <c r="C263" i="1"/>
  <c r="K28" i="1"/>
  <c r="K34" i="9" s="1"/>
  <c r="AN26" i="9"/>
  <c r="AO20" i="1"/>
  <c r="AS20" i="1"/>
  <c r="V40" i="9"/>
  <c r="Y549" i="1"/>
  <c r="V306" i="1"/>
  <c r="V310" i="1" s="1"/>
  <c r="V216" i="1"/>
  <c r="V15" i="1"/>
  <c r="V22" i="9" s="1"/>
  <c r="V217" i="1"/>
  <c r="V640" i="1" s="1"/>
  <c r="V208" i="1"/>
  <c r="V210" i="1" s="1"/>
  <c r="V214" i="1"/>
  <c r="V209" i="1"/>
  <c r="V215" i="1"/>
  <c r="N40" i="9"/>
  <c r="N64" i="9" s="1"/>
  <c r="R549" i="1"/>
  <c r="N306" i="1"/>
  <c r="N310" i="1" s="1"/>
  <c r="N216" i="1"/>
  <c r="N15" i="1"/>
  <c r="N22" i="9" s="1"/>
  <c r="N217" i="1"/>
  <c r="N640" i="1" s="1"/>
  <c r="N208" i="1"/>
  <c r="N210" i="1" s="1"/>
  <c r="N214" i="1"/>
  <c r="N209" i="1"/>
  <c r="N215" i="1"/>
  <c r="F40" i="9"/>
  <c r="F549" i="1"/>
  <c r="F306" i="1"/>
  <c r="F310" i="1" s="1"/>
  <c r="F216" i="1"/>
  <c r="F15" i="1"/>
  <c r="F22" i="9" s="1"/>
  <c r="F217" i="1"/>
  <c r="F640" i="1" s="1"/>
  <c r="F208" i="1"/>
  <c r="F210" i="1" s="1"/>
  <c r="F214" i="1"/>
  <c r="F209" i="1"/>
  <c r="F215" i="1"/>
  <c r="E105" i="9"/>
  <c r="E106" i="9" s="1"/>
  <c r="E637" i="1"/>
  <c r="E627" i="1"/>
  <c r="X516" i="1"/>
  <c r="X286" i="1" s="1"/>
  <c r="X288" i="1" s="1"/>
  <c r="X356" i="1"/>
  <c r="J115" i="9"/>
  <c r="V115" i="9"/>
  <c r="AO615" i="1"/>
  <c r="AE106" i="9"/>
  <c r="I516" i="1"/>
  <c r="I356" i="1"/>
  <c r="D116" i="9"/>
  <c r="AJ516" i="1"/>
  <c r="AJ356" i="1"/>
  <c r="AF109" i="9"/>
  <c r="AF110" i="9" s="1"/>
  <c r="AF51" i="9"/>
  <c r="P51" i="9"/>
  <c r="U42" i="9"/>
  <c r="U216" i="1"/>
  <c r="U217" i="1"/>
  <c r="U640" i="1" s="1"/>
  <c r="AB268" i="1"/>
  <c r="AB280" i="1" s="1"/>
  <c r="AB263" i="1"/>
  <c r="AK311" i="1"/>
  <c r="AK320" i="1"/>
  <c r="AK218" i="1"/>
  <c r="AG311" i="1"/>
  <c r="AG320" i="1"/>
  <c r="AG218" i="1"/>
  <c r="AC310" i="1"/>
  <c r="X311" i="1"/>
  <c r="X320" i="1"/>
  <c r="X218" i="1"/>
  <c r="X643" i="1" s="1"/>
  <c r="P96" i="1"/>
  <c r="AH44" i="1"/>
  <c r="AH42" i="1"/>
  <c r="AL32" i="9"/>
  <c r="AL28" i="1"/>
  <c r="AL34" i="9" s="1"/>
  <c r="AD31" i="9"/>
  <c r="AD40" i="1"/>
  <c r="AD45" i="1" s="1"/>
  <c r="AD28" i="9"/>
  <c r="AD39" i="1"/>
  <c r="AD26" i="1"/>
  <c r="AD32" i="9" s="1"/>
  <c r="AC32" i="9"/>
  <c r="AC28" i="1"/>
  <c r="AC34" i="9" s="1"/>
  <c r="AK44" i="1"/>
  <c r="AK42" i="1"/>
  <c r="AB44" i="1"/>
  <c r="AB42" i="1"/>
  <c r="AJ32" i="9"/>
  <c r="AJ28" i="1"/>
  <c r="AJ34" i="9" s="1"/>
  <c r="AF268" i="1"/>
  <c r="AF280" i="1" s="1"/>
  <c r="AF263" i="1"/>
  <c r="AM268" i="1"/>
  <c r="AM280" i="1" s="1"/>
  <c r="AM263" i="1"/>
  <c r="AE268" i="1"/>
  <c r="AE280" i="1" s="1"/>
  <c r="AE263" i="1"/>
  <c r="Y268" i="1"/>
  <c r="Y280" i="1" s="1"/>
  <c r="Y263" i="1"/>
  <c r="Q268" i="1"/>
  <c r="Q280" i="1" s="1"/>
  <c r="Q263" i="1"/>
  <c r="I268" i="1"/>
  <c r="I280" i="1" s="1"/>
  <c r="I263" i="1"/>
  <c r="AU620" i="1"/>
  <c r="AV620" i="1" s="1"/>
  <c r="AW620" i="1" s="1"/>
  <c r="AK41" i="9"/>
  <c r="AK64" i="9" s="1"/>
  <c r="AK208" i="1"/>
  <c r="AK210" i="1" s="1"/>
  <c r="AK209" i="1"/>
  <c r="AC41" i="9"/>
  <c r="AC64" i="9" s="1"/>
  <c r="AG550" i="1"/>
  <c r="AC208" i="1"/>
  <c r="AC210" i="1" s="1"/>
  <c r="AC209" i="1"/>
  <c r="AL120" i="9"/>
  <c r="AL44" i="9"/>
  <c r="AH120" i="9"/>
  <c r="AH44" i="9"/>
  <c r="AA42" i="1"/>
  <c r="AA44" i="1"/>
  <c r="AD36" i="1"/>
  <c r="AD36" i="9" s="1"/>
  <c r="AI31" i="9"/>
  <c r="AI14" i="1"/>
  <c r="AI21" i="9" s="1"/>
  <c r="AI40" i="1"/>
  <c r="AI45" i="1" s="1"/>
  <c r="AI37" i="1"/>
  <c r="AI37" i="9" s="1"/>
  <c r="D268" i="1"/>
  <c r="D280" i="1" s="1"/>
  <c r="D282" i="1" s="1"/>
  <c r="D263" i="1"/>
  <c r="AH284" i="1"/>
  <c r="AH282" i="1"/>
  <c r="S40" i="9"/>
  <c r="X120" i="9" s="1"/>
  <c r="W549" i="1"/>
  <c r="S306" i="1"/>
  <c r="S310" i="1" s="1"/>
  <c r="S217" i="1"/>
  <c r="S640" i="1" s="1"/>
  <c r="X15" i="1"/>
  <c r="X22" i="9" s="1"/>
  <c r="S214" i="1"/>
  <c r="S215" i="1"/>
  <c r="S216" i="1"/>
  <c r="S15" i="1"/>
  <c r="S22" i="9" s="1"/>
  <c r="K40" i="9"/>
  <c r="K64" i="9" s="1"/>
  <c r="K549" i="1"/>
  <c r="K306" i="1"/>
  <c r="K310" i="1" s="1"/>
  <c r="K217" i="1"/>
  <c r="K640" i="1" s="1"/>
  <c r="K214" i="1"/>
  <c r="K215" i="1"/>
  <c r="P15" i="1"/>
  <c r="P22" i="9" s="1"/>
  <c r="K216" i="1"/>
  <c r="K15" i="1"/>
  <c r="K22" i="9" s="1"/>
  <c r="C40" i="9"/>
  <c r="C549" i="1"/>
  <c r="C306" i="1"/>
  <c r="C310" i="1" s="1"/>
  <c r="C217" i="1"/>
  <c r="C640" i="1" s="1"/>
  <c r="C214" i="1"/>
  <c r="C215" i="1"/>
  <c r="C216" i="1"/>
  <c r="K91" i="1"/>
  <c r="AI44" i="1"/>
  <c r="AQ28" i="9"/>
  <c r="AQ31" i="1"/>
  <c r="AQ34" i="1" s="1"/>
  <c r="AQ305" i="1" s="1"/>
  <c r="AQ11" i="1"/>
  <c r="AQ18" i="9" s="1"/>
  <c r="AQ26" i="1"/>
  <c r="AN24" i="9"/>
  <c r="AS18" i="1"/>
  <c r="AO18" i="1"/>
  <c r="AN22" i="1"/>
  <c r="Z268" i="1"/>
  <c r="Z280" i="1" s="1"/>
  <c r="Z263" i="1"/>
  <c r="R268" i="1"/>
  <c r="R280" i="1" s="1"/>
  <c r="R263" i="1"/>
  <c r="J268" i="1"/>
  <c r="J280" i="1" s="1"/>
  <c r="J263" i="1"/>
  <c r="AQ31" i="9"/>
  <c r="AQ14" i="1"/>
  <c r="AQ21" i="9" s="1"/>
  <c r="AQ32" i="1"/>
  <c r="AQ40" i="1"/>
  <c r="AQ45" i="1" s="1"/>
  <c r="AM28" i="1"/>
  <c r="AM34" i="9" s="1"/>
  <c r="F1" i="9"/>
  <c r="G4" i="1"/>
  <c r="F3" i="1"/>
  <c r="F687" i="1" s="1"/>
  <c r="AG516" i="1"/>
  <c r="AG356" i="1"/>
  <c r="D637" i="1"/>
  <c r="K516" i="1"/>
  <c r="K286" i="1" s="1"/>
  <c r="K288" i="1" s="1"/>
  <c r="K356" i="1"/>
  <c r="T516" i="1"/>
  <c r="T286" i="1" s="1"/>
  <c r="T288" i="1" s="1"/>
  <c r="T356" i="1"/>
  <c r="N388" i="1"/>
  <c r="N389" i="1" s="1"/>
  <c r="O110" i="9"/>
  <c r="AI516" i="1"/>
  <c r="AI356" i="1"/>
  <c r="Q101" i="9"/>
  <c r="K106" i="9"/>
  <c r="AC516" i="1"/>
  <c r="AC356" i="1"/>
  <c r="O477" i="1"/>
  <c r="AD477" i="1"/>
  <c r="AD480" i="1" s="1"/>
  <c r="K647" i="1"/>
  <c r="G516" i="1"/>
  <c r="G356" i="1"/>
  <c r="AJ392" i="1"/>
  <c r="AJ393" i="1"/>
  <c r="Q109" i="9"/>
  <c r="AA388" i="1"/>
  <c r="G388" i="1"/>
  <c r="G389" i="1" s="1"/>
  <c r="AF115" i="9"/>
  <c r="L115" i="9"/>
  <c r="W115" i="9"/>
  <c r="AO527" i="1"/>
  <c r="AO359" i="1"/>
  <c r="AJ106" i="9"/>
  <c r="U516" i="1"/>
  <c r="U286" i="1" s="1"/>
  <c r="U288" i="1" s="1"/>
  <c r="U356" i="1"/>
  <c r="U650" i="1"/>
  <c r="AJ647" i="1"/>
  <c r="AF516" i="1"/>
  <c r="AF356" i="1"/>
  <c r="J477" i="1"/>
  <c r="C516" i="1"/>
  <c r="C356" i="1"/>
  <c r="AL388" i="1"/>
  <c r="F388" i="1"/>
  <c r="F389" i="1" s="1"/>
  <c r="F385" i="1"/>
  <c r="AM109" i="9"/>
  <c r="AM110" i="9" s="1"/>
  <c r="W109" i="9"/>
  <c r="O516" i="1"/>
  <c r="O286" i="1" s="1"/>
  <c r="O288" i="1" s="1"/>
  <c r="O356" i="1"/>
  <c r="AC388" i="1"/>
  <c r="M388" i="1"/>
  <c r="M389" i="1" s="1"/>
  <c r="P392" i="1"/>
  <c r="P393" i="1"/>
  <c r="AD109" i="9"/>
  <c r="AD110" i="9" s="1"/>
  <c r="N109" i="9"/>
  <c r="N110" i="9" s="1"/>
  <c r="AO493" i="1"/>
  <c r="J516" i="1"/>
  <c r="J286" i="1" s="1"/>
  <c r="J288" i="1" s="1"/>
  <c r="J356" i="1"/>
  <c r="AK109" i="9"/>
  <c r="AK110" i="9" s="1"/>
  <c r="U109" i="9"/>
  <c r="U110" i="9" s="1"/>
  <c r="E110" i="9"/>
  <c r="AM388" i="1"/>
  <c r="W388" i="1"/>
  <c r="AJ109" i="9"/>
  <c r="AJ110" i="9" s="1"/>
  <c r="T109" i="9"/>
  <c r="T110" i="9" s="1"/>
  <c r="D109" i="9"/>
  <c r="D110" i="9" s="1"/>
  <c r="AB51" i="9"/>
  <c r="L51" i="9"/>
  <c r="AK42" i="9"/>
  <c r="AK65" i="9" s="1"/>
  <c r="AK216" i="1"/>
  <c r="AK217" i="1"/>
  <c r="AK640" i="1" s="1"/>
  <c r="Q42" i="9"/>
  <c r="Q216" i="1"/>
  <c r="Q217" i="1"/>
  <c r="Q640" i="1" s="1"/>
  <c r="L268" i="1"/>
  <c r="L280" i="1" s="1"/>
  <c r="L263" i="1"/>
  <c r="AK549" i="1"/>
  <c r="AB549" i="1"/>
  <c r="L96" i="1"/>
  <c r="L28" i="1"/>
  <c r="L34" i="9" s="1"/>
  <c r="Z44" i="1"/>
  <c r="Z42" i="1"/>
  <c r="AH32" i="9"/>
  <c r="AH28" i="1"/>
  <c r="AH34" i="9" s="1"/>
  <c r="AD66" i="9"/>
  <c r="AM550" i="1"/>
  <c r="AD550" i="1"/>
  <c r="AG44" i="1"/>
  <c r="AG42" i="1"/>
  <c r="AG32" i="9"/>
  <c r="AG28" i="1"/>
  <c r="AG34" i="9" s="1"/>
  <c r="AR28" i="9"/>
  <c r="AR31" i="1"/>
  <c r="AR34" i="1" s="1"/>
  <c r="AR305" i="1" s="1"/>
  <c r="AR11" i="1"/>
  <c r="AR18" i="9" s="1"/>
  <c r="AR26" i="1"/>
  <c r="AR28" i="1" s="1"/>
  <c r="AR34" i="9" s="1"/>
  <c r="X268" i="1"/>
  <c r="X280" i="1" s="1"/>
  <c r="X263" i="1"/>
  <c r="AL64" i="9"/>
  <c r="AD64" i="9"/>
  <c r="Q64" i="9"/>
  <c r="AM40" i="9"/>
  <c r="AM64" i="9" s="1"/>
  <c r="AM634" i="1"/>
  <c r="AM306" i="1"/>
  <c r="AM310" i="1" s="1"/>
  <c r="AM217" i="1"/>
  <c r="AM640" i="1" s="1"/>
  <c r="AM208" i="1"/>
  <c r="AM210" i="1" s="1"/>
  <c r="AM214" i="1"/>
  <c r="AM209" i="1"/>
  <c r="AM215" i="1"/>
  <c r="AM216" i="1"/>
  <c r="AM15" i="1"/>
  <c r="AM22" i="9" s="1"/>
  <c r="AE40" i="9"/>
  <c r="AJ120" i="9" s="1"/>
  <c r="AE634" i="1"/>
  <c r="AE549" i="1"/>
  <c r="AE306" i="1"/>
  <c r="AE310" i="1" s="1"/>
  <c r="E141" i="12" s="1"/>
  <c r="AE217" i="1"/>
  <c r="AE640" i="1" s="1"/>
  <c r="AE208" i="1"/>
  <c r="AE210" i="1" s="1"/>
  <c r="AE214" i="1"/>
  <c r="AE209" i="1"/>
  <c r="AE215" i="1"/>
  <c r="AJ15" i="1"/>
  <c r="AJ22" i="9" s="1"/>
  <c r="AE216" i="1"/>
  <c r="AE15" i="1"/>
  <c r="AE22" i="9" s="1"/>
  <c r="U40" i="9"/>
  <c r="U549" i="1"/>
  <c r="U306" i="1"/>
  <c r="U310" i="1" s="1"/>
  <c r="C141" i="12" s="1"/>
  <c r="U215" i="1"/>
  <c r="U15" i="1"/>
  <c r="U22" i="9" s="1"/>
  <c r="U208" i="1"/>
  <c r="U210" i="1" s="1"/>
  <c r="U214" i="1"/>
  <c r="U209" i="1"/>
  <c r="M40" i="9"/>
  <c r="Q549" i="1"/>
  <c r="M306" i="1"/>
  <c r="M310" i="1" s="1"/>
  <c r="M215" i="1"/>
  <c r="M15" i="1"/>
  <c r="M22" i="9" s="1"/>
  <c r="M216" i="1"/>
  <c r="M217" i="1"/>
  <c r="M640" i="1" s="1"/>
  <c r="M208" i="1"/>
  <c r="M210" i="1" s="1"/>
  <c r="M214" i="1"/>
  <c r="M209" i="1"/>
  <c r="E40" i="9"/>
  <c r="E64" i="9" s="1"/>
  <c r="E549" i="1"/>
  <c r="E306" i="1"/>
  <c r="E310" i="1" s="1"/>
  <c r="E215" i="1"/>
  <c r="E15" i="1"/>
  <c r="E22" i="9" s="1"/>
  <c r="E208" i="1"/>
  <c r="E210" i="1" s="1"/>
  <c r="E214" i="1"/>
  <c r="E209" i="1"/>
  <c r="AL268" i="1"/>
  <c r="AL280" i="1" s="1"/>
  <c r="AL263" i="1"/>
  <c r="AG268" i="1"/>
  <c r="AG280" i="1" s="1"/>
  <c r="AG263" i="1"/>
  <c r="AL320" i="1"/>
  <c r="AL311" i="1"/>
  <c r="AL218" i="1"/>
  <c r="AL643" i="1" s="1"/>
  <c r="AH320" i="1"/>
  <c r="AH311" i="1"/>
  <c r="AH218" i="1"/>
  <c r="AH643" i="1" s="1"/>
  <c r="AD320" i="1"/>
  <c r="AD311" i="1"/>
  <c r="AD218" i="1"/>
  <c r="AD643" i="1" s="1"/>
  <c r="J189" i="1"/>
  <c r="J187" i="1"/>
  <c r="O187" i="1"/>
  <c r="W211" i="1"/>
  <c r="S209" i="1"/>
  <c r="O211" i="1"/>
  <c r="K209" i="1"/>
  <c r="G211" i="1"/>
  <c r="D40" i="9"/>
  <c r="D64" i="9" s="1"/>
  <c r="D549" i="1"/>
  <c r="D306" i="1"/>
  <c r="D310" i="1" s="1"/>
  <c r="D214" i="1"/>
  <c r="D209" i="1"/>
  <c r="D215" i="1"/>
  <c r="D15" i="1"/>
  <c r="D22" i="9" s="1"/>
  <c r="D216" i="1"/>
  <c r="D217" i="1"/>
  <c r="D640" i="1" s="1"/>
  <c r="D208" i="1"/>
  <c r="D210" i="1" s="1"/>
  <c r="R96" i="1"/>
  <c r="AM44" i="1"/>
  <c r="AM42" i="1"/>
  <c r="W268" i="1"/>
  <c r="W280" i="1" s="1"/>
  <c r="W263" i="1"/>
  <c r="O268" i="1"/>
  <c r="O280" i="1" s="1"/>
  <c r="O263" i="1"/>
  <c r="G268" i="1"/>
  <c r="G280" i="1" s="1"/>
  <c r="G263" i="1"/>
  <c r="U114" i="1"/>
  <c r="M114" i="1"/>
  <c r="W28" i="1"/>
  <c r="W34" i="9" s="1"/>
  <c r="O28" i="1"/>
  <c r="O34" i="9" s="1"/>
  <c r="AA28" i="1"/>
  <c r="AA34" i="9" s="1"/>
  <c r="Z40" i="9"/>
  <c r="Z64" i="9" s="1"/>
  <c r="Z634" i="1"/>
  <c r="Z549" i="1"/>
  <c r="Z306" i="1"/>
  <c r="Z310" i="1" s="1"/>
  <c r="D141" i="12" s="1"/>
  <c r="Z216" i="1"/>
  <c r="Z15" i="1"/>
  <c r="Z22" i="9" s="1"/>
  <c r="Z217" i="1"/>
  <c r="Z640" i="1" s="1"/>
  <c r="Z208" i="1"/>
  <c r="Z210" i="1" s="1"/>
  <c r="Z214" i="1"/>
  <c r="Z209" i="1"/>
  <c r="Z215" i="1"/>
  <c r="R40" i="9"/>
  <c r="R64" i="9" s="1"/>
  <c r="V549" i="1"/>
  <c r="R306" i="1"/>
  <c r="R310" i="1" s="1"/>
  <c r="R216" i="1"/>
  <c r="R15" i="1"/>
  <c r="R22" i="9" s="1"/>
  <c r="R217" i="1"/>
  <c r="R640" i="1" s="1"/>
  <c r="R208" i="1"/>
  <c r="R210" i="1" s="1"/>
  <c r="R214" i="1"/>
  <c r="R209" i="1"/>
  <c r="R215" i="1"/>
  <c r="J40" i="9"/>
  <c r="N549" i="1"/>
  <c r="J306" i="1"/>
  <c r="J310" i="1" s="1"/>
  <c r="J216" i="1"/>
  <c r="J217" i="1"/>
  <c r="J640" i="1" s="1"/>
  <c r="J208" i="1"/>
  <c r="J210" i="1" s="1"/>
  <c r="J214" i="1"/>
  <c r="J209" i="1"/>
  <c r="J215" i="1"/>
  <c r="AE42" i="1"/>
  <c r="AE44" i="1"/>
  <c r="AN29" i="9"/>
  <c r="AS23" i="1"/>
  <c r="AO23" i="1"/>
  <c r="AN25" i="1"/>
  <c r="P28" i="1"/>
  <c r="P34" i="9" s="1"/>
  <c r="AQ609" i="1"/>
  <c r="AH516" i="1"/>
  <c r="AH356" i="1"/>
  <c r="M516" i="1"/>
  <c r="M286" i="1" s="1"/>
  <c r="M288" i="1" s="1"/>
  <c r="M356" i="1"/>
  <c r="AI477" i="1"/>
  <c r="AI480" i="1" s="1"/>
  <c r="AK388" i="1"/>
  <c r="U388" i="1"/>
  <c r="U389" i="1" s="1"/>
  <c r="U385" i="1"/>
  <c r="E388" i="1"/>
  <c r="E389" i="1" s="1"/>
  <c r="E385" i="1"/>
  <c r="S101" i="9"/>
  <c r="AT367" i="1"/>
  <c r="AT80" i="9" s="1"/>
  <c r="Z516" i="1"/>
  <c r="Z286" i="1" s="1"/>
  <c r="Z288" i="1" s="1"/>
  <c r="Z356" i="1"/>
  <c r="F516" i="1"/>
  <c r="F356" i="1"/>
  <c r="AC106" i="9"/>
  <c r="J637" i="1"/>
  <c r="P516" i="1"/>
  <c r="P356" i="1"/>
  <c r="G637" i="1"/>
  <c r="AE647" i="1"/>
  <c r="AA516" i="1"/>
  <c r="AA541" i="1" s="1"/>
  <c r="AA356" i="1"/>
  <c r="Z388" i="1"/>
  <c r="Z389" i="1" s="1"/>
  <c r="Z385" i="1"/>
  <c r="J388" i="1"/>
  <c r="J389" i="1" s="1"/>
  <c r="S109" i="9"/>
  <c r="AG388" i="1"/>
  <c r="Q388" i="1"/>
  <c r="Q389" i="1" s="1"/>
  <c r="D392" i="1"/>
  <c r="D393" i="1"/>
  <c r="AG109" i="9"/>
  <c r="AG110" i="9" s="1"/>
  <c r="P110" i="9"/>
  <c r="R115" i="9"/>
  <c r="R116" i="9" s="1"/>
  <c r="AB101" i="9"/>
  <c r="AB110" i="9" s="1"/>
  <c r="K115" i="9"/>
  <c r="AQ619" i="1"/>
  <c r="T115" i="9"/>
  <c r="P106" i="9"/>
  <c r="Z647" i="1"/>
  <c r="V516" i="1"/>
  <c r="V356" i="1"/>
  <c r="Z649" i="1"/>
  <c r="E516" i="1"/>
  <c r="E286" i="1" s="1"/>
  <c r="E288" i="1" s="1"/>
  <c r="E356" i="1"/>
  <c r="AB106" i="9"/>
  <c r="P647" i="1"/>
  <c r="L516" i="1"/>
  <c r="L356" i="1"/>
  <c r="AA106" i="9"/>
  <c r="W516" i="1"/>
  <c r="W286" i="1" s="1"/>
  <c r="W288" i="1" s="1"/>
  <c r="W356" i="1"/>
  <c r="V388" i="1"/>
  <c r="AA101" i="9"/>
  <c r="AL101" i="9"/>
  <c r="AC101" i="9"/>
  <c r="AH115" i="9"/>
  <c r="N115" i="9"/>
  <c r="Q115" i="9"/>
  <c r="Q116" i="9" s="1"/>
  <c r="AO367" i="1"/>
  <c r="AO80" i="9" s="1"/>
  <c r="AO649" i="1"/>
  <c r="AA115" i="9"/>
  <c r="AO591" i="1"/>
  <c r="AP589" i="1"/>
  <c r="U106" i="9"/>
  <c r="F637" i="1"/>
  <c r="AI106" i="9"/>
  <c r="AL516" i="1"/>
  <c r="AL356" i="1"/>
  <c r="R516" i="1"/>
  <c r="R356" i="1"/>
  <c r="AM106" i="9"/>
  <c r="S106" i="9"/>
  <c r="I105" i="9"/>
  <c r="I637" i="1"/>
  <c r="I627" i="1"/>
  <c r="E566" i="1"/>
  <c r="AK516" i="1"/>
  <c r="AK356" i="1"/>
  <c r="U647" i="1"/>
  <c r="Q516" i="1"/>
  <c r="Q541" i="1" s="1"/>
  <c r="Q356" i="1"/>
  <c r="AF541" i="1"/>
  <c r="V541" i="1"/>
  <c r="AB516" i="1"/>
  <c r="AB286" i="1" s="1"/>
  <c r="AB288" i="1" s="1"/>
  <c r="AB356" i="1"/>
  <c r="H516" i="1"/>
  <c r="H356" i="1"/>
  <c r="Y541" i="1"/>
  <c r="AM516" i="1"/>
  <c r="AM286" i="1" s="1"/>
  <c r="AM288" i="1" s="1"/>
  <c r="AM356" i="1"/>
  <c r="S516" i="1"/>
  <c r="S286" i="1" s="1"/>
  <c r="S288" i="1" s="1"/>
  <c r="S356" i="1"/>
  <c r="Y477" i="1"/>
  <c r="AH388" i="1"/>
  <c r="R388" i="1"/>
  <c r="R389" i="1" s="1"/>
  <c r="U393" i="1"/>
  <c r="E393" i="1"/>
  <c r="E392" i="1"/>
  <c r="AA109" i="9"/>
  <c r="AA110" i="9" s="1"/>
  <c r="K109" i="9"/>
  <c r="K110" i="9" s="1"/>
  <c r="Y388" i="1"/>
  <c r="I388" i="1"/>
  <c r="I389" i="1" s="1"/>
  <c r="AH109" i="9"/>
  <c r="AH110" i="9" s="1"/>
  <c r="R109" i="9"/>
  <c r="R110" i="9" s="1"/>
  <c r="AL66" i="9"/>
  <c r="Y109" i="9"/>
  <c r="Y110" i="9" s="1"/>
  <c r="AL65" i="9"/>
  <c r="AK66" i="9"/>
  <c r="AI388" i="1"/>
  <c r="S388" i="1"/>
  <c r="S389" i="1" s="1"/>
  <c r="AN108" i="9"/>
  <c r="AN109" i="9" s="1"/>
  <c r="AN8" i="9"/>
  <c r="AN633" i="1"/>
  <c r="AN378" i="1"/>
  <c r="X109" i="9"/>
  <c r="X110" i="9" s="1"/>
  <c r="X51" i="9"/>
  <c r="H51" i="9"/>
  <c r="AG42" i="9"/>
  <c r="AG65" i="9" s="1"/>
  <c r="AG216" i="1"/>
  <c r="AG217" i="1"/>
  <c r="AG640" i="1" s="1"/>
  <c r="E42" i="9"/>
  <c r="E65" i="9" s="1"/>
  <c r="E216" i="1"/>
  <c r="E217" i="1"/>
  <c r="E640" i="1" s="1"/>
  <c r="AF550" i="1"/>
  <c r="X44" i="9"/>
  <c r="X96" i="1"/>
  <c r="X28" i="1"/>
  <c r="X34" i="9" s="1"/>
  <c r="D96" i="1"/>
  <c r="D28" i="1"/>
  <c r="D34" i="9" s="1"/>
  <c r="Z32" i="9"/>
  <c r="Z28" i="1"/>
  <c r="Z34" i="9" s="1"/>
  <c r="AC44" i="1"/>
  <c r="AC42" i="1"/>
  <c r="R28" i="1"/>
  <c r="R34" i="9" s="1"/>
  <c r="AF32" i="9"/>
  <c r="AF28" i="1"/>
  <c r="AF34" i="9" s="1"/>
  <c r="AA64" i="9"/>
  <c r="AJ44" i="9"/>
  <c r="AF44" i="9"/>
  <c r="AB44" i="9"/>
  <c r="K114" i="1"/>
  <c r="AK45" i="1"/>
  <c r="AT493" i="1"/>
  <c r="P268" i="1"/>
  <c r="P280" i="1" s="1"/>
  <c r="P263" i="1"/>
  <c r="AL550" i="1"/>
  <c r="AC550" i="1"/>
  <c r="AI268" i="1"/>
  <c r="AI280" i="1" s="1"/>
  <c r="AI263" i="1"/>
  <c r="AA268" i="1"/>
  <c r="AA280" i="1" s="1"/>
  <c r="AA263" i="1"/>
  <c r="P120" i="9"/>
  <c r="P44" i="9"/>
  <c r="U268" i="1"/>
  <c r="U280" i="1" s="1"/>
  <c r="U263" i="1"/>
  <c r="M268" i="1"/>
  <c r="M280" i="1" s="1"/>
  <c r="M263" i="1"/>
  <c r="E268" i="1"/>
  <c r="E280" i="1" s="1"/>
  <c r="E282" i="1" s="1"/>
  <c r="E263" i="1"/>
  <c r="N114" i="1"/>
  <c r="F109" i="1"/>
  <c r="V96" i="1"/>
  <c r="AD268" i="1"/>
  <c r="AD280" i="1" s="1"/>
  <c r="AD263" i="1"/>
  <c r="AG41" i="9"/>
  <c r="AG64" i="9" s="1"/>
  <c r="AK550" i="1"/>
  <c r="AG208" i="1"/>
  <c r="AG210" i="1" s="1"/>
  <c r="AG209" i="1"/>
  <c r="AL549" i="1"/>
  <c r="U96" i="1"/>
  <c r="AN25" i="9"/>
  <c r="AS19" i="1"/>
  <c r="AO19" i="1"/>
  <c r="S208" i="1"/>
  <c r="S210" i="1" s="1"/>
  <c r="K208" i="1"/>
  <c r="K210" i="1" s="1"/>
  <c r="T268" i="1"/>
  <c r="T280" i="1" s="1"/>
  <c r="T263" i="1"/>
  <c r="F2" i="9"/>
  <c r="K5" i="1"/>
  <c r="G5" i="1"/>
  <c r="W40" i="9"/>
  <c r="AA549" i="1"/>
  <c r="W306" i="1"/>
  <c r="W310" i="1" s="1"/>
  <c r="W217" i="1"/>
  <c r="W640" i="1" s="1"/>
  <c r="AB15" i="1"/>
  <c r="AB22" i="9" s="1"/>
  <c r="W214" i="1"/>
  <c r="W215" i="1"/>
  <c r="W216" i="1"/>
  <c r="W15" i="1"/>
  <c r="W22" i="9" s="1"/>
  <c r="O40" i="9"/>
  <c r="S549" i="1"/>
  <c r="O306" i="1"/>
  <c r="O310" i="1" s="1"/>
  <c r="O217" i="1"/>
  <c r="O640" i="1" s="1"/>
  <c r="O214" i="1"/>
  <c r="O215" i="1"/>
  <c r="O216" i="1"/>
  <c r="O15" i="1"/>
  <c r="O22" i="9" s="1"/>
  <c r="G40" i="9"/>
  <c r="G64" i="9" s="1"/>
  <c r="J549" i="1"/>
  <c r="G306" i="1"/>
  <c r="G310" i="1" s="1"/>
  <c r="G217" i="1"/>
  <c r="G640" i="1" s="1"/>
  <c r="L15" i="1"/>
  <c r="L22" i="9" s="1"/>
  <c r="G214" i="1"/>
  <c r="G215" i="1"/>
  <c r="G216" i="1"/>
  <c r="W91" i="1"/>
  <c r="AI634" i="1"/>
  <c r="V268" i="1"/>
  <c r="V280" i="1" s="1"/>
  <c r="V263" i="1"/>
  <c r="N268" i="1"/>
  <c r="N280" i="1" s="1"/>
  <c r="N263" i="1"/>
  <c r="F268" i="1"/>
  <c r="F280" i="1" s="1"/>
  <c r="F263" i="1"/>
  <c r="AI11" i="1"/>
  <c r="AI18" i="9" s="1"/>
  <c r="AE28" i="1"/>
  <c r="AE34" i="9" s="1"/>
  <c r="Y96" i="1"/>
  <c r="H18" i="11" l="1"/>
  <c r="D138" i="12"/>
  <c r="D127" i="12"/>
  <c r="D135" i="12"/>
  <c r="D124" i="12"/>
  <c r="D129" i="12"/>
  <c r="D131" i="12" s="1"/>
  <c r="E138" i="12"/>
  <c r="E127" i="12"/>
  <c r="E124" i="12"/>
  <c r="E129" i="12"/>
  <c r="E131" i="12" s="1"/>
  <c r="E135" i="12"/>
  <c r="C127" i="11"/>
  <c r="C128" i="11" s="1"/>
  <c r="L27" i="11"/>
  <c r="C138" i="12"/>
  <c r="C124" i="12"/>
  <c r="C127" i="12"/>
  <c r="C129" i="12"/>
  <c r="C131" i="12" s="1"/>
  <c r="C135" i="12"/>
  <c r="AL110" i="9"/>
  <c r="W106" i="9"/>
  <c r="Q65" i="9"/>
  <c r="T106" i="9"/>
  <c r="T116" i="9" s="1"/>
  <c r="S110" i="9"/>
  <c r="V106" i="9"/>
  <c r="W110" i="9"/>
  <c r="F106" i="9"/>
  <c r="F116" i="9" s="1"/>
  <c r="G480" i="1"/>
  <c r="H479" i="1"/>
  <c r="AD627" i="1"/>
  <c r="AI637" i="1"/>
  <c r="AF637" i="1"/>
  <c r="AC637" i="1"/>
  <c r="AD105" i="9"/>
  <c r="AD28" i="1"/>
  <c r="AD34" i="9" s="1"/>
  <c r="O637" i="1"/>
  <c r="L637" i="1"/>
  <c r="J105" i="9"/>
  <c r="J106" i="9" s="1"/>
  <c r="J116" i="9" s="1"/>
  <c r="J627" i="1"/>
  <c r="AA544" i="1"/>
  <c r="C714" i="1"/>
  <c r="C712" i="1"/>
  <c r="A710" i="1" s="1"/>
  <c r="C713" i="1"/>
  <c r="A411" i="1"/>
  <c r="A410" i="1"/>
  <c r="A409" i="1"/>
  <c r="A408" i="1"/>
  <c r="A407" i="1"/>
  <c r="A3" i="1"/>
  <c r="E714" i="1"/>
  <c r="B726" i="1"/>
  <c r="AR4" i="9" s="1"/>
  <c r="E712" i="1"/>
  <c r="E710" i="1" s="1"/>
  <c r="D713" i="1"/>
  <c r="D714" i="1"/>
  <c r="E713" i="1"/>
  <c r="D712" i="1"/>
  <c r="D710" i="1" s="1"/>
  <c r="F712" i="1"/>
  <c r="F710" i="1" s="1"/>
  <c r="F410" i="1" s="1"/>
  <c r="F713" i="1"/>
  <c r="F714" i="1"/>
  <c r="F265" i="1"/>
  <c r="W120" i="9"/>
  <c r="W44" i="9"/>
  <c r="W66" i="9"/>
  <c r="W65" i="9"/>
  <c r="T265" i="1"/>
  <c r="AL569" i="1"/>
  <c r="AL570" i="1"/>
  <c r="AL571" i="1"/>
  <c r="E265" i="1"/>
  <c r="V284" i="1"/>
  <c r="V282" i="1"/>
  <c r="AS25" i="9"/>
  <c r="AT19" i="1"/>
  <c r="AM71" i="9"/>
  <c r="AM371" i="1"/>
  <c r="AM372" i="1" s="1"/>
  <c r="AM373" i="1" s="1"/>
  <c r="AM374" i="1" s="1"/>
  <c r="AM357" i="1"/>
  <c r="R286" i="1"/>
  <c r="R288" i="1" s="1"/>
  <c r="R541" i="1"/>
  <c r="AI116" i="9"/>
  <c r="W71" i="9"/>
  <c r="W371" i="1"/>
  <c r="W372" i="1" s="1"/>
  <c r="W373" i="1" s="1"/>
  <c r="W374" i="1" s="1"/>
  <c r="W357" i="1"/>
  <c r="P648" i="1"/>
  <c r="L286" i="1"/>
  <c r="L288" i="1" s="1"/>
  <c r="P286" i="1"/>
  <c r="P288" i="1" s="1"/>
  <c r="P541" i="1"/>
  <c r="AC116" i="9"/>
  <c r="AH71" i="9"/>
  <c r="AH357" i="1"/>
  <c r="AH371" i="1"/>
  <c r="AH372" i="1" s="1"/>
  <c r="AH373" i="1" s="1"/>
  <c r="AH374" i="1" s="1"/>
  <c r="AS29" i="9"/>
  <c r="AS25" i="1"/>
  <c r="AT23" i="1"/>
  <c r="J44" i="9"/>
  <c r="J66" i="9"/>
  <c r="J65" i="9"/>
  <c r="R320" i="1"/>
  <c r="R311" i="1"/>
  <c r="R218" i="1"/>
  <c r="Z211" i="1"/>
  <c r="G284" i="1"/>
  <c r="G282" i="1"/>
  <c r="W284" i="1"/>
  <c r="W282" i="1"/>
  <c r="D571" i="1"/>
  <c r="D564" i="1"/>
  <c r="D567" i="1" s="1"/>
  <c r="D569" i="1"/>
  <c r="D570" i="1"/>
  <c r="K211" i="1"/>
  <c r="AL59" i="9"/>
  <c r="AL391" i="1"/>
  <c r="AL219" i="1"/>
  <c r="AL265" i="1"/>
  <c r="E311" i="1"/>
  <c r="E27" i="11" s="1"/>
  <c r="E28" i="11" s="1"/>
  <c r="E320" i="1"/>
  <c r="E218" i="1"/>
  <c r="E643" i="1" s="1"/>
  <c r="M120" i="9"/>
  <c r="M44" i="9"/>
  <c r="M65" i="9"/>
  <c r="M66" i="9"/>
  <c r="U120" i="9"/>
  <c r="U44" i="9"/>
  <c r="U66" i="9"/>
  <c r="AE120" i="9"/>
  <c r="AE44" i="9"/>
  <c r="AE66" i="9"/>
  <c r="AE65" i="9"/>
  <c r="AM211" i="1"/>
  <c r="AM311" i="1"/>
  <c r="AM320" i="1"/>
  <c r="AM218" i="1"/>
  <c r="AM643" i="1" s="1"/>
  <c r="J64" i="9"/>
  <c r="AR41" i="9"/>
  <c r="L284" i="1"/>
  <c r="L282" i="1"/>
  <c r="AF71" i="9"/>
  <c r="AF371" i="1"/>
  <c r="AF372" i="1" s="1"/>
  <c r="AF373" i="1" s="1"/>
  <c r="AF374" i="1" s="1"/>
  <c r="AF357" i="1"/>
  <c r="U71" i="9"/>
  <c r="U371" i="1"/>
  <c r="U357" i="1"/>
  <c r="AO72" i="9"/>
  <c r="AO287" i="1"/>
  <c r="K648" i="1"/>
  <c r="G286" i="1"/>
  <c r="G288" i="1" s="1"/>
  <c r="AI71" i="9"/>
  <c r="AI371" i="1"/>
  <c r="AI372" i="1" s="1"/>
  <c r="AI373" i="1" s="1"/>
  <c r="AI374" i="1" s="1"/>
  <c r="AI357" i="1"/>
  <c r="F565" i="1"/>
  <c r="F566" i="1"/>
  <c r="J265" i="1"/>
  <c r="Z265" i="1"/>
  <c r="AS24" i="9"/>
  <c r="AS22" i="1"/>
  <c r="AT18" i="1"/>
  <c r="AQ39" i="1"/>
  <c r="C311" i="1"/>
  <c r="C27" i="11" s="1"/>
  <c r="C28" i="11" s="1"/>
  <c r="C320" i="1"/>
  <c r="C218" i="1"/>
  <c r="S120" i="9"/>
  <c r="S44" i="9"/>
  <c r="S65" i="9"/>
  <c r="S66" i="9"/>
  <c r="S64" i="9"/>
  <c r="Q284" i="1"/>
  <c r="Q282" i="1"/>
  <c r="AE284" i="1"/>
  <c r="AE282" i="1"/>
  <c r="AF284" i="1"/>
  <c r="AF282" i="1"/>
  <c r="AE64" i="9"/>
  <c r="X112" i="9"/>
  <c r="X328" i="1"/>
  <c r="X321" i="1"/>
  <c r="X223" i="1" s="1"/>
  <c r="X222" i="1"/>
  <c r="AG112" i="9"/>
  <c r="AG328" i="1"/>
  <c r="AG321" i="1"/>
  <c r="AG223" i="1" s="1"/>
  <c r="AG222" i="1"/>
  <c r="AK59" i="9"/>
  <c r="AK391" i="1"/>
  <c r="AK219" i="1"/>
  <c r="AE116" i="9"/>
  <c r="F564" i="1"/>
  <c r="F569" i="1"/>
  <c r="F570" i="1"/>
  <c r="F571" i="1"/>
  <c r="Y570" i="1"/>
  <c r="Y571" i="1"/>
  <c r="Y569" i="1"/>
  <c r="K265" i="1"/>
  <c r="T311" i="1"/>
  <c r="T320" i="1"/>
  <c r="T218" i="1"/>
  <c r="AC284" i="1"/>
  <c r="AC282" i="1"/>
  <c r="Q211" i="1"/>
  <c r="Y211" i="1"/>
  <c r="Y311" i="1"/>
  <c r="Y320" i="1"/>
  <c r="Y218" i="1"/>
  <c r="Y643" i="1" s="1"/>
  <c r="AD571" i="1"/>
  <c r="AD569" i="1"/>
  <c r="AD570" i="1"/>
  <c r="AI120" i="9"/>
  <c r="AI44" i="9"/>
  <c r="AI66" i="9"/>
  <c r="AI65" i="9"/>
  <c r="AB59" i="9"/>
  <c r="AB391" i="1"/>
  <c r="AB219" i="1"/>
  <c r="AP34" i="1"/>
  <c r="AP305" i="1" s="1"/>
  <c r="M64" i="9"/>
  <c r="AO108" i="9"/>
  <c r="AO109" i="9" s="1"/>
  <c r="AO8" i="9"/>
  <c r="AO633" i="1"/>
  <c r="AP380" i="1"/>
  <c r="T541" i="1"/>
  <c r="N286" i="1"/>
  <c r="N288" i="1" s="1"/>
  <c r="N541" i="1"/>
  <c r="M541" i="1"/>
  <c r="AD541" i="1"/>
  <c r="AB135" i="9"/>
  <c r="AB67" i="9"/>
  <c r="AB50" i="9"/>
  <c r="AB55" i="9" s="1"/>
  <c r="F284" i="1"/>
  <c r="F282" i="1"/>
  <c r="G311" i="1"/>
  <c r="G320" i="1"/>
  <c r="G218" i="1"/>
  <c r="O311" i="1"/>
  <c r="O320" i="1"/>
  <c r="O218" i="1"/>
  <c r="G2" i="9"/>
  <c r="H5" i="1"/>
  <c r="T284" i="1"/>
  <c r="T282" i="1"/>
  <c r="U284" i="1"/>
  <c r="U282" i="1"/>
  <c r="AA284" i="1"/>
  <c r="AA282" i="1"/>
  <c r="AB120" i="9"/>
  <c r="N265" i="1"/>
  <c r="J571" i="1"/>
  <c r="J570" i="1"/>
  <c r="J569" i="1"/>
  <c r="S570" i="1"/>
  <c r="S569" i="1"/>
  <c r="S571" i="1"/>
  <c r="W311" i="1"/>
  <c r="W320" i="1"/>
  <c r="W218" i="1"/>
  <c r="W643" i="1" s="1"/>
  <c r="K2" i="9"/>
  <c r="P5" i="1"/>
  <c r="L5" i="1"/>
  <c r="AG643" i="1"/>
  <c r="AG211" i="1"/>
  <c r="AD265" i="1"/>
  <c r="M265" i="1"/>
  <c r="P135" i="9"/>
  <c r="P67" i="9"/>
  <c r="P50" i="9"/>
  <c r="P55" i="9" s="1"/>
  <c r="AI265" i="1"/>
  <c r="P265" i="1"/>
  <c r="AF135" i="9"/>
  <c r="AF67" i="9"/>
  <c r="AF50" i="9"/>
  <c r="AF55" i="9" s="1"/>
  <c r="H71" i="9"/>
  <c r="H371" i="1"/>
  <c r="H372" i="1" s="1"/>
  <c r="H373" i="1" s="1"/>
  <c r="H374" i="1" s="1"/>
  <c r="H357" i="1"/>
  <c r="L541" i="1"/>
  <c r="AK71" i="9"/>
  <c r="AK371" i="1"/>
  <c r="AK372" i="1" s="1"/>
  <c r="AK373" i="1" s="1"/>
  <c r="AK374" i="1" s="1"/>
  <c r="AK357" i="1"/>
  <c r="S116" i="9"/>
  <c r="AL71" i="9"/>
  <c r="AL357" i="1"/>
  <c r="AL371" i="1"/>
  <c r="AL372" i="1" s="1"/>
  <c r="AL373" i="1" s="1"/>
  <c r="AL374" i="1" s="1"/>
  <c r="F71" i="9"/>
  <c r="F357" i="1"/>
  <c r="F371" i="1"/>
  <c r="AH286" i="1"/>
  <c r="AH288" i="1" s="1"/>
  <c r="AH541" i="1"/>
  <c r="J211" i="1"/>
  <c r="V569" i="1"/>
  <c r="V570" i="1"/>
  <c r="V571" i="1"/>
  <c r="Z120" i="9"/>
  <c r="Z44" i="9"/>
  <c r="Z66" i="9"/>
  <c r="Z65" i="9"/>
  <c r="O265" i="1"/>
  <c r="D211" i="1"/>
  <c r="D120" i="9"/>
  <c r="D44" i="9"/>
  <c r="D66" i="9"/>
  <c r="D65" i="9"/>
  <c r="AH59" i="9"/>
  <c r="AH391" i="1"/>
  <c r="AH219" i="1"/>
  <c r="AL112" i="9"/>
  <c r="AL328" i="1"/>
  <c r="AL321" i="1"/>
  <c r="AL223" i="1" s="1"/>
  <c r="AL222" i="1"/>
  <c r="AL284" i="1"/>
  <c r="AL282" i="1"/>
  <c r="E570" i="1"/>
  <c r="E571" i="1"/>
  <c r="E564" i="1"/>
  <c r="E567" i="1" s="1"/>
  <c r="E569" i="1"/>
  <c r="U211" i="1"/>
  <c r="AE211" i="1"/>
  <c r="AE311" i="1"/>
  <c r="K27" i="11" s="1"/>
  <c r="AE320" i="1"/>
  <c r="E149" i="12" s="1"/>
  <c r="AE218" i="1"/>
  <c r="AE643" i="1" s="1"/>
  <c r="AR39" i="1"/>
  <c r="O71" i="9"/>
  <c r="O371" i="1"/>
  <c r="O372" i="1" s="1"/>
  <c r="O373" i="1" s="1"/>
  <c r="O374" i="1" s="1"/>
  <c r="O357" i="1"/>
  <c r="C71" i="9"/>
  <c r="C371" i="1"/>
  <c r="C357" i="1"/>
  <c r="AJ648" i="1"/>
  <c r="AF286" i="1"/>
  <c r="AF288" i="1" s="1"/>
  <c r="Q110" i="9"/>
  <c r="K116" i="9"/>
  <c r="AI286" i="1"/>
  <c r="AI288" i="1" s="1"/>
  <c r="AI541" i="1"/>
  <c r="T71" i="9"/>
  <c r="T371" i="1"/>
  <c r="T372" i="1" s="1"/>
  <c r="T373" i="1" s="1"/>
  <c r="T374" i="1" s="1"/>
  <c r="T357" i="1"/>
  <c r="AG71" i="9"/>
  <c r="AG371" i="1"/>
  <c r="AG372" i="1" s="1"/>
  <c r="AG373" i="1" s="1"/>
  <c r="AG374" i="1" s="1"/>
  <c r="AG357" i="1"/>
  <c r="G1" i="9"/>
  <c r="G713" i="1"/>
  <c r="G3" i="1"/>
  <c r="G687" i="1" s="1"/>
  <c r="G712" i="1" s="1"/>
  <c r="G710" i="1" s="1"/>
  <c r="G410" i="1" s="1"/>
  <c r="H4" i="1"/>
  <c r="J284" i="1"/>
  <c r="J282" i="1"/>
  <c r="Z284" i="1"/>
  <c r="Z282" i="1"/>
  <c r="AI42" i="1"/>
  <c r="C569" i="1"/>
  <c r="C570" i="1"/>
  <c r="C571" i="1"/>
  <c r="K311" i="1"/>
  <c r="G27" i="11" s="1"/>
  <c r="G28" i="11" s="1"/>
  <c r="K320" i="1"/>
  <c r="K218" i="1"/>
  <c r="K643" i="1" s="1"/>
  <c r="W64" i="9"/>
  <c r="AH135" i="9"/>
  <c r="AH67" i="9"/>
  <c r="AH50" i="9"/>
  <c r="AH55" i="9" s="1"/>
  <c r="AC211" i="1"/>
  <c r="AK643" i="1"/>
  <c r="AK211" i="1"/>
  <c r="I265" i="1"/>
  <c r="Y265" i="1"/>
  <c r="AM265" i="1"/>
  <c r="X59" i="9"/>
  <c r="X391" i="1"/>
  <c r="X219" i="1"/>
  <c r="AG59" i="9"/>
  <c r="AG391" i="1"/>
  <c r="AG219" i="1"/>
  <c r="AB265" i="1"/>
  <c r="U65" i="9"/>
  <c r="E116" i="9"/>
  <c r="F211" i="1"/>
  <c r="F120" i="9"/>
  <c r="F44" i="9"/>
  <c r="F65" i="9"/>
  <c r="F66" i="9"/>
  <c r="N320" i="1"/>
  <c r="N311" i="1"/>
  <c r="N218" i="1"/>
  <c r="V211" i="1"/>
  <c r="V120" i="9"/>
  <c r="V44" i="9"/>
  <c r="V65" i="9"/>
  <c r="V66" i="9"/>
  <c r="K284" i="1"/>
  <c r="K282" i="1"/>
  <c r="X571" i="1"/>
  <c r="X569" i="1"/>
  <c r="X570" i="1"/>
  <c r="AS27" i="9"/>
  <c r="AT21" i="1"/>
  <c r="AD135" i="9"/>
  <c r="AD67" i="9"/>
  <c r="AD50" i="9"/>
  <c r="AD55" i="9" s="1"/>
  <c r="AK265" i="1"/>
  <c r="I311" i="1"/>
  <c r="I320" i="1"/>
  <c r="I218" i="1"/>
  <c r="I643" i="1" s="1"/>
  <c r="Q311" i="1"/>
  <c r="Q320" i="1"/>
  <c r="Q218" i="1"/>
  <c r="Q643" i="1" s="1"/>
  <c r="AC569" i="1"/>
  <c r="AC571" i="1"/>
  <c r="AC570" i="1"/>
  <c r="F64" i="9"/>
  <c r="AJ112" i="9"/>
  <c r="AJ113" i="9" s="1"/>
  <c r="AJ328" i="1"/>
  <c r="AJ321" i="1"/>
  <c r="AJ223" i="1" s="1"/>
  <c r="AJ222" i="1"/>
  <c r="AC44" i="9"/>
  <c r="AK44" i="9"/>
  <c r="AJ265" i="1"/>
  <c r="AP612" i="1"/>
  <c r="AP615" i="1" s="1"/>
  <c r="AQ379" i="1"/>
  <c r="AE71" i="9"/>
  <c r="AE371" i="1"/>
  <c r="AE357" i="1"/>
  <c r="AE393" i="1"/>
  <c r="AP586" i="1"/>
  <c r="C64" i="9"/>
  <c r="W541" i="1"/>
  <c r="V635" i="1" s="1"/>
  <c r="D541" i="1"/>
  <c r="Y116" i="9"/>
  <c r="P311" i="1"/>
  <c r="H27" i="11" s="1"/>
  <c r="H28" i="11" s="1"/>
  <c r="P320" i="1"/>
  <c r="B149" i="12" s="1"/>
  <c r="P218" i="1"/>
  <c r="P643" i="1" s="1"/>
  <c r="I479" i="1"/>
  <c r="H480" i="1"/>
  <c r="V265" i="1"/>
  <c r="N284" i="1"/>
  <c r="N282" i="1"/>
  <c r="G44" i="9"/>
  <c r="G66" i="9"/>
  <c r="G65" i="9"/>
  <c r="O120" i="9"/>
  <c r="O44" i="9"/>
  <c r="O66" i="9"/>
  <c r="O65" i="9"/>
  <c r="AA571" i="1"/>
  <c r="AA569" i="1"/>
  <c r="AA570" i="1"/>
  <c r="AD284" i="1"/>
  <c r="AD282" i="1"/>
  <c r="M284" i="1"/>
  <c r="M282" i="1"/>
  <c r="AI284" i="1"/>
  <c r="AI282" i="1"/>
  <c r="P284" i="1"/>
  <c r="P282" i="1"/>
  <c r="X135" i="9"/>
  <c r="X67" i="9"/>
  <c r="X50" i="9"/>
  <c r="X55" i="9" s="1"/>
  <c r="S71" i="9"/>
  <c r="S371" i="1"/>
  <c r="S372" i="1" s="1"/>
  <c r="S373" i="1" s="1"/>
  <c r="S374" i="1" s="1"/>
  <c r="S357" i="1"/>
  <c r="L106" i="9"/>
  <c r="H286" i="1"/>
  <c r="H288" i="1" s="1"/>
  <c r="H541" i="1"/>
  <c r="Q71" i="9"/>
  <c r="Q371" i="1"/>
  <c r="Q372" i="1" s="1"/>
  <c r="Q373" i="1" s="1"/>
  <c r="Q374" i="1" s="1"/>
  <c r="Q357" i="1"/>
  <c r="AK286" i="1"/>
  <c r="AK288" i="1" s="1"/>
  <c r="AK541" i="1"/>
  <c r="AM116" i="9"/>
  <c r="AL286" i="1"/>
  <c r="AL288" i="1" s="1"/>
  <c r="AL541" i="1"/>
  <c r="U116" i="9"/>
  <c r="AA116" i="9"/>
  <c r="AB116" i="9"/>
  <c r="V71" i="9"/>
  <c r="V357" i="1"/>
  <c r="V371" i="1"/>
  <c r="V372" i="1" s="1"/>
  <c r="V373" i="1" s="1"/>
  <c r="V374" i="1" s="1"/>
  <c r="AR619" i="1"/>
  <c r="AA71" i="9"/>
  <c r="AA371" i="1"/>
  <c r="AA372" i="1" s="1"/>
  <c r="AA373" i="1" s="1"/>
  <c r="AA374" i="1" s="1"/>
  <c r="AA357" i="1"/>
  <c r="V116" i="9"/>
  <c r="W116" i="9"/>
  <c r="F286" i="1"/>
  <c r="F288" i="1" s="1"/>
  <c r="F541" i="1"/>
  <c r="M71" i="9"/>
  <c r="M371" i="1"/>
  <c r="M372" i="1" s="1"/>
  <c r="M373" i="1" s="1"/>
  <c r="M374" i="1" s="1"/>
  <c r="M357" i="1"/>
  <c r="AR609" i="1"/>
  <c r="AN31" i="9"/>
  <c r="AN14" i="1"/>
  <c r="AN21" i="9" s="1"/>
  <c r="AN32" i="1"/>
  <c r="AO32" i="1" s="1"/>
  <c r="AN40" i="1"/>
  <c r="J320" i="1"/>
  <c r="J311" i="1"/>
  <c r="J218" i="1"/>
  <c r="J643" i="1" s="1"/>
  <c r="R643" i="1"/>
  <c r="R211" i="1"/>
  <c r="R120" i="9"/>
  <c r="R44" i="9"/>
  <c r="R65" i="9"/>
  <c r="R66" i="9"/>
  <c r="Z320" i="1"/>
  <c r="D149" i="12" s="1"/>
  <c r="Z311" i="1"/>
  <c r="J27" i="11" s="1"/>
  <c r="J28" i="11" s="1"/>
  <c r="Z218" i="1"/>
  <c r="Z643" i="1" s="1"/>
  <c r="O284" i="1"/>
  <c r="O282" i="1"/>
  <c r="O643" i="1"/>
  <c r="AD59" i="9"/>
  <c r="AD391" i="1"/>
  <c r="AD219" i="1"/>
  <c r="AH112" i="9"/>
  <c r="AH328" i="1"/>
  <c r="AH321" i="1"/>
  <c r="AH223" i="1" s="1"/>
  <c r="AH222" i="1"/>
  <c r="AG265" i="1"/>
  <c r="E120" i="9"/>
  <c r="E44" i="9"/>
  <c r="E66" i="9"/>
  <c r="M311" i="1"/>
  <c r="M320" i="1"/>
  <c r="M218" i="1"/>
  <c r="U311" i="1"/>
  <c r="I27" i="11" s="1"/>
  <c r="I28" i="11" s="1"/>
  <c r="U320" i="1"/>
  <c r="C149" i="12" s="1"/>
  <c r="U218" i="1"/>
  <c r="U643" i="1" s="1"/>
  <c r="AE570" i="1"/>
  <c r="AE571" i="1"/>
  <c r="AE569" i="1"/>
  <c r="X265" i="1"/>
  <c r="AR32" i="9"/>
  <c r="AR302" i="1"/>
  <c r="AB570" i="1"/>
  <c r="AB571" i="1"/>
  <c r="AB569" i="1"/>
  <c r="U64" i="9"/>
  <c r="C286" i="1"/>
  <c r="C288" i="1" s="1"/>
  <c r="C541" i="1"/>
  <c r="AO639" i="1"/>
  <c r="AC71" i="9"/>
  <c r="AC371" i="1"/>
  <c r="AC372" i="1" s="1"/>
  <c r="AC373" i="1" s="1"/>
  <c r="AC374" i="1" s="1"/>
  <c r="AC357" i="1"/>
  <c r="AG286" i="1"/>
  <c r="AG288" i="1" s="1"/>
  <c r="AG541" i="1"/>
  <c r="F705" i="1"/>
  <c r="F703" i="1" s="1"/>
  <c r="F707" i="1"/>
  <c r="F700" i="1"/>
  <c r="F698" i="1"/>
  <c r="F696" i="1" s="1"/>
  <c r="F408" i="1" s="1"/>
  <c r="F691" i="1"/>
  <c r="F689" i="1" s="1"/>
  <c r="F407" i="1" s="1"/>
  <c r="F693" i="1"/>
  <c r="R265" i="1"/>
  <c r="AN28" i="9"/>
  <c r="AN31" i="1"/>
  <c r="AN11" i="1"/>
  <c r="AN18" i="9" s="1"/>
  <c r="AN26" i="1"/>
  <c r="AN28" i="1" s="1"/>
  <c r="AN34" i="9" s="1"/>
  <c r="AQ41" i="9"/>
  <c r="C44" i="9"/>
  <c r="C65" i="9"/>
  <c r="C66" i="9"/>
  <c r="K571" i="1"/>
  <c r="K569" i="1"/>
  <c r="K570" i="1"/>
  <c r="S311" i="1"/>
  <c r="S320" i="1"/>
  <c r="S218" i="1"/>
  <c r="S643" i="1" s="1"/>
  <c r="I284" i="1"/>
  <c r="I282" i="1"/>
  <c r="Y284" i="1"/>
  <c r="Y282" i="1"/>
  <c r="AM284" i="1"/>
  <c r="AM282" i="1"/>
  <c r="AD44" i="1"/>
  <c r="AD42" i="1"/>
  <c r="AC311" i="1"/>
  <c r="AC320" i="1"/>
  <c r="AC218" i="1"/>
  <c r="AC643" i="1" s="1"/>
  <c r="AB284" i="1"/>
  <c r="AB282" i="1"/>
  <c r="AJ71" i="9"/>
  <c r="AJ371" i="1"/>
  <c r="AJ357" i="1"/>
  <c r="I71" i="9"/>
  <c r="I371" i="1"/>
  <c r="I372" i="1" s="1"/>
  <c r="I373" i="1" s="1"/>
  <c r="I374" i="1" s="1"/>
  <c r="I357" i="1"/>
  <c r="R570" i="1"/>
  <c r="R571" i="1"/>
  <c r="R569" i="1"/>
  <c r="AS26" i="9"/>
  <c r="AT20" i="1"/>
  <c r="C265" i="1"/>
  <c r="S265" i="1"/>
  <c r="AO30" i="9"/>
  <c r="AO13" i="1"/>
  <c r="AO20" i="9" s="1"/>
  <c r="T643" i="1"/>
  <c r="T211" i="1"/>
  <c r="T120" i="9"/>
  <c r="T44" i="9"/>
  <c r="T65" i="9"/>
  <c r="T66" i="9"/>
  <c r="D409" i="1"/>
  <c r="D411" i="1" s="1"/>
  <c r="AO27" i="9"/>
  <c r="AO10" i="1"/>
  <c r="AO17" i="9" s="1"/>
  <c r="AK280" i="1"/>
  <c r="M569" i="1"/>
  <c r="M570" i="1"/>
  <c r="M571" i="1"/>
  <c r="T571" i="1"/>
  <c r="T569" i="1"/>
  <c r="T570" i="1"/>
  <c r="Y120" i="9"/>
  <c r="Y44" i="9"/>
  <c r="Y65" i="9"/>
  <c r="Y66" i="9"/>
  <c r="AA120" i="9"/>
  <c r="AA44" i="9"/>
  <c r="AA66" i="9"/>
  <c r="AA65" i="9"/>
  <c r="AI211" i="1"/>
  <c r="AI311" i="1"/>
  <c r="AI320" i="1"/>
  <c r="AI218" i="1"/>
  <c r="AI643" i="1" s="1"/>
  <c r="H265" i="1"/>
  <c r="AF112" i="9"/>
  <c r="AF328" i="1"/>
  <c r="AF321" i="1"/>
  <c r="AF223" i="1" s="1"/>
  <c r="AF222" i="1"/>
  <c r="AJ59" i="9"/>
  <c r="AJ391" i="1"/>
  <c r="AJ219" i="1"/>
  <c r="AP32" i="9"/>
  <c r="AP302" i="1"/>
  <c r="AJ284" i="1"/>
  <c r="AJ282" i="1"/>
  <c r="Y71" i="9"/>
  <c r="Y371" i="1"/>
  <c r="Y372" i="1" s="1"/>
  <c r="Y373" i="1" s="1"/>
  <c r="Y374" i="1" s="1"/>
  <c r="Y357" i="1"/>
  <c r="AD71" i="9"/>
  <c r="AD357" i="1"/>
  <c r="AD371" i="1"/>
  <c r="AD372" i="1" s="1"/>
  <c r="AD373" i="1" s="1"/>
  <c r="AD374" i="1" s="1"/>
  <c r="C643" i="1"/>
  <c r="C211" i="1"/>
  <c r="O541" i="1"/>
  <c r="X541" i="1"/>
  <c r="E409" i="1"/>
  <c r="E411" i="1" s="1"/>
  <c r="Z541" i="1"/>
  <c r="K541" i="1"/>
  <c r="K635" i="1" s="1"/>
  <c r="J541" i="1"/>
  <c r="S541" i="1"/>
  <c r="S635" i="1" s="1"/>
  <c r="AO25" i="9"/>
  <c r="AO8" i="1"/>
  <c r="AO15" i="9" s="1"/>
  <c r="U265" i="1"/>
  <c r="AA265" i="1"/>
  <c r="AJ135" i="9"/>
  <c r="AJ67" i="9"/>
  <c r="AJ50" i="9"/>
  <c r="AJ55" i="9" s="1"/>
  <c r="AB71" i="9"/>
  <c r="AB371" i="1"/>
  <c r="AB372" i="1" s="1"/>
  <c r="AB373" i="1" s="1"/>
  <c r="AB374" i="1" s="1"/>
  <c r="AB357" i="1"/>
  <c r="AF635" i="1"/>
  <c r="U648" i="1"/>
  <c r="Q286" i="1"/>
  <c r="Q288" i="1" s="1"/>
  <c r="R71" i="9"/>
  <c r="R357" i="1"/>
  <c r="R371" i="1"/>
  <c r="R372" i="1" s="1"/>
  <c r="R373" i="1" s="1"/>
  <c r="R374" i="1" s="1"/>
  <c r="AQ589" i="1"/>
  <c r="AP591" i="1"/>
  <c r="L71" i="9"/>
  <c r="L371" i="1"/>
  <c r="L372" i="1" s="1"/>
  <c r="L373" i="1" s="1"/>
  <c r="L374" i="1" s="1"/>
  <c r="L357" i="1"/>
  <c r="E71" i="9"/>
  <c r="E371" i="1"/>
  <c r="E357" i="1"/>
  <c r="Z648" i="1"/>
  <c r="V286" i="1"/>
  <c r="V288" i="1" s="1"/>
  <c r="P116" i="9"/>
  <c r="AE648" i="1"/>
  <c r="AA286" i="1"/>
  <c r="AA288" i="1" s="1"/>
  <c r="P71" i="9"/>
  <c r="P371" i="1"/>
  <c r="P357" i="1"/>
  <c r="Z71" i="9"/>
  <c r="Z357" i="1"/>
  <c r="Z371" i="1"/>
  <c r="AO29" i="9"/>
  <c r="AO25" i="1"/>
  <c r="AO12" i="1"/>
  <c r="AO19" i="9" s="1"/>
  <c r="N571" i="1"/>
  <c r="N569" i="1"/>
  <c r="N570" i="1"/>
  <c r="Z571" i="1"/>
  <c r="Z569" i="1"/>
  <c r="Z570" i="1"/>
  <c r="G265" i="1"/>
  <c r="W265" i="1"/>
  <c r="D311" i="1"/>
  <c r="D27" i="11" s="1"/>
  <c r="D28" i="11" s="1"/>
  <c r="D320" i="1"/>
  <c r="D218" i="1"/>
  <c r="D643" i="1" s="1"/>
  <c r="G643" i="1"/>
  <c r="S211" i="1"/>
  <c r="AD112" i="9"/>
  <c r="AD328" i="1"/>
  <c r="AD321" i="1"/>
  <c r="AD223" i="1" s="1"/>
  <c r="AD222" i="1"/>
  <c r="AG284" i="1"/>
  <c r="AG282" i="1"/>
  <c r="E211" i="1"/>
  <c r="M643" i="1"/>
  <c r="M211" i="1"/>
  <c r="Q571" i="1"/>
  <c r="Q569" i="1"/>
  <c r="Q570" i="1"/>
  <c r="U570" i="1"/>
  <c r="U571" i="1"/>
  <c r="U569" i="1"/>
  <c r="AM120" i="9"/>
  <c r="AM44" i="9"/>
  <c r="AM65" i="9"/>
  <c r="AM66" i="9"/>
  <c r="X284" i="1"/>
  <c r="X282" i="1"/>
  <c r="L120" i="9"/>
  <c r="AK570" i="1"/>
  <c r="AK571" i="1"/>
  <c r="AK569" i="1"/>
  <c r="L265" i="1"/>
  <c r="J71" i="9"/>
  <c r="J357" i="1"/>
  <c r="J371" i="1"/>
  <c r="J372" i="1" s="1"/>
  <c r="J373" i="1" s="1"/>
  <c r="J374" i="1" s="1"/>
  <c r="AJ116" i="9"/>
  <c r="G71" i="9"/>
  <c r="G371" i="1"/>
  <c r="G372" i="1" s="1"/>
  <c r="G373" i="1" s="1"/>
  <c r="G374" i="1" s="1"/>
  <c r="G357" i="1"/>
  <c r="G541" i="1"/>
  <c r="AC286" i="1"/>
  <c r="AC288" i="1" s="1"/>
  <c r="AC541" i="1"/>
  <c r="K71" i="9"/>
  <c r="K371" i="1"/>
  <c r="K357" i="1"/>
  <c r="R284" i="1"/>
  <c r="R282" i="1"/>
  <c r="AO24" i="9"/>
  <c r="AO22" i="1"/>
  <c r="AO7" i="1"/>
  <c r="AO14" i="9" s="1"/>
  <c r="AQ32" i="9"/>
  <c r="AQ302" i="1"/>
  <c r="AQ28" i="1"/>
  <c r="AQ34" i="9" s="1"/>
  <c r="K120" i="9"/>
  <c r="K44" i="9"/>
  <c r="K66" i="9"/>
  <c r="K65" i="9"/>
  <c r="W569" i="1"/>
  <c r="W570" i="1"/>
  <c r="W571" i="1"/>
  <c r="D265" i="1"/>
  <c r="O64" i="9"/>
  <c r="AL135" i="9"/>
  <c r="AL67" i="9"/>
  <c r="AL50" i="9"/>
  <c r="AL55" i="9" s="1"/>
  <c r="Q265" i="1"/>
  <c r="AE265" i="1"/>
  <c r="AF265" i="1"/>
  <c r="AK112" i="9"/>
  <c r="AK328" i="1"/>
  <c r="AK321" i="1"/>
  <c r="AK222" i="1"/>
  <c r="AJ286" i="1"/>
  <c r="AJ288" i="1" s="1"/>
  <c r="AJ541" i="1"/>
  <c r="I286" i="1"/>
  <c r="I288" i="1" s="1"/>
  <c r="I541" i="1"/>
  <c r="I635" i="1" s="1"/>
  <c r="AC110" i="9"/>
  <c r="X71" i="9"/>
  <c r="X371" i="1"/>
  <c r="X372" i="1" s="1"/>
  <c r="X373" i="1" s="1"/>
  <c r="X374" i="1" s="1"/>
  <c r="X357" i="1"/>
  <c r="F320" i="1"/>
  <c r="F311" i="1"/>
  <c r="F27" i="11" s="1"/>
  <c r="F28" i="11" s="1"/>
  <c r="F218" i="1"/>
  <c r="F643" i="1" s="1"/>
  <c r="N643" i="1"/>
  <c r="N211" i="1"/>
  <c r="N120" i="9"/>
  <c r="N44" i="9"/>
  <c r="N65" i="9"/>
  <c r="N66" i="9"/>
  <c r="V320" i="1"/>
  <c r="V311" i="1"/>
  <c r="V218" i="1"/>
  <c r="V643" i="1" s="1"/>
  <c r="AO26" i="9"/>
  <c r="AO9" i="1"/>
  <c r="AO16" i="9" s="1"/>
  <c r="S284" i="1"/>
  <c r="S282" i="1"/>
  <c r="AS30" i="9"/>
  <c r="AT24" i="1"/>
  <c r="AC265" i="1"/>
  <c r="I211" i="1"/>
  <c r="I44" i="9"/>
  <c r="I65" i="9"/>
  <c r="I66" i="9"/>
  <c r="Q120" i="9"/>
  <c r="Q44" i="9"/>
  <c r="Q66" i="9"/>
  <c r="AA211" i="1"/>
  <c r="AA311" i="1"/>
  <c r="AA320" i="1"/>
  <c r="AA218" i="1"/>
  <c r="AA643" i="1" s="1"/>
  <c r="AM569" i="1"/>
  <c r="AM570" i="1"/>
  <c r="AM571" i="1"/>
  <c r="V64" i="9"/>
  <c r="H284" i="1"/>
  <c r="H282" i="1"/>
  <c r="AV411" i="1"/>
  <c r="AR411" i="1"/>
  <c r="AN411" i="1"/>
  <c r="AU411" i="1"/>
  <c r="AQ411" i="1"/>
  <c r="AT411" i="1"/>
  <c r="AP411" i="1"/>
  <c r="AW411" i="1"/>
  <c r="AS411" i="1"/>
  <c r="AO411" i="1"/>
  <c r="AB112" i="9"/>
  <c r="AB328" i="1"/>
  <c r="AB321" i="1"/>
  <c r="AB223" i="1" s="1"/>
  <c r="AB222" i="1"/>
  <c r="AF59" i="9"/>
  <c r="AF391" i="1"/>
  <c r="AF219" i="1"/>
  <c r="AP39" i="1"/>
  <c r="AP45" i="1"/>
  <c r="AG44" i="9"/>
  <c r="L41" i="9"/>
  <c r="O550" i="1"/>
  <c r="L209" i="1"/>
  <c r="L208" i="1"/>
  <c r="L210" i="1" s="1"/>
  <c r="M550" i="1"/>
  <c r="N550" i="1"/>
  <c r="L306" i="1"/>
  <c r="L310" i="1" s="1"/>
  <c r="D71" i="9"/>
  <c r="D371" i="1"/>
  <c r="D357" i="1"/>
  <c r="N71" i="9"/>
  <c r="N357" i="1"/>
  <c r="N371" i="1"/>
  <c r="N372" i="1" s="1"/>
  <c r="N373" i="1" s="1"/>
  <c r="N374" i="1" s="1"/>
  <c r="E541" i="1"/>
  <c r="E635" i="1" s="1"/>
  <c r="H41" i="9"/>
  <c r="L550" i="1"/>
  <c r="H209" i="1"/>
  <c r="H208" i="1"/>
  <c r="H210" i="1" s="1"/>
  <c r="J550" i="1"/>
  <c r="H306" i="1"/>
  <c r="H310" i="1" s="1"/>
  <c r="AB541" i="1"/>
  <c r="AB635" i="1" s="1"/>
  <c r="AE541" i="1"/>
  <c r="P211" i="1"/>
  <c r="U541" i="1"/>
  <c r="U635" i="1" s="1"/>
  <c r="AM541" i="1"/>
  <c r="K28" i="11" l="1"/>
  <c r="E36" i="11"/>
  <c r="C36" i="11"/>
  <c r="L28" i="11"/>
  <c r="D36" i="11"/>
  <c r="I14" i="11"/>
  <c r="I18" i="11"/>
  <c r="AJ117" i="9"/>
  <c r="AN4" i="9"/>
  <c r="AU4" i="9"/>
  <c r="AT4" i="9"/>
  <c r="AV4" i="9"/>
  <c r="AP4" i="9"/>
  <c r="AO4" i="9"/>
  <c r="AS4" i="9"/>
  <c r="AW4" i="9"/>
  <c r="AQ4" i="9"/>
  <c r="Q635" i="1"/>
  <c r="AD106" i="9"/>
  <c r="AD116" i="9" s="1"/>
  <c r="AF106" i="9"/>
  <c r="AF116" i="9" s="1"/>
  <c r="AH106" i="9"/>
  <c r="AH116" i="9" s="1"/>
  <c r="AG106" i="9"/>
  <c r="AG116" i="9" s="1"/>
  <c r="X635" i="1"/>
  <c r="M106" i="9"/>
  <c r="M116" i="9" s="1"/>
  <c r="N106" i="9"/>
  <c r="N116" i="9" s="1"/>
  <c r="C710" i="1"/>
  <c r="C4" i="9" s="1"/>
  <c r="D410" i="1"/>
  <c r="D396" i="1" s="1"/>
  <c r="D4" i="9"/>
  <c r="D6" i="9" s="1"/>
  <c r="D11" i="9" s="1"/>
  <c r="E410" i="1"/>
  <c r="E4" i="9"/>
  <c r="L64" i="9"/>
  <c r="L44" i="9"/>
  <c r="AP44" i="1"/>
  <c r="AP42" i="1"/>
  <c r="AG135" i="9"/>
  <c r="AG67" i="9"/>
  <c r="AG50" i="9"/>
  <c r="AG55" i="9" s="1"/>
  <c r="Q135" i="9"/>
  <c r="Q67" i="9"/>
  <c r="Q50" i="9"/>
  <c r="Q55" i="9" s="1"/>
  <c r="H211" i="1"/>
  <c r="D372" i="1"/>
  <c r="D373" i="1" s="1"/>
  <c r="D374" i="1" s="1"/>
  <c r="AF136" i="9"/>
  <c r="AF68" i="9"/>
  <c r="F112" i="9"/>
  <c r="F113" i="9" s="1"/>
  <c r="F328" i="1"/>
  <c r="F321" i="1"/>
  <c r="F223" i="1" s="1"/>
  <c r="F222" i="1"/>
  <c r="AQ40" i="9"/>
  <c r="AQ308" i="1"/>
  <c r="AQ309" i="1"/>
  <c r="AQ306" i="1"/>
  <c r="AQ15" i="1"/>
  <c r="AQ22" i="9" s="1"/>
  <c r="AQ634" i="1"/>
  <c r="D59" i="9"/>
  <c r="D391" i="1"/>
  <c r="D219" i="1"/>
  <c r="P123" i="9"/>
  <c r="P95" i="9"/>
  <c r="P92" i="9" s="1"/>
  <c r="P84" i="9"/>
  <c r="P73" i="9"/>
  <c r="E123" i="9"/>
  <c r="E84" i="9"/>
  <c r="E95" i="9"/>
  <c r="E92" i="9" s="1"/>
  <c r="E73" i="9"/>
  <c r="AB123" i="9"/>
  <c r="AB95" i="9"/>
  <c r="AB92" i="9" s="1"/>
  <c r="AB84" i="9"/>
  <c r="AB73" i="9"/>
  <c r="Y123" i="9"/>
  <c r="Y95" i="9"/>
  <c r="Y92" i="9" s="1"/>
  <c r="Y84" i="9"/>
  <c r="Y73" i="9"/>
  <c r="AI59" i="9"/>
  <c r="AK94" i="9" s="1"/>
  <c r="AK91" i="9" s="1"/>
  <c r="AI391" i="1"/>
  <c r="AI219" i="1"/>
  <c r="AK284" i="1"/>
  <c r="AK282" i="1"/>
  <c r="AJ372" i="1"/>
  <c r="AJ373" i="1" s="1"/>
  <c r="AJ374" i="1" s="1"/>
  <c r="AQ64" i="9"/>
  <c r="AC123" i="9"/>
  <c r="AC95" i="9"/>
  <c r="AC92" i="9" s="1"/>
  <c r="AC84" i="9"/>
  <c r="AC73" i="9"/>
  <c r="AR40" i="9"/>
  <c r="AR309" i="1"/>
  <c r="AR306" i="1"/>
  <c r="AR308" i="1"/>
  <c r="AR15" i="1"/>
  <c r="AR22" i="9" s="1"/>
  <c r="AR634" i="1"/>
  <c r="M112" i="9"/>
  <c r="M328" i="1"/>
  <c r="M321" i="1"/>
  <c r="M223" i="1" s="1"/>
  <c r="M222" i="1"/>
  <c r="J112" i="9"/>
  <c r="J328" i="1"/>
  <c r="J321" i="1"/>
  <c r="J223" i="1" s="1"/>
  <c r="J222" i="1"/>
  <c r="X103" i="9"/>
  <c r="X56" i="9"/>
  <c r="AQ586" i="1"/>
  <c r="AE372" i="1"/>
  <c r="AE373" i="1" s="1"/>
  <c r="AE374" i="1" s="1"/>
  <c r="Q59" i="9"/>
  <c r="Q391" i="1"/>
  <c r="Q219" i="1"/>
  <c r="N59" i="9"/>
  <c r="N391" i="1"/>
  <c r="N219" i="1"/>
  <c r="F135" i="9"/>
  <c r="F67" i="9"/>
  <c r="F50" i="9"/>
  <c r="F55" i="9" s="1"/>
  <c r="AG136" i="9"/>
  <c r="AG121" i="9"/>
  <c r="AG68" i="9"/>
  <c r="K59" i="9"/>
  <c r="K391" i="1"/>
  <c r="K219" i="1"/>
  <c r="AG123" i="9"/>
  <c r="AG95" i="9"/>
  <c r="AG92" i="9" s="1"/>
  <c r="AG84" i="9"/>
  <c r="AG73" i="9"/>
  <c r="C84" i="9"/>
  <c r="C95" i="9"/>
  <c r="C92" i="9" s="1"/>
  <c r="C73" i="9"/>
  <c r="AR42" i="1"/>
  <c r="AR44" i="1"/>
  <c r="AL341" i="1"/>
  <c r="AL332" i="1"/>
  <c r="AL343" i="1"/>
  <c r="AL344" i="1"/>
  <c r="AH136" i="9"/>
  <c r="AH94" i="9"/>
  <c r="AH91" i="9" s="1"/>
  <c r="AH68" i="9"/>
  <c r="D135" i="9"/>
  <c r="D67" i="9"/>
  <c r="D50" i="9"/>
  <c r="D55" i="9" s="1"/>
  <c r="Z135" i="9"/>
  <c r="Z67" i="9"/>
  <c r="Z50" i="9"/>
  <c r="Z55" i="9" s="1"/>
  <c r="AH635" i="1"/>
  <c r="F123" i="9"/>
  <c r="F95" i="9"/>
  <c r="F92" i="9" s="1"/>
  <c r="F73" i="9"/>
  <c r="F84" i="9"/>
  <c r="H84" i="9"/>
  <c r="H73" i="9"/>
  <c r="AF103" i="9"/>
  <c r="AF56" i="9"/>
  <c r="L2" i="9"/>
  <c r="M5" i="1"/>
  <c r="W112" i="9"/>
  <c r="W321" i="1"/>
  <c r="W223" i="1" s="1"/>
  <c r="W328" i="1"/>
  <c r="W222" i="1"/>
  <c r="N635" i="1"/>
  <c r="Y112" i="9"/>
  <c r="Y328" i="1"/>
  <c r="Y321" i="1"/>
  <c r="Y223" i="1" s="1"/>
  <c r="Y222" i="1"/>
  <c r="F567" i="1"/>
  <c r="AT24" i="9"/>
  <c r="AT22" i="1"/>
  <c r="AT7" i="1"/>
  <c r="AT14" i="9" s="1"/>
  <c r="AU18" i="1"/>
  <c r="AE135" i="9"/>
  <c r="AE67" i="9"/>
  <c r="AE50" i="9"/>
  <c r="AE55" i="9" s="1"/>
  <c r="AL136" i="9"/>
  <c r="AL121" i="9"/>
  <c r="AL94" i="9"/>
  <c r="AL91" i="9" s="1"/>
  <c r="AL68" i="9"/>
  <c r="AS31" i="9"/>
  <c r="AS32" i="1"/>
  <c r="AT32" i="1" s="1"/>
  <c r="AS40" i="1"/>
  <c r="AS14" i="1"/>
  <c r="AS21" i="9" s="1"/>
  <c r="AH123" i="9"/>
  <c r="AH84" i="9"/>
  <c r="AH73" i="9"/>
  <c r="AH95" i="9"/>
  <c r="AH92" i="9" s="1"/>
  <c r="D123" i="9"/>
  <c r="D84" i="9"/>
  <c r="D95" i="9"/>
  <c r="D92" i="9" s="1"/>
  <c r="D73" i="9"/>
  <c r="AA112" i="9"/>
  <c r="AA321" i="1"/>
  <c r="AA223" i="1" s="1"/>
  <c r="AA328" i="1"/>
  <c r="AA222" i="1"/>
  <c r="AL103" i="9"/>
  <c r="AL56" i="9"/>
  <c r="K135" i="9"/>
  <c r="K67" i="9"/>
  <c r="K50" i="9"/>
  <c r="K55" i="9" s="1"/>
  <c r="AC635" i="1"/>
  <c r="AD341" i="1"/>
  <c r="AD332" i="1"/>
  <c r="AD343" i="1"/>
  <c r="AD344" i="1"/>
  <c r="Z123" i="9"/>
  <c r="Z73" i="9"/>
  <c r="Z84" i="9"/>
  <c r="Z95" i="9"/>
  <c r="Z92" i="9" s="1"/>
  <c r="AJ103" i="9"/>
  <c r="AJ104" i="9" s="1"/>
  <c r="AJ56" i="9"/>
  <c r="J635" i="1"/>
  <c r="E396" i="1"/>
  <c r="E31" i="11" s="1"/>
  <c r="AD123" i="9"/>
  <c r="AD73" i="9"/>
  <c r="AD84" i="9"/>
  <c r="AD95" i="9"/>
  <c r="AD92" i="9" s="1"/>
  <c r="AJ641" i="1"/>
  <c r="AA135" i="9"/>
  <c r="AA67" i="9"/>
  <c r="AA50" i="9"/>
  <c r="AA55" i="9" s="1"/>
  <c r="Y135" i="9"/>
  <c r="Y67" i="9"/>
  <c r="Y50" i="9"/>
  <c r="Y55" i="9" s="1"/>
  <c r="AT26" i="9"/>
  <c r="AT9" i="1"/>
  <c r="AT16" i="9" s="1"/>
  <c r="AU20" i="1"/>
  <c r="AJ123" i="9"/>
  <c r="AJ95" i="9"/>
  <c r="AJ92" i="9" s="1"/>
  <c r="AJ84" i="9"/>
  <c r="AJ73" i="9"/>
  <c r="S112" i="9"/>
  <c r="S321" i="1"/>
  <c r="S223" i="1" s="1"/>
  <c r="S328" i="1"/>
  <c r="S222" i="1"/>
  <c r="C135" i="9"/>
  <c r="C67" i="9"/>
  <c r="C50" i="9"/>
  <c r="C55" i="9" s="1"/>
  <c r="AN34" i="1"/>
  <c r="AN305" i="1" s="1"/>
  <c r="AO31" i="1"/>
  <c r="U112" i="9"/>
  <c r="U113" i="9" s="1"/>
  <c r="U328" i="1"/>
  <c r="U321" i="1"/>
  <c r="U223" i="1" s="1"/>
  <c r="U222" i="1"/>
  <c r="M59" i="9"/>
  <c r="M391" i="1"/>
  <c r="M219" i="1"/>
  <c r="AH341" i="1"/>
  <c r="AH332" i="1"/>
  <c r="AH344" i="1"/>
  <c r="AH343" i="1"/>
  <c r="AD136" i="9"/>
  <c r="AD68" i="9"/>
  <c r="AN45" i="1"/>
  <c r="AO40" i="1"/>
  <c r="AO45" i="1" s="1"/>
  <c r="M123" i="9"/>
  <c r="M95" i="9"/>
  <c r="M92" i="9" s="1"/>
  <c r="M84" i="9"/>
  <c r="M73" i="9"/>
  <c r="AS619" i="1"/>
  <c r="U117" i="9"/>
  <c r="H635" i="1"/>
  <c r="O135" i="9"/>
  <c r="O67" i="9"/>
  <c r="O50" i="9"/>
  <c r="O55" i="9" s="1"/>
  <c r="G135" i="9"/>
  <c r="G67" i="9"/>
  <c r="G50" i="9"/>
  <c r="G55" i="9" s="1"/>
  <c r="P112" i="9"/>
  <c r="P113" i="9" s="1"/>
  <c r="P117" i="9" s="1"/>
  <c r="P328" i="1"/>
  <c r="P321" i="1"/>
  <c r="P223" i="1" s="1"/>
  <c r="P222" i="1"/>
  <c r="D635" i="1"/>
  <c r="AE123" i="9"/>
  <c r="AE95" i="9"/>
  <c r="AE92" i="9" s="1"/>
  <c r="AE84" i="9"/>
  <c r="AE73" i="9"/>
  <c r="AT27" i="9"/>
  <c r="AU21" i="1"/>
  <c r="AT10" i="1"/>
  <c r="AT17" i="9" s="1"/>
  <c r="N112" i="9"/>
  <c r="N328" i="1"/>
  <c r="N321" i="1"/>
  <c r="N223" i="1" s="1"/>
  <c r="N222" i="1"/>
  <c r="Z641" i="1"/>
  <c r="H1" i="9"/>
  <c r="H713" i="1"/>
  <c r="I4" i="1"/>
  <c r="H3" i="1"/>
  <c r="H687" i="1" s="1"/>
  <c r="F117" i="9"/>
  <c r="T123" i="9"/>
  <c r="T95" i="9"/>
  <c r="T92" i="9" s="1"/>
  <c r="T84" i="9"/>
  <c r="T73" i="9"/>
  <c r="L635" i="1"/>
  <c r="P2" i="9"/>
  <c r="Q5" i="1"/>
  <c r="U5" i="1"/>
  <c r="W59" i="9"/>
  <c r="W391" i="1"/>
  <c r="W219" i="1"/>
  <c r="G112" i="9"/>
  <c r="G321" i="1"/>
  <c r="G223" i="1" s="1"/>
  <c r="G328" i="1"/>
  <c r="G222" i="1"/>
  <c r="AB103" i="9"/>
  <c r="AB56" i="9"/>
  <c r="AI135" i="9"/>
  <c r="AI67" i="9"/>
  <c r="AI50" i="9"/>
  <c r="AI55" i="9" s="1"/>
  <c r="Y59" i="9"/>
  <c r="AD121" i="9" s="1"/>
  <c r="Y391" i="1"/>
  <c r="Y219" i="1"/>
  <c r="T112" i="9"/>
  <c r="T328" i="1"/>
  <c r="T321" i="1"/>
  <c r="T223" i="1" s="1"/>
  <c r="T222" i="1"/>
  <c r="AG332" i="1"/>
  <c r="AG341" i="1"/>
  <c r="AG343" i="1"/>
  <c r="AG344" i="1"/>
  <c r="X332" i="1"/>
  <c r="X341" i="1"/>
  <c r="X344" i="1"/>
  <c r="X343" i="1"/>
  <c r="S135" i="9"/>
  <c r="S67" i="9"/>
  <c r="S50" i="9"/>
  <c r="S55" i="9" s="1"/>
  <c r="C112" i="9"/>
  <c r="C113" i="9" s="1"/>
  <c r="C321" i="1"/>
  <c r="C223" i="1" s="1"/>
  <c r="C328" i="1"/>
  <c r="C222" i="1"/>
  <c r="AS28" i="9"/>
  <c r="AS11" i="1"/>
  <c r="AS18" i="9" s="1"/>
  <c r="AS26" i="1"/>
  <c r="AS28" i="1"/>
  <c r="AS34" i="9" s="1"/>
  <c r="AS31" i="1"/>
  <c r="AS39" i="1" s="1"/>
  <c r="AI123" i="9"/>
  <c r="AI95" i="9"/>
  <c r="AI92" i="9" s="1"/>
  <c r="AI84" i="9"/>
  <c r="AI73" i="9"/>
  <c r="AR208" i="1"/>
  <c r="AR210" i="1" s="1"/>
  <c r="AM123" i="9"/>
  <c r="AM95" i="9"/>
  <c r="AM92" i="9" s="1"/>
  <c r="AM84" i="9"/>
  <c r="AM73" i="9"/>
  <c r="AA638" i="1"/>
  <c r="AB543" i="1"/>
  <c r="AB544" i="1" s="1"/>
  <c r="AA546" i="1"/>
  <c r="N123" i="9"/>
  <c r="N73" i="9"/>
  <c r="N84" i="9"/>
  <c r="N95" i="9"/>
  <c r="N92" i="9" s="1"/>
  <c r="AA59" i="9"/>
  <c r="AA391" i="1"/>
  <c r="AA219" i="1"/>
  <c r="N135" i="9"/>
  <c r="N67" i="9"/>
  <c r="N50" i="9"/>
  <c r="N55" i="9" s="1"/>
  <c r="K372" i="1"/>
  <c r="K373" i="1" s="1"/>
  <c r="K374" i="1" s="1"/>
  <c r="G84" i="9"/>
  <c r="G73" i="9"/>
  <c r="AO31" i="9"/>
  <c r="AO14" i="1"/>
  <c r="AO21" i="9" s="1"/>
  <c r="R123" i="9"/>
  <c r="R84" i="9"/>
  <c r="R73" i="9"/>
  <c r="R95" i="9"/>
  <c r="R92" i="9" s="1"/>
  <c r="AF332" i="1"/>
  <c r="AF341" i="1"/>
  <c r="AF344" i="1"/>
  <c r="AF343" i="1"/>
  <c r="I84" i="9"/>
  <c r="I73" i="9"/>
  <c r="AC112" i="9"/>
  <c r="AC113" i="9" s="1"/>
  <c r="AC117" i="9" s="1"/>
  <c r="AC328" i="1"/>
  <c r="AC321" i="1"/>
  <c r="AC223" i="1" s="1"/>
  <c r="AC222" i="1"/>
  <c r="S59" i="9"/>
  <c r="X121" i="9" s="1"/>
  <c r="S391" i="1"/>
  <c r="S219" i="1"/>
  <c r="AQ209" i="1"/>
  <c r="AN32" i="9"/>
  <c r="AN302" i="1"/>
  <c r="F409" i="1"/>
  <c r="F411" i="1" s="1"/>
  <c r="F396" i="1" s="1"/>
  <c r="F31" i="11" s="1"/>
  <c r="F4" i="9"/>
  <c r="C635" i="1"/>
  <c r="C544" i="1"/>
  <c r="U59" i="9"/>
  <c r="U391" i="1"/>
  <c r="U219" i="1"/>
  <c r="U392" i="1"/>
  <c r="AH113" i="9"/>
  <c r="AH117" i="9" s="1"/>
  <c r="Z59" i="9"/>
  <c r="Z391" i="1"/>
  <c r="Z219" i="1"/>
  <c r="R135" i="9"/>
  <c r="R67" i="9"/>
  <c r="R50" i="9"/>
  <c r="R55" i="9" s="1"/>
  <c r="AO37" i="1"/>
  <c r="AO37" i="9" s="1"/>
  <c r="AS609" i="1"/>
  <c r="F635" i="1"/>
  <c r="AA123" i="9"/>
  <c r="AA95" i="9"/>
  <c r="AA92" i="9" s="1"/>
  <c r="AA84" i="9"/>
  <c r="AA73" i="9"/>
  <c r="V123" i="9"/>
  <c r="V95" i="9"/>
  <c r="V92" i="9" s="1"/>
  <c r="V73" i="9"/>
  <c r="V84" i="9"/>
  <c r="AL635" i="1"/>
  <c r="AK635" i="1"/>
  <c r="S123" i="9"/>
  <c r="S95" i="9"/>
  <c r="S92" i="9" s="1"/>
  <c r="S84" i="9"/>
  <c r="S73" i="9"/>
  <c r="P59" i="9"/>
  <c r="P391" i="1"/>
  <c r="P219" i="1"/>
  <c r="W635" i="1"/>
  <c r="AQ612" i="1"/>
  <c r="AQ615" i="1" s="1"/>
  <c r="AR379" i="1"/>
  <c r="AK135" i="9"/>
  <c r="AK67" i="9"/>
  <c r="AK50" i="9"/>
  <c r="AK55" i="9" s="1"/>
  <c r="I112" i="9"/>
  <c r="I328" i="1"/>
  <c r="I321" i="1"/>
  <c r="I223" i="1" s="1"/>
  <c r="I222" i="1"/>
  <c r="AD103" i="9"/>
  <c r="AD56" i="9"/>
  <c r="AH103" i="9"/>
  <c r="AH56" i="9"/>
  <c r="AI635" i="1"/>
  <c r="AE112" i="9"/>
  <c r="AE113" i="9" s="1"/>
  <c r="AE117" i="9" s="1"/>
  <c r="AE321" i="1"/>
  <c r="AE223" i="1" s="1"/>
  <c r="AE328" i="1"/>
  <c r="AE222" i="1"/>
  <c r="F372" i="1"/>
  <c r="F373" i="1" s="1"/>
  <c r="F374" i="1" s="1"/>
  <c r="AK123" i="9"/>
  <c r="AK95" i="9"/>
  <c r="AK92" i="9" s="1"/>
  <c r="AK84" i="9"/>
  <c r="AK73" i="9"/>
  <c r="U641" i="1"/>
  <c r="O112" i="9"/>
  <c r="O321" i="1"/>
  <c r="O223" i="1" s="1"/>
  <c r="O328" i="1"/>
  <c r="O222" i="1"/>
  <c r="G59" i="9"/>
  <c r="G391" i="1"/>
  <c r="G219" i="1"/>
  <c r="AD635" i="1"/>
  <c r="T635" i="1"/>
  <c r="AB136" i="9"/>
  <c r="AB121" i="9"/>
  <c r="AB68" i="9"/>
  <c r="T59" i="9"/>
  <c r="T391" i="1"/>
  <c r="T219" i="1"/>
  <c r="AK136" i="9"/>
  <c r="AK121" i="9"/>
  <c r="AK68" i="9"/>
  <c r="AE641" i="1"/>
  <c r="C59" i="9"/>
  <c r="C391" i="1"/>
  <c r="C219" i="1"/>
  <c r="U372" i="1"/>
  <c r="U373" i="1" s="1"/>
  <c r="U374" i="1" s="1"/>
  <c r="AF123" i="9"/>
  <c r="AF95" i="9"/>
  <c r="AF92" i="9" s="1"/>
  <c r="AF84" i="9"/>
  <c r="AF73" i="9"/>
  <c r="AR209" i="1"/>
  <c r="AM112" i="9"/>
  <c r="AM321" i="1"/>
  <c r="AM223" i="1" s="1"/>
  <c r="AM328" i="1"/>
  <c r="AM222" i="1"/>
  <c r="E112" i="9"/>
  <c r="E113" i="9" s="1"/>
  <c r="E117" i="9" s="1"/>
  <c r="E328" i="1"/>
  <c r="E321" i="1"/>
  <c r="E223" i="1" s="1"/>
  <c r="E222" i="1"/>
  <c r="R59" i="9"/>
  <c r="R391" i="1"/>
  <c r="R219" i="1"/>
  <c r="J135" i="9"/>
  <c r="J67" i="9"/>
  <c r="J50" i="9"/>
  <c r="J55" i="9" s="1"/>
  <c r="W123" i="9"/>
  <c r="W95" i="9"/>
  <c r="W92" i="9" s="1"/>
  <c r="W84" i="9"/>
  <c r="W73" i="9"/>
  <c r="R635" i="1"/>
  <c r="Y635" i="1"/>
  <c r="AA635" i="1"/>
  <c r="H311" i="1"/>
  <c r="H320" i="1"/>
  <c r="H218" i="1"/>
  <c r="H643" i="1" s="1"/>
  <c r="H64" i="9"/>
  <c r="H44" i="9"/>
  <c r="I135" i="9"/>
  <c r="I67" i="9"/>
  <c r="I50" i="9"/>
  <c r="I55" i="9" s="1"/>
  <c r="V59" i="9"/>
  <c r="V391" i="1"/>
  <c r="V219" i="1"/>
  <c r="AK223" i="1"/>
  <c r="AE635" i="1"/>
  <c r="AE544" i="1"/>
  <c r="L311" i="1"/>
  <c r="L320" i="1"/>
  <c r="L218" i="1"/>
  <c r="L643" i="1" s="1"/>
  <c r="L211" i="1"/>
  <c r="AB332" i="1"/>
  <c r="AB341" i="1"/>
  <c r="AB344" i="1"/>
  <c r="AB343" i="1"/>
  <c r="AT30" i="9"/>
  <c r="AT13" i="1"/>
  <c r="AT20" i="9" s="1"/>
  <c r="AU24" i="1"/>
  <c r="V112" i="9"/>
  <c r="X113" i="9" s="1"/>
  <c r="X117" i="9" s="1"/>
  <c r="V328" i="1"/>
  <c r="V321" i="1"/>
  <c r="V223" i="1" s="1"/>
  <c r="V222" i="1"/>
  <c r="F59" i="9"/>
  <c r="F391" i="1"/>
  <c r="F219" i="1"/>
  <c r="X123" i="9"/>
  <c r="X95" i="9"/>
  <c r="X92" i="9" s="1"/>
  <c r="X84" i="9"/>
  <c r="X73" i="9"/>
  <c r="AJ635" i="1"/>
  <c r="AK332" i="1"/>
  <c r="AK341" i="1"/>
  <c r="AK343" i="1"/>
  <c r="AK344" i="1"/>
  <c r="AO28" i="9"/>
  <c r="AO11" i="1"/>
  <c r="AO18" i="9" s="1"/>
  <c r="AO26" i="1"/>
  <c r="AO32" i="9" s="1"/>
  <c r="K123" i="9"/>
  <c r="K95" i="9"/>
  <c r="K92" i="9" s="1"/>
  <c r="K84" i="9"/>
  <c r="K73" i="9"/>
  <c r="G635" i="1"/>
  <c r="J73" i="9"/>
  <c r="J84" i="9"/>
  <c r="J95" i="9"/>
  <c r="J92" i="9" s="1"/>
  <c r="AM135" i="9"/>
  <c r="AM67" i="9"/>
  <c r="AM50" i="9"/>
  <c r="AM55" i="9" s="1"/>
  <c r="D112" i="9"/>
  <c r="D113" i="9" s="1"/>
  <c r="D117" i="9" s="1"/>
  <c r="D328" i="1"/>
  <c r="D321" i="1"/>
  <c r="D223" i="1" s="1"/>
  <c r="D222" i="1"/>
  <c r="Z372" i="1"/>
  <c r="Z373" i="1" s="1"/>
  <c r="Z374" i="1" s="1"/>
  <c r="P372" i="1"/>
  <c r="P373" i="1" s="1"/>
  <c r="P374" i="1" s="1"/>
  <c r="E372" i="1"/>
  <c r="E373" i="1" s="1"/>
  <c r="E374" i="1" s="1"/>
  <c r="L123" i="9"/>
  <c r="L95" i="9"/>
  <c r="L92" i="9" s="1"/>
  <c r="L84" i="9"/>
  <c r="L73" i="9"/>
  <c r="AR589" i="1"/>
  <c r="AQ591" i="1"/>
  <c r="Z635" i="1"/>
  <c r="O635" i="1"/>
  <c r="AP40" i="9"/>
  <c r="AP306" i="1"/>
  <c r="AP308" i="1"/>
  <c r="AP309" i="1"/>
  <c r="AP15" i="1"/>
  <c r="AP22" i="9" s="1"/>
  <c r="AP634" i="1"/>
  <c r="AJ136" i="9"/>
  <c r="AJ94" i="9"/>
  <c r="AJ91" i="9" s="1"/>
  <c r="AJ68" i="9"/>
  <c r="AI112" i="9"/>
  <c r="AI113" i="9" s="1"/>
  <c r="AI117" i="9" s="1"/>
  <c r="AI321" i="1"/>
  <c r="AI223" i="1" s="1"/>
  <c r="AI328" i="1"/>
  <c r="AI222" i="1"/>
  <c r="T135" i="9"/>
  <c r="T67" i="9"/>
  <c r="T50" i="9"/>
  <c r="T55" i="9" s="1"/>
  <c r="AC59" i="9"/>
  <c r="AC391" i="1"/>
  <c r="AC219" i="1"/>
  <c r="AQ208" i="1"/>
  <c r="AQ210" i="1" s="1"/>
  <c r="AN39" i="1"/>
  <c r="AG635" i="1"/>
  <c r="E135" i="9"/>
  <c r="E67" i="9"/>
  <c r="E50" i="9"/>
  <c r="E55" i="9" s="1"/>
  <c r="Z112" i="9"/>
  <c r="Z113" i="9" s="1"/>
  <c r="Z117" i="9" s="1"/>
  <c r="Z328" i="1"/>
  <c r="Z321" i="1"/>
  <c r="Z223" i="1" s="1"/>
  <c r="Z222" i="1"/>
  <c r="J59" i="9"/>
  <c r="J391" i="1"/>
  <c r="J219" i="1"/>
  <c r="Q123" i="9"/>
  <c r="Q95" i="9"/>
  <c r="Q92" i="9" s="1"/>
  <c r="Q84" i="9"/>
  <c r="Q73" i="9"/>
  <c r="L116" i="9"/>
  <c r="P641" i="1"/>
  <c r="J479" i="1"/>
  <c r="I480" i="1"/>
  <c r="AC135" i="9"/>
  <c r="AC67" i="9"/>
  <c r="AC50" i="9"/>
  <c r="AC55" i="9" s="1"/>
  <c r="AJ332" i="1"/>
  <c r="AJ341" i="1"/>
  <c r="AJ344" i="1"/>
  <c r="AJ343" i="1"/>
  <c r="Q112" i="9"/>
  <c r="Q113" i="9" s="1"/>
  <c r="Q117" i="9" s="1"/>
  <c r="Q328" i="1"/>
  <c r="Q321" i="1"/>
  <c r="Q223" i="1" s="1"/>
  <c r="Q222" i="1"/>
  <c r="I59" i="9"/>
  <c r="I391" i="1"/>
  <c r="I219" i="1"/>
  <c r="K641" i="1"/>
  <c r="V135" i="9"/>
  <c r="V67" i="9"/>
  <c r="V50" i="9"/>
  <c r="V55" i="9" s="1"/>
  <c r="X136" i="9"/>
  <c r="X68" i="9"/>
  <c r="K112" i="9"/>
  <c r="K113" i="9" s="1"/>
  <c r="K117" i="9" s="1"/>
  <c r="K321" i="1"/>
  <c r="K223" i="1" s="1"/>
  <c r="K328" i="1"/>
  <c r="K222" i="1"/>
  <c r="G705" i="1"/>
  <c r="G703" i="1" s="1"/>
  <c r="G707" i="1"/>
  <c r="G700" i="1"/>
  <c r="G698" i="1"/>
  <c r="G696" i="1" s="1"/>
  <c r="G408" i="1" s="1"/>
  <c r="G691" i="1"/>
  <c r="G689" i="1" s="1"/>
  <c r="G407" i="1" s="1"/>
  <c r="G693" i="1"/>
  <c r="G714" i="1"/>
  <c r="C372" i="1"/>
  <c r="C373" i="1" s="1"/>
  <c r="C374" i="1" s="1"/>
  <c r="O123" i="9"/>
  <c r="O95" i="9"/>
  <c r="O92" i="9" s="1"/>
  <c r="O84" i="9"/>
  <c r="O73" i="9"/>
  <c r="AE59" i="9"/>
  <c r="AE391" i="1"/>
  <c r="AE219" i="1"/>
  <c r="AE392" i="1"/>
  <c r="AL123" i="9"/>
  <c r="AL95" i="9"/>
  <c r="AL92" i="9" s="1"/>
  <c r="AL73" i="9"/>
  <c r="AL84" i="9"/>
  <c r="P103" i="9"/>
  <c r="P104" i="9" s="1"/>
  <c r="P56" i="9"/>
  <c r="H2" i="9"/>
  <c r="I5" i="1"/>
  <c r="O59" i="9"/>
  <c r="O391" i="1"/>
  <c r="O219" i="1"/>
  <c r="M635" i="1"/>
  <c r="AP108" i="9"/>
  <c r="AP109" i="9" s="1"/>
  <c r="AP8" i="9"/>
  <c r="AP633" i="1"/>
  <c r="AQ380" i="1"/>
  <c r="AP378" i="1"/>
  <c r="AP41" i="9"/>
  <c r="AP208" i="1"/>
  <c r="AP210" i="1" s="1"/>
  <c r="AP209" i="1"/>
  <c r="AQ42" i="1"/>
  <c r="AQ44" i="1"/>
  <c r="U123" i="9"/>
  <c r="U95" i="9"/>
  <c r="U92" i="9" s="1"/>
  <c r="U84" i="9"/>
  <c r="U73" i="9"/>
  <c r="AR64" i="9"/>
  <c r="AM59" i="9"/>
  <c r="AM391" i="1"/>
  <c r="AM219" i="1"/>
  <c r="U135" i="9"/>
  <c r="U67" i="9"/>
  <c r="U50" i="9"/>
  <c r="U55" i="9" s="1"/>
  <c r="M135" i="9"/>
  <c r="M67" i="9"/>
  <c r="M50" i="9"/>
  <c r="M55" i="9" s="1"/>
  <c r="E59" i="9"/>
  <c r="E391" i="1"/>
  <c r="E219" i="1"/>
  <c r="R112" i="9"/>
  <c r="R113" i="9" s="1"/>
  <c r="R117" i="9" s="1"/>
  <c r="R328" i="1"/>
  <c r="R321" i="1"/>
  <c r="R223" i="1" s="1"/>
  <c r="R222" i="1"/>
  <c r="AT29" i="9"/>
  <c r="AT25" i="1"/>
  <c r="AT12" i="1"/>
  <c r="AT19" i="9" s="1"/>
  <c r="AU23" i="1"/>
  <c r="P635" i="1"/>
  <c r="AT25" i="9"/>
  <c r="AT8" i="1"/>
  <c r="AT15" i="9" s="1"/>
  <c r="AU19" i="1"/>
  <c r="W135" i="9"/>
  <c r="W67" i="9"/>
  <c r="W50" i="9"/>
  <c r="W55" i="9" s="1"/>
  <c r="D37" i="11" l="1"/>
  <c r="E37" i="11"/>
  <c r="C37" i="11"/>
  <c r="C410" i="1"/>
  <c r="C396" i="1" s="1"/>
  <c r="C31" i="11" s="1"/>
  <c r="D403" i="1"/>
  <c r="D31" i="11"/>
  <c r="AB94" i="9"/>
  <c r="AB91" i="9" s="1"/>
  <c r="AP64" i="9"/>
  <c r="D130" i="9"/>
  <c r="AF113" i="9"/>
  <c r="AF117" i="9" s="1"/>
  <c r="AG113" i="9"/>
  <c r="AG117" i="9" s="1"/>
  <c r="AD113" i="9"/>
  <c r="AD117" i="9" s="1"/>
  <c r="D397" i="1"/>
  <c r="D398" i="1" s="1"/>
  <c r="H707" i="1"/>
  <c r="H700" i="1"/>
  <c r="H705" i="1"/>
  <c r="H703" i="1" s="1"/>
  <c r="H693" i="1"/>
  <c r="H698" i="1"/>
  <c r="H696" i="1" s="1"/>
  <c r="H408" i="1" s="1"/>
  <c r="H691" i="1"/>
  <c r="H689" i="1" s="1"/>
  <c r="H407" i="1" s="1"/>
  <c r="H714" i="1"/>
  <c r="H712" i="1"/>
  <c r="H710" i="1" s="1"/>
  <c r="H410" i="1" s="1"/>
  <c r="AP211" i="1"/>
  <c r="AQ108" i="9"/>
  <c r="AQ109" i="9" s="1"/>
  <c r="AQ8" i="9"/>
  <c r="AQ633" i="1"/>
  <c r="AQ378" i="1"/>
  <c r="AR380" i="1"/>
  <c r="I2" i="9"/>
  <c r="J5" i="1"/>
  <c r="AC103" i="9"/>
  <c r="AF104" i="9" s="1"/>
  <c r="AC56" i="9"/>
  <c r="K479" i="1"/>
  <c r="K480" i="1" s="1"/>
  <c r="L479" i="1" s="1"/>
  <c r="J480" i="1"/>
  <c r="Q124" i="9"/>
  <c r="Q85" i="9"/>
  <c r="Q87" i="9" s="1"/>
  <c r="Q75" i="9"/>
  <c r="Q82" i="9" s="1"/>
  <c r="Q139" i="9" s="1"/>
  <c r="E103" i="9"/>
  <c r="E104" i="9" s="1"/>
  <c r="E56" i="9"/>
  <c r="AN44" i="1"/>
  <c r="AN42" i="1"/>
  <c r="AO39" i="1"/>
  <c r="AC136" i="9"/>
  <c r="AC121" i="9"/>
  <c r="AC94" i="9"/>
  <c r="AC91" i="9" s="1"/>
  <c r="AC68" i="9"/>
  <c r="D129" i="9"/>
  <c r="D128" i="9"/>
  <c r="AI341" i="1"/>
  <c r="AI332" i="1"/>
  <c r="AK636" i="1" s="1"/>
  <c r="AI343" i="1"/>
  <c r="AI344" i="1"/>
  <c r="AP43" i="9"/>
  <c r="AP66" i="9" s="1"/>
  <c r="AP215" i="1"/>
  <c r="L124" i="9"/>
  <c r="L85" i="9"/>
  <c r="L87" i="9" s="1"/>
  <c r="L75" i="9"/>
  <c r="L82" i="9" s="1"/>
  <c r="L139" i="9" s="1"/>
  <c r="K124" i="9"/>
  <c r="K75" i="9"/>
  <c r="K82" i="9" s="1"/>
  <c r="K139" i="9" s="1"/>
  <c r="K85" i="9"/>
  <c r="K87" i="9" s="1"/>
  <c r="AU30" i="9"/>
  <c r="AV24" i="1"/>
  <c r="L59" i="9"/>
  <c r="Q121" i="9" s="1"/>
  <c r="L391" i="1"/>
  <c r="L219" i="1"/>
  <c r="V136" i="9"/>
  <c r="V121" i="9"/>
  <c r="V94" i="9"/>
  <c r="V91" i="9" s="1"/>
  <c r="V68" i="9"/>
  <c r="H135" i="9"/>
  <c r="H67" i="9"/>
  <c r="H50" i="9"/>
  <c r="H55" i="9" s="1"/>
  <c r="AR211" i="1"/>
  <c r="O341" i="1"/>
  <c r="O332" i="1"/>
  <c r="O344" i="1"/>
  <c r="O343" i="1"/>
  <c r="AK124" i="9"/>
  <c r="AK85" i="9"/>
  <c r="AK87" i="9" s="1"/>
  <c r="AK75" i="9"/>
  <c r="AK82" i="9" s="1"/>
  <c r="AK139" i="9" s="1"/>
  <c r="AE341" i="1"/>
  <c r="AE332" i="1"/>
  <c r="AJ636" i="1" s="1"/>
  <c r="AE344" i="1"/>
  <c r="AE343" i="1"/>
  <c r="S124" i="9"/>
  <c r="S85" i="9"/>
  <c r="S87" i="9" s="1"/>
  <c r="S75" i="9"/>
  <c r="S82" i="9" s="1"/>
  <c r="S139" i="9" s="1"/>
  <c r="V124" i="9"/>
  <c r="V85" i="9"/>
  <c r="V87" i="9" s="1"/>
  <c r="V75" i="9"/>
  <c r="V82" i="9" s="1"/>
  <c r="V139" i="9" s="1"/>
  <c r="Z136" i="9"/>
  <c r="Z121" i="9"/>
  <c r="Z94" i="9"/>
  <c r="Z91" i="9" s="1"/>
  <c r="Z68" i="9"/>
  <c r="F130" i="9"/>
  <c r="F6" i="9"/>
  <c r="F11" i="9" s="1"/>
  <c r="F132" i="9" s="1"/>
  <c r="AQ211" i="1"/>
  <c r="I85" i="9"/>
  <c r="I87" i="9" s="1"/>
  <c r="I75" i="9"/>
  <c r="I82" i="9" s="1"/>
  <c r="I139" i="9" s="1"/>
  <c r="AF60" i="9"/>
  <c r="AJ646" i="1"/>
  <c r="AF348" i="1"/>
  <c r="AF61" i="9" s="1"/>
  <c r="AF88" i="9" s="1"/>
  <c r="N124" i="9"/>
  <c r="N85" i="9"/>
  <c r="N87" i="9" s="1"/>
  <c r="N75" i="9"/>
  <c r="N82" i="9" s="1"/>
  <c r="N139" i="9" s="1"/>
  <c r="AS42" i="1"/>
  <c r="AS44" i="1"/>
  <c r="S103" i="9"/>
  <c r="S56" i="9"/>
  <c r="Q2" i="9"/>
  <c r="R5" i="1"/>
  <c r="AL113" i="9"/>
  <c r="AL117" i="9" s="1"/>
  <c r="I1" i="9"/>
  <c r="I713" i="1"/>
  <c r="J4" i="1"/>
  <c r="I3" i="1"/>
  <c r="I687" i="1" s="1"/>
  <c r="G103" i="9"/>
  <c r="G56" i="9"/>
  <c r="M124" i="9"/>
  <c r="M85" i="9"/>
  <c r="M87" i="9" s="1"/>
  <c r="M75" i="9"/>
  <c r="M82" i="9" s="1"/>
  <c r="M139" i="9" s="1"/>
  <c r="AH336" i="1"/>
  <c r="AH630" i="1"/>
  <c r="AH631" i="1"/>
  <c r="M136" i="9"/>
  <c r="M68" i="9"/>
  <c r="AA103" i="9"/>
  <c r="AA56" i="9"/>
  <c r="E403" i="1"/>
  <c r="E397" i="1"/>
  <c r="K103" i="9"/>
  <c r="K104" i="9" s="1"/>
  <c r="K56" i="9"/>
  <c r="AH124" i="9"/>
  <c r="AH85" i="9"/>
  <c r="AH87" i="9" s="1"/>
  <c r="AH75" i="9"/>
  <c r="AH82" i="9" s="1"/>
  <c r="AH139" i="9" s="1"/>
  <c r="AS45" i="1"/>
  <c r="AT40" i="1"/>
  <c r="AT45" i="1" s="1"/>
  <c r="AT28" i="9"/>
  <c r="AT26" i="1"/>
  <c r="AT32" i="9" s="1"/>
  <c r="AT11" i="1"/>
  <c r="AT18" i="9" s="1"/>
  <c r="W113" i="9"/>
  <c r="W117" i="9" s="1"/>
  <c r="F103" i="9"/>
  <c r="F104" i="9" s="1"/>
  <c r="F56" i="9"/>
  <c r="Q136" i="9"/>
  <c r="Q94" i="9"/>
  <c r="Q91" i="9" s="1"/>
  <c r="Q68" i="9"/>
  <c r="AR586" i="1"/>
  <c r="AI136" i="9"/>
  <c r="AI121" i="9"/>
  <c r="AI94" i="9"/>
  <c r="AI91" i="9" s="1"/>
  <c r="AI68" i="9"/>
  <c r="AQ43" i="9"/>
  <c r="AQ66" i="9" s="1"/>
  <c r="AQ215" i="1"/>
  <c r="L135" i="9"/>
  <c r="L67" i="9"/>
  <c r="L50" i="9"/>
  <c r="L55" i="9" s="1"/>
  <c r="E130" i="9"/>
  <c r="E6" i="9"/>
  <c r="E11" i="9" s="1"/>
  <c r="E132" i="9" s="1"/>
  <c r="V103" i="9"/>
  <c r="V56" i="9"/>
  <c r="T103" i="9"/>
  <c r="T56" i="9"/>
  <c r="AP310" i="1"/>
  <c r="AM103" i="9"/>
  <c r="AM56" i="9"/>
  <c r="AO28" i="1"/>
  <c r="AO34" i="9" s="1"/>
  <c r="X124" i="9"/>
  <c r="X85" i="9"/>
  <c r="X87" i="9" s="1"/>
  <c r="X75" i="9"/>
  <c r="X82" i="9" s="1"/>
  <c r="X139" i="9" s="1"/>
  <c r="AE638" i="1"/>
  <c r="AJ543" i="1"/>
  <c r="AJ544" i="1" s="1"/>
  <c r="AF543" i="1"/>
  <c r="AF544" i="1" s="1"/>
  <c r="AE546" i="1"/>
  <c r="I103" i="9"/>
  <c r="I56" i="9"/>
  <c r="C130" i="9"/>
  <c r="C6" i="9"/>
  <c r="C11" i="9" s="1"/>
  <c r="C132" i="9" s="1"/>
  <c r="W124" i="9"/>
  <c r="W75" i="9"/>
  <c r="W82" i="9" s="1"/>
  <c r="W139" i="9" s="1"/>
  <c r="W85" i="9"/>
  <c r="W87" i="9" s="1"/>
  <c r="AM341" i="1"/>
  <c r="AM332" i="1"/>
  <c r="AM343" i="1"/>
  <c r="AM344" i="1"/>
  <c r="AF124" i="9"/>
  <c r="AF85" i="9"/>
  <c r="AF87" i="9" s="1"/>
  <c r="AF75" i="9"/>
  <c r="AF82" i="9" s="1"/>
  <c r="AF139" i="9" s="1"/>
  <c r="T121" i="9"/>
  <c r="T136" i="9"/>
  <c r="T94" i="9"/>
  <c r="T91" i="9" s="1"/>
  <c r="T68" i="9"/>
  <c r="I332" i="1"/>
  <c r="I341" i="1"/>
  <c r="I344" i="1"/>
  <c r="I343" i="1"/>
  <c r="AT609" i="1"/>
  <c r="U136" i="9"/>
  <c r="U121" i="9"/>
  <c r="U94" i="9"/>
  <c r="U91" i="9" s="1"/>
  <c r="U68" i="9"/>
  <c r="F403" i="1"/>
  <c r="F397" i="1"/>
  <c r="AF336" i="1"/>
  <c r="AF630" i="1"/>
  <c r="AF631" i="1"/>
  <c r="G75" i="9"/>
  <c r="G82" i="9" s="1"/>
  <c r="G139" i="9" s="1"/>
  <c r="G85" i="9"/>
  <c r="G87" i="9" s="1"/>
  <c r="AB638" i="1"/>
  <c r="AC543" i="1"/>
  <c r="AC544" i="1" s="1"/>
  <c r="AB546" i="1"/>
  <c r="AS32" i="9"/>
  <c r="AS302" i="1"/>
  <c r="C332" i="1"/>
  <c r="C343" i="1"/>
  <c r="C344" i="1"/>
  <c r="X60" i="9"/>
  <c r="X348" i="1"/>
  <c r="X61" i="9" s="1"/>
  <c r="X88" i="9" s="1"/>
  <c r="AG60" i="9"/>
  <c r="AG348" i="1"/>
  <c r="AG61" i="9" s="1"/>
  <c r="AG88" i="9" s="1"/>
  <c r="T332" i="1"/>
  <c r="T341" i="1"/>
  <c r="T344" i="1"/>
  <c r="T343" i="1"/>
  <c r="Y136" i="9"/>
  <c r="Y121" i="9"/>
  <c r="Y94" i="9"/>
  <c r="Y91" i="9" s="1"/>
  <c r="Y68" i="9"/>
  <c r="G341" i="1"/>
  <c r="G332" i="1"/>
  <c r="G343" i="1"/>
  <c r="G344" i="1"/>
  <c r="AU27" i="9"/>
  <c r="AV21" i="1"/>
  <c r="AT619" i="1"/>
  <c r="AH60" i="9"/>
  <c r="AH348" i="1"/>
  <c r="AH61" i="9" s="1"/>
  <c r="AH88" i="9" s="1"/>
  <c r="AO34" i="1"/>
  <c r="AO36" i="1"/>
  <c r="AO36" i="9" s="1"/>
  <c r="S113" i="9"/>
  <c r="S117" i="9" s="1"/>
  <c r="Y103" i="9"/>
  <c r="Y56" i="9"/>
  <c r="Z124" i="9"/>
  <c r="Z85" i="9"/>
  <c r="Z87" i="9" s="1"/>
  <c r="Z75" i="9"/>
  <c r="Z82" i="9" s="1"/>
  <c r="Z139" i="9" s="1"/>
  <c r="AD336" i="1"/>
  <c r="AD630" i="1"/>
  <c r="AD631" i="1"/>
  <c r="AA113" i="9"/>
  <c r="AA117" i="9" s="1"/>
  <c r="AT37" i="1"/>
  <c r="AT37" i="9" s="1"/>
  <c r="M2" i="9"/>
  <c r="N5" i="1"/>
  <c r="D103" i="9"/>
  <c r="D104" i="9" s="1"/>
  <c r="D56" i="9"/>
  <c r="AG124" i="9"/>
  <c r="AG85" i="9"/>
  <c r="AG87" i="9" s="1"/>
  <c r="AG75" i="9"/>
  <c r="AG82" i="9" s="1"/>
  <c r="AG139" i="9" s="1"/>
  <c r="AG94" i="9"/>
  <c r="AG91" i="9" s="1"/>
  <c r="N136" i="9"/>
  <c r="N121" i="9"/>
  <c r="N68" i="9"/>
  <c r="J341" i="1"/>
  <c r="J332" i="1"/>
  <c r="J343" i="1"/>
  <c r="J344" i="1"/>
  <c r="M332" i="1"/>
  <c r="M341" i="1"/>
  <c r="M344" i="1"/>
  <c r="M343" i="1"/>
  <c r="AR43" i="9"/>
  <c r="AR66" i="9" s="1"/>
  <c r="AR215" i="1"/>
  <c r="AC124" i="9"/>
  <c r="AC85" i="9"/>
  <c r="AC87" i="9" s="1"/>
  <c r="AC75" i="9"/>
  <c r="AC82" i="9" s="1"/>
  <c r="AC139" i="9" s="1"/>
  <c r="Y124" i="9"/>
  <c r="Y85" i="9"/>
  <c r="Y87" i="9" s="1"/>
  <c r="Y75" i="9"/>
  <c r="Y82" i="9" s="1"/>
  <c r="Y139" i="9" s="1"/>
  <c r="AB124" i="9"/>
  <c r="AB85" i="9"/>
  <c r="AB87" i="9" s="1"/>
  <c r="AB75" i="9"/>
  <c r="AB82" i="9" s="1"/>
  <c r="AB139" i="9" s="1"/>
  <c r="E124" i="9"/>
  <c r="E85" i="9"/>
  <c r="E87" i="9" s="1"/>
  <c r="E75" i="9"/>
  <c r="E82" i="9" s="1"/>
  <c r="E139" i="9" s="1"/>
  <c r="P124" i="9"/>
  <c r="P85" i="9"/>
  <c r="P87" i="9" s="1"/>
  <c r="P75" i="9"/>
  <c r="P82" i="9" s="1"/>
  <c r="P139" i="9" s="1"/>
  <c r="AF94" i="9"/>
  <c r="AF91" i="9" s="1"/>
  <c r="Q103" i="9"/>
  <c r="Q56" i="9"/>
  <c r="AT39" i="1"/>
  <c r="G409" i="1"/>
  <c r="G411" i="1" s="1"/>
  <c r="G396" i="1" s="1"/>
  <c r="G397" i="1" s="1"/>
  <c r="G398" i="1" s="1"/>
  <c r="G4" i="9"/>
  <c r="G6" i="9" s="1"/>
  <c r="G11" i="9" s="1"/>
  <c r="AU25" i="9"/>
  <c r="AV19" i="1"/>
  <c r="AE136" i="9"/>
  <c r="AE121" i="9"/>
  <c r="AE94" i="9"/>
  <c r="AE91" i="9" s="1"/>
  <c r="AE68" i="9"/>
  <c r="W103" i="9"/>
  <c r="W56" i="9"/>
  <c r="U124" i="9"/>
  <c r="U85" i="9"/>
  <c r="U87" i="9" s="1"/>
  <c r="U75" i="9"/>
  <c r="U82" i="9" s="1"/>
  <c r="U139" i="9" s="1"/>
  <c r="O124" i="9"/>
  <c r="O75" i="9"/>
  <c r="O82" i="9" s="1"/>
  <c r="O139" i="9" s="1"/>
  <c r="O85" i="9"/>
  <c r="O87" i="9" s="1"/>
  <c r="K341" i="1"/>
  <c r="K332" i="1"/>
  <c r="K343" i="1"/>
  <c r="K344" i="1"/>
  <c r="X94" i="9"/>
  <c r="X91" i="9" s="1"/>
  <c r="Q332" i="1"/>
  <c r="Q341" i="1"/>
  <c r="Q343" i="1"/>
  <c r="Q344" i="1"/>
  <c r="AJ60" i="9"/>
  <c r="AJ348" i="1"/>
  <c r="AJ61" i="9" s="1"/>
  <c r="AJ88" i="9" s="1"/>
  <c r="Z341" i="1"/>
  <c r="Z332" i="1"/>
  <c r="Z343" i="1"/>
  <c r="Z344" i="1"/>
  <c r="AP42" i="9"/>
  <c r="AP65" i="9" s="1"/>
  <c r="AP217" i="1"/>
  <c r="J85" i="9"/>
  <c r="J87" i="9" s="1"/>
  <c r="J75" i="9"/>
  <c r="J82" i="9" s="1"/>
  <c r="J139" i="9" s="1"/>
  <c r="AK60" i="9"/>
  <c r="AK348" i="1"/>
  <c r="AK61" i="9" s="1"/>
  <c r="AK88" i="9" s="1"/>
  <c r="V341" i="1"/>
  <c r="V332" i="1"/>
  <c r="V343" i="1"/>
  <c r="V344" i="1"/>
  <c r="AB60" i="9"/>
  <c r="AB348" i="1"/>
  <c r="AB61" i="9" s="1"/>
  <c r="AB88" i="9" s="1"/>
  <c r="H112" i="9"/>
  <c r="J113" i="9" s="1"/>
  <c r="J117" i="9" s="1"/>
  <c r="H328" i="1"/>
  <c r="H321" i="1"/>
  <c r="H223" i="1" s="1"/>
  <c r="H222" i="1"/>
  <c r="J103" i="9"/>
  <c r="J56" i="9"/>
  <c r="E332" i="1"/>
  <c r="E343" i="1"/>
  <c r="E344" i="1"/>
  <c r="C136" i="9"/>
  <c r="C94" i="9"/>
  <c r="C91" i="9" s="1"/>
  <c r="C68" i="9"/>
  <c r="G136" i="9"/>
  <c r="G68" i="9"/>
  <c r="AR612" i="1"/>
  <c r="AR615" i="1" s="1"/>
  <c r="AS379" i="1"/>
  <c r="AS612" i="1" s="1"/>
  <c r="AT612" i="1" s="1"/>
  <c r="C638" i="1"/>
  <c r="D543" i="1"/>
  <c r="D544" i="1" s="1"/>
  <c r="C546" i="1"/>
  <c r="AN40" i="9"/>
  <c r="AR549" i="1"/>
  <c r="AN309" i="1"/>
  <c r="AN306" i="1"/>
  <c r="AN308" i="1"/>
  <c r="AN15" i="1"/>
  <c r="AN22" i="9" s="1"/>
  <c r="AN549" i="1"/>
  <c r="AO302" i="1"/>
  <c r="AN634" i="1"/>
  <c r="AQ549" i="1"/>
  <c r="AP549" i="1"/>
  <c r="AC332" i="1"/>
  <c r="AH636" i="1" s="1"/>
  <c r="AC341" i="1"/>
  <c r="AC344" i="1"/>
  <c r="AC343" i="1"/>
  <c r="N103" i="9"/>
  <c r="N56" i="9"/>
  <c r="AI124" i="9"/>
  <c r="AI85" i="9"/>
  <c r="AI87" i="9" s="1"/>
  <c r="AI75" i="9"/>
  <c r="AI82" i="9" s="1"/>
  <c r="AI139" i="9" s="1"/>
  <c r="AS34" i="1"/>
  <c r="AS305" i="1" s="1"/>
  <c r="AT31" i="1"/>
  <c r="X336" i="1"/>
  <c r="X630" i="1"/>
  <c r="X631" i="1"/>
  <c r="AG636" i="1"/>
  <c r="AG336" i="1"/>
  <c r="AG630" i="1"/>
  <c r="AG631" i="1"/>
  <c r="T113" i="9"/>
  <c r="T117" i="9" s="1"/>
  <c r="AI103" i="9"/>
  <c r="AI56" i="9"/>
  <c r="W136" i="9"/>
  <c r="W121" i="9"/>
  <c r="W94" i="9"/>
  <c r="W91" i="9" s="1"/>
  <c r="W68" i="9"/>
  <c r="T124" i="9"/>
  <c r="T85" i="9"/>
  <c r="T87" i="9" s="1"/>
  <c r="T75" i="9"/>
  <c r="T82" i="9" s="1"/>
  <c r="T139" i="9" s="1"/>
  <c r="N341" i="1"/>
  <c r="N332" i="1"/>
  <c r="N343" i="1"/>
  <c r="N344" i="1"/>
  <c r="P332" i="1"/>
  <c r="P341" i="1"/>
  <c r="P344" i="1"/>
  <c r="P343" i="1"/>
  <c r="AN41" i="9"/>
  <c r="AR550" i="1"/>
  <c r="AN209" i="1"/>
  <c r="AN208" i="1"/>
  <c r="AN210" i="1" s="1"/>
  <c r="AP550" i="1"/>
  <c r="AQ550" i="1"/>
  <c r="AO305" i="1"/>
  <c r="AN550" i="1"/>
  <c r="AJ124" i="9"/>
  <c r="AJ85" i="9"/>
  <c r="AJ87" i="9" s="1"/>
  <c r="AJ75" i="9"/>
  <c r="AJ82" i="9" s="1"/>
  <c r="AJ139" i="9" s="1"/>
  <c r="AU26" i="9"/>
  <c r="AV20" i="1"/>
  <c r="AD124" i="9"/>
  <c r="AD85" i="9"/>
  <c r="AD87" i="9" s="1"/>
  <c r="AD75" i="9"/>
  <c r="AD82" i="9" s="1"/>
  <c r="AD139" i="9" s="1"/>
  <c r="AD60" i="9"/>
  <c r="AD348" i="1"/>
  <c r="AD61" i="9" s="1"/>
  <c r="AD88" i="9" s="1"/>
  <c r="AU24" i="9"/>
  <c r="AV18" i="1"/>
  <c r="AU22" i="1"/>
  <c r="Y332" i="1"/>
  <c r="AD636" i="1" s="1"/>
  <c r="Y341" i="1"/>
  <c r="Y344" i="1"/>
  <c r="Y343" i="1"/>
  <c r="W341" i="1"/>
  <c r="W332" i="1"/>
  <c r="W343" i="1"/>
  <c r="W344" i="1"/>
  <c r="H85" i="9"/>
  <c r="H87" i="9" s="1"/>
  <c r="H75" i="9"/>
  <c r="H82" i="9" s="1"/>
  <c r="H139" i="9" s="1"/>
  <c r="F124" i="9"/>
  <c r="F85" i="9"/>
  <c r="F87" i="9" s="1"/>
  <c r="F75" i="9"/>
  <c r="F82" i="9" s="1"/>
  <c r="F139" i="9" s="1"/>
  <c r="Z103" i="9"/>
  <c r="Z104" i="9" s="1"/>
  <c r="Z56" i="9"/>
  <c r="AH121" i="9"/>
  <c r="AL636" i="1"/>
  <c r="AL336" i="1"/>
  <c r="AL630" i="1"/>
  <c r="AL631" i="1"/>
  <c r="C85" i="9"/>
  <c r="C87" i="9" s="1"/>
  <c r="C75" i="9"/>
  <c r="C82" i="9" s="1"/>
  <c r="C139" i="9" s="1"/>
  <c r="AR310" i="1"/>
  <c r="AQ310" i="1"/>
  <c r="AK113" i="9"/>
  <c r="AK117" i="9" s="1"/>
  <c r="F341" i="1"/>
  <c r="F332" i="1"/>
  <c r="F343" i="1"/>
  <c r="F344" i="1"/>
  <c r="M103" i="9"/>
  <c r="M56" i="9"/>
  <c r="AM136" i="9"/>
  <c r="AM121" i="9"/>
  <c r="AM94" i="9"/>
  <c r="AM91" i="9" s="1"/>
  <c r="AM68" i="9"/>
  <c r="AU29" i="9"/>
  <c r="AV23" i="1"/>
  <c r="AU25" i="1"/>
  <c r="AT31" i="9"/>
  <c r="AT14" i="1"/>
  <c r="AT21" i="9" s="1"/>
  <c r="R341" i="1"/>
  <c r="R332" i="1"/>
  <c r="R344" i="1"/>
  <c r="R343" i="1"/>
  <c r="E136" i="9"/>
  <c r="E121" i="9"/>
  <c r="E94" i="9"/>
  <c r="E91" i="9" s="1"/>
  <c r="E68" i="9"/>
  <c r="U103" i="9"/>
  <c r="U104" i="9" s="1"/>
  <c r="U56" i="9"/>
  <c r="O136" i="9"/>
  <c r="O121" i="9"/>
  <c r="O68" i="9"/>
  <c r="P111" i="9"/>
  <c r="P107" i="9"/>
  <c r="AL124" i="9"/>
  <c r="AL85" i="9"/>
  <c r="AL87" i="9" s="1"/>
  <c r="AL75" i="9"/>
  <c r="AL82" i="9" s="1"/>
  <c r="AL139" i="9" s="1"/>
  <c r="I136" i="9"/>
  <c r="I68" i="9"/>
  <c r="AJ336" i="1"/>
  <c r="AJ630" i="1"/>
  <c r="AJ631" i="1"/>
  <c r="J136" i="9"/>
  <c r="J68" i="9"/>
  <c r="AJ121" i="9"/>
  <c r="AR591" i="1"/>
  <c r="AS589" i="1"/>
  <c r="D332" i="1"/>
  <c r="D344" i="1"/>
  <c r="D343" i="1"/>
  <c r="AK336" i="1"/>
  <c r="AK138" i="9" s="1"/>
  <c r="AK630" i="1"/>
  <c r="AK631" i="1"/>
  <c r="F136" i="9"/>
  <c r="F121" i="9"/>
  <c r="F94" i="9"/>
  <c r="F91" i="9" s="1"/>
  <c r="F68" i="9"/>
  <c r="V113" i="9"/>
  <c r="V117" i="9" s="1"/>
  <c r="AB336" i="1"/>
  <c r="AB630" i="1"/>
  <c r="AB631" i="1"/>
  <c r="L112" i="9"/>
  <c r="L328" i="1"/>
  <c r="L321" i="1"/>
  <c r="L223" i="1" s="1"/>
  <c r="L222" i="1"/>
  <c r="H59" i="9"/>
  <c r="M121" i="9" s="1"/>
  <c r="H391" i="1"/>
  <c r="H219" i="1"/>
  <c r="R136" i="9"/>
  <c r="R121" i="9"/>
  <c r="R94" i="9"/>
  <c r="R91" i="9" s="1"/>
  <c r="R68" i="9"/>
  <c r="AM113" i="9"/>
  <c r="AM117" i="9" s="1"/>
  <c r="AK103" i="9"/>
  <c r="AL104" i="9" s="1"/>
  <c r="AK56" i="9"/>
  <c r="P121" i="9"/>
  <c r="P136" i="9"/>
  <c r="P94" i="9"/>
  <c r="P91" i="9" s="1"/>
  <c r="P68" i="9"/>
  <c r="AA124" i="9"/>
  <c r="AA75" i="9"/>
  <c r="AA82" i="9" s="1"/>
  <c r="AA139" i="9" s="1"/>
  <c r="AA85" i="9"/>
  <c r="AA87" i="9" s="1"/>
  <c r="R103" i="9"/>
  <c r="R56" i="9"/>
  <c r="S136" i="9"/>
  <c r="S121" i="9"/>
  <c r="S94" i="9"/>
  <c r="S91" i="9" s="1"/>
  <c r="S68" i="9"/>
  <c r="R124" i="9"/>
  <c r="R85" i="9"/>
  <c r="R87" i="9" s="1"/>
  <c r="R75" i="9"/>
  <c r="R82" i="9" s="1"/>
  <c r="R139" i="9" s="1"/>
  <c r="AA136" i="9"/>
  <c r="AA121" i="9"/>
  <c r="AA94" i="9"/>
  <c r="AA91" i="9" s="1"/>
  <c r="AA68" i="9"/>
  <c r="AM124" i="9"/>
  <c r="AM75" i="9"/>
  <c r="AM82" i="9" s="1"/>
  <c r="AM139" i="9" s="1"/>
  <c r="AM85" i="9"/>
  <c r="AM87" i="9" s="1"/>
  <c r="U2" i="9"/>
  <c r="Z5" i="1"/>
  <c r="V5" i="1"/>
  <c r="AE124" i="9"/>
  <c r="AE75" i="9"/>
  <c r="AE82" i="9" s="1"/>
  <c r="AE139" i="9" s="1"/>
  <c r="AE85" i="9"/>
  <c r="AE87" i="9" s="1"/>
  <c r="O103" i="9"/>
  <c r="O56" i="9"/>
  <c r="AD94" i="9"/>
  <c r="AD91" i="9" s="1"/>
  <c r="U332" i="1"/>
  <c r="U341" i="1"/>
  <c r="U343" i="1"/>
  <c r="U344" i="1"/>
  <c r="C103" i="9"/>
  <c r="C104" i="9" s="1"/>
  <c r="C56" i="9"/>
  <c r="S341" i="1"/>
  <c r="S332" i="1"/>
  <c r="S344" i="1"/>
  <c r="S343" i="1"/>
  <c r="AJ107" i="9"/>
  <c r="AJ111" i="9"/>
  <c r="AA341" i="1"/>
  <c r="AA332" i="1"/>
  <c r="AA343" i="1"/>
  <c r="AA344" i="1"/>
  <c r="D132" i="9"/>
  <c r="D131" i="9"/>
  <c r="D124" i="9"/>
  <c r="D85" i="9"/>
  <c r="D87" i="9" s="1"/>
  <c r="D75" i="9"/>
  <c r="D82" i="9" s="1"/>
  <c r="D139" i="9" s="1"/>
  <c r="AE103" i="9"/>
  <c r="AE104" i="9" s="1"/>
  <c r="AE56" i="9"/>
  <c r="Y113" i="9"/>
  <c r="Y117" i="9" s="1"/>
  <c r="AL60" i="9"/>
  <c r="AL348" i="1"/>
  <c r="AL61" i="9" s="1"/>
  <c r="AL88" i="9" s="1"/>
  <c r="K136" i="9"/>
  <c r="K121" i="9"/>
  <c r="K94" i="9"/>
  <c r="K91" i="9" s="1"/>
  <c r="K68" i="9"/>
  <c r="AR42" i="9"/>
  <c r="AR65" i="9" s="1"/>
  <c r="AR217" i="1"/>
  <c r="D121" i="9"/>
  <c r="D136" i="9"/>
  <c r="D94" i="9"/>
  <c r="D91" i="9" s="1"/>
  <c r="D68" i="9"/>
  <c r="AQ42" i="9"/>
  <c r="AQ65" i="9" s="1"/>
  <c r="AQ217" i="1"/>
  <c r="AB113" i="9"/>
  <c r="AB117" i="9" s="1"/>
  <c r="AF121" i="9"/>
  <c r="AG138" i="9"/>
  <c r="AG103" i="9"/>
  <c r="AH104" i="9" s="1"/>
  <c r="AG56" i="9"/>
  <c r="AB636" i="1" l="1"/>
  <c r="M26" i="11"/>
  <c r="D125" i="11"/>
  <c r="E125" i="11" s="1"/>
  <c r="C36" i="12"/>
  <c r="G121" i="12"/>
  <c r="C403" i="1"/>
  <c r="C397" i="1"/>
  <c r="C404" i="1" s="1"/>
  <c r="D405" i="1"/>
  <c r="D30" i="11"/>
  <c r="D29" i="11" s="1"/>
  <c r="F131" i="9"/>
  <c r="L113" i="9"/>
  <c r="L117" i="9" s="1"/>
  <c r="E131" i="9"/>
  <c r="AP44" i="9"/>
  <c r="N94" i="9"/>
  <c r="N91" i="9" s="1"/>
  <c r="C131" i="9"/>
  <c r="D402" i="1"/>
  <c r="D404" i="1"/>
  <c r="D401" i="1"/>
  <c r="AF636" i="1"/>
  <c r="R104" i="9"/>
  <c r="R111" i="9" s="1"/>
  <c r="AT28" i="1"/>
  <c r="AT34" i="9" s="1"/>
  <c r="Y104" i="9"/>
  <c r="Y107" i="9" s="1"/>
  <c r="T104" i="9"/>
  <c r="AM104" i="9"/>
  <c r="AM107" i="9" s="1"/>
  <c r="I707" i="1"/>
  <c r="I700" i="1"/>
  <c r="I705" i="1"/>
  <c r="I703" i="1" s="1"/>
  <c r="I693" i="1"/>
  <c r="I698" i="1"/>
  <c r="I696" i="1" s="1"/>
  <c r="I408" i="1" s="1"/>
  <c r="I691" i="1"/>
  <c r="I689" i="1" s="1"/>
  <c r="I407" i="1" s="1"/>
  <c r="I714" i="1"/>
  <c r="I712" i="1"/>
  <c r="I710" i="1" s="1"/>
  <c r="I410" i="1" s="1"/>
  <c r="AF111" i="9"/>
  <c r="AF107" i="9"/>
  <c r="AJ346" i="1"/>
  <c r="AJ338" i="1"/>
  <c r="AJ347" i="1" s="1"/>
  <c r="AJ138" i="9"/>
  <c r="R636" i="1"/>
  <c r="R336" i="1"/>
  <c r="R630" i="1"/>
  <c r="R631" i="1"/>
  <c r="AU31" i="9"/>
  <c r="AU32" i="1"/>
  <c r="AU40" i="1" s="1"/>
  <c r="AU45" i="1" s="1"/>
  <c r="AU14" i="1"/>
  <c r="AU21" i="9" s="1"/>
  <c r="AT34" i="1"/>
  <c r="AT36" i="1"/>
  <c r="AT36" i="9" s="1"/>
  <c r="AN42" i="9"/>
  <c r="AN65" i="9" s="1"/>
  <c r="AN217" i="1"/>
  <c r="AO309" i="1"/>
  <c r="AK122" i="9"/>
  <c r="AK137" i="9"/>
  <c r="AK98" i="9"/>
  <c r="D107" i="9"/>
  <c r="D111" i="9"/>
  <c r="AD346" i="1"/>
  <c r="AD338" i="1"/>
  <c r="AD347" i="1" s="1"/>
  <c r="AD138" i="9"/>
  <c r="AM336" i="1"/>
  <c r="AM630" i="1"/>
  <c r="AM631" i="1"/>
  <c r="L103" i="9"/>
  <c r="L56" i="9"/>
  <c r="AG104" i="9"/>
  <c r="AE111" i="9"/>
  <c r="AE107" i="9"/>
  <c r="S60" i="9"/>
  <c r="X122" i="9" s="1"/>
  <c r="S348" i="1"/>
  <c r="S61" i="9" s="1"/>
  <c r="S88" i="9" s="1"/>
  <c r="R107" i="9"/>
  <c r="AS591" i="1"/>
  <c r="AT589" i="1"/>
  <c r="R60" i="9"/>
  <c r="R348" i="1"/>
  <c r="R61" i="9" s="1"/>
  <c r="R88" i="9" s="1"/>
  <c r="AV29" i="9"/>
  <c r="AW23" i="1"/>
  <c r="AV25" i="1"/>
  <c r="AQ311" i="1"/>
  <c r="AQ320" i="1"/>
  <c r="AQ218" i="1"/>
  <c r="AQ643" i="1" s="1"/>
  <c r="AV24" i="9"/>
  <c r="AW18" i="1"/>
  <c r="AV22" i="1"/>
  <c r="AD137" i="9"/>
  <c r="AD98" i="9"/>
  <c r="AV26" i="9"/>
  <c r="AW20" i="1"/>
  <c r="AW26" i="9" s="1"/>
  <c r="AO41" i="9"/>
  <c r="AO550" i="1"/>
  <c r="AO208" i="1"/>
  <c r="AO210" i="1" s="1"/>
  <c r="AO209" i="1"/>
  <c r="AN211" i="1"/>
  <c r="AI104" i="9"/>
  <c r="AS41" i="9"/>
  <c r="AS208" i="1"/>
  <c r="AS210" i="1" s="1"/>
  <c r="AS209" i="1"/>
  <c r="AS550" i="1"/>
  <c r="AT305" i="1"/>
  <c r="AQ551" i="1"/>
  <c r="AQ582" i="1" s="1"/>
  <c r="AQ552" i="1"/>
  <c r="AQ601" i="1" s="1"/>
  <c r="AQ553" i="1"/>
  <c r="AQ605" i="1" s="1"/>
  <c r="AR552" i="1"/>
  <c r="AR601" i="1" s="1"/>
  <c r="AR553" i="1"/>
  <c r="AR605" i="1" s="1"/>
  <c r="AR551" i="1"/>
  <c r="AR582" i="1" s="1"/>
  <c r="O113" i="9"/>
  <c r="O117" i="9" s="1"/>
  <c r="E636" i="1"/>
  <c r="E336" i="1"/>
  <c r="E630" i="1"/>
  <c r="E631" i="1"/>
  <c r="AB137" i="9"/>
  <c r="AB98" i="9"/>
  <c r="V60" i="9"/>
  <c r="Z646" i="1"/>
  <c r="V348" i="1"/>
  <c r="V61" i="9" s="1"/>
  <c r="V88" i="9" s="1"/>
  <c r="Z60" i="9"/>
  <c r="Z348" i="1"/>
  <c r="Z61" i="9" s="1"/>
  <c r="Z88" i="9" s="1"/>
  <c r="M60" i="9"/>
  <c r="M348" i="1"/>
  <c r="M61" i="9" s="1"/>
  <c r="M88" i="9" s="1"/>
  <c r="J636" i="1"/>
  <c r="J336" i="1"/>
  <c r="J630" i="1"/>
  <c r="J631" i="1"/>
  <c r="AV27" i="9"/>
  <c r="AW21" i="1"/>
  <c r="AW27" i="9" s="1"/>
  <c r="G336" i="1"/>
  <c r="G630" i="1"/>
  <c r="G631" i="1"/>
  <c r="T60" i="9"/>
  <c r="T348" i="1"/>
  <c r="T61" i="9" s="1"/>
  <c r="T88" i="9" s="1"/>
  <c r="C636" i="1"/>
  <c r="C336" i="1"/>
  <c r="C630" i="1"/>
  <c r="C631" i="1"/>
  <c r="AC638" i="1"/>
  <c r="AC546" i="1"/>
  <c r="AD543" i="1"/>
  <c r="AD544" i="1" s="1"/>
  <c r="F398" i="1"/>
  <c r="F30" i="11" s="1"/>
  <c r="F29" i="11" s="1"/>
  <c r="F404" i="1"/>
  <c r="AS615" i="1"/>
  <c r="I336" i="1"/>
  <c r="I630" i="1"/>
  <c r="I631" i="1"/>
  <c r="AM60" i="9"/>
  <c r="AM348" i="1"/>
  <c r="AM61" i="9" s="1"/>
  <c r="AM88" i="9" s="1"/>
  <c r="C129" i="9"/>
  <c r="C128" i="9"/>
  <c r="AJ638" i="1"/>
  <c r="AO543" i="1"/>
  <c r="AK543" i="1"/>
  <c r="AK544" i="1" s="1"/>
  <c r="AJ546" i="1"/>
  <c r="E129" i="9"/>
  <c r="E128" i="9"/>
  <c r="AR44" i="9"/>
  <c r="AS586" i="1"/>
  <c r="J1" i="9"/>
  <c r="J713" i="1"/>
  <c r="J687" i="1"/>
  <c r="J714" i="1" s="1"/>
  <c r="K4" i="1"/>
  <c r="J3" i="1"/>
  <c r="F129" i="9"/>
  <c r="F128" i="9"/>
  <c r="AE60" i="9"/>
  <c r="AE348" i="1"/>
  <c r="AE61" i="9" s="1"/>
  <c r="AE88" i="9" s="1"/>
  <c r="AV30" i="9"/>
  <c r="AW24" i="1"/>
  <c r="AW30" i="9" s="1"/>
  <c r="AI60" i="9"/>
  <c r="AI348" i="1"/>
  <c r="AI61" i="9" s="1"/>
  <c r="AI88" i="9" s="1"/>
  <c r="H409" i="1"/>
  <c r="H411" i="1" s="1"/>
  <c r="H396" i="1" s="1"/>
  <c r="H397" i="1" s="1"/>
  <c r="H398" i="1" s="1"/>
  <c r="H4" i="9"/>
  <c r="H6" i="9" s="1"/>
  <c r="H11" i="9" s="1"/>
  <c r="S636" i="1"/>
  <c r="S336" i="1"/>
  <c r="S630" i="1"/>
  <c r="S631" i="1"/>
  <c r="U645" i="1"/>
  <c r="U636" i="1"/>
  <c r="U336" i="1"/>
  <c r="U630" i="1"/>
  <c r="U631" i="1"/>
  <c r="Z2" i="9"/>
  <c r="AE5" i="1"/>
  <c r="AA5" i="1"/>
  <c r="D636" i="1"/>
  <c r="D336" i="1"/>
  <c r="D630" i="1"/>
  <c r="D631" i="1"/>
  <c r="M104" i="9"/>
  <c r="AU28" i="9"/>
  <c r="AU28" i="1"/>
  <c r="AU34" i="9" s="1"/>
  <c r="AU11" i="1"/>
  <c r="AU18" i="9" s="1"/>
  <c r="AU31" i="1"/>
  <c r="AU34" i="1" s="1"/>
  <c r="AU305" i="1" s="1"/>
  <c r="AU26" i="1"/>
  <c r="AU39" i="1"/>
  <c r="AP551" i="1"/>
  <c r="AP582" i="1" s="1"/>
  <c r="AP552" i="1"/>
  <c r="AP601" i="1" s="1"/>
  <c r="AP553" i="1"/>
  <c r="AP605" i="1" s="1"/>
  <c r="V636" i="1"/>
  <c r="V336" i="1"/>
  <c r="V630" i="1"/>
  <c r="V631" i="1"/>
  <c r="Z645" i="1"/>
  <c r="Z636" i="1"/>
  <c r="Z336" i="1"/>
  <c r="Z630" i="1"/>
  <c r="Z631" i="1"/>
  <c r="K60" i="9"/>
  <c r="K348" i="1"/>
  <c r="K61" i="9" s="1"/>
  <c r="K88" i="9" s="1"/>
  <c r="AG122" i="9"/>
  <c r="AG137" i="9"/>
  <c r="AG98" i="9"/>
  <c r="AF638" i="1"/>
  <c r="AG543" i="1"/>
  <c r="AG544" i="1" s="1"/>
  <c r="AF546" i="1"/>
  <c r="AM111" i="9"/>
  <c r="AA104" i="9"/>
  <c r="AH346" i="1"/>
  <c r="AH338" i="1"/>
  <c r="AH347" i="1" s="1"/>
  <c r="AH138" i="9"/>
  <c r="AF137" i="9"/>
  <c r="AF98" i="9"/>
  <c r="O60" i="9"/>
  <c r="O348" i="1"/>
  <c r="O61" i="9" s="1"/>
  <c r="O88" i="9" s="1"/>
  <c r="L136" i="9"/>
  <c r="L121" i="9"/>
  <c r="L94" i="9"/>
  <c r="L91" i="9" s="1"/>
  <c r="L68" i="9"/>
  <c r="AI636" i="1"/>
  <c r="AI336" i="1"/>
  <c r="AI630" i="1"/>
  <c r="AI631" i="1"/>
  <c r="AO44" i="1"/>
  <c r="AO42" i="1"/>
  <c r="E111" i="9"/>
  <c r="E107" i="9"/>
  <c r="AC104" i="9"/>
  <c r="AR108" i="9"/>
  <c r="AR109" i="9" s="1"/>
  <c r="AR8" i="9"/>
  <c r="AR633" i="1"/>
  <c r="AR378" i="1"/>
  <c r="AS380" i="1"/>
  <c r="AL137" i="9"/>
  <c r="AL122" i="9"/>
  <c r="AL98" i="9"/>
  <c r="AA636" i="1"/>
  <c r="AA336" i="1"/>
  <c r="AA630" i="1"/>
  <c r="AA631" i="1"/>
  <c r="AJ645" i="1"/>
  <c r="F636" i="1"/>
  <c r="F336" i="1"/>
  <c r="F630" i="1"/>
  <c r="F631" i="1"/>
  <c r="W636" i="1"/>
  <c r="W336" i="1"/>
  <c r="W630" i="1"/>
  <c r="W631" i="1"/>
  <c r="Y60" i="9"/>
  <c r="Y348" i="1"/>
  <c r="Y61" i="9" s="1"/>
  <c r="Y88" i="9" s="1"/>
  <c r="P60" i="9"/>
  <c r="P348" i="1"/>
  <c r="P61" i="9" s="1"/>
  <c r="P88" i="9" s="1"/>
  <c r="N636" i="1"/>
  <c r="N336" i="1"/>
  <c r="N630" i="1"/>
  <c r="N631" i="1"/>
  <c r="AG346" i="1"/>
  <c r="AG338" i="1"/>
  <c r="AG347" i="1" s="1"/>
  <c r="X346" i="1"/>
  <c r="X338" i="1"/>
  <c r="X347" i="1" s="1"/>
  <c r="X138" i="9"/>
  <c r="N104" i="9"/>
  <c r="AC60" i="9"/>
  <c r="AH122" i="9" s="1"/>
  <c r="AC348" i="1"/>
  <c r="AC61" i="9" s="1"/>
  <c r="AC88" i="9" s="1"/>
  <c r="AN43" i="9"/>
  <c r="AN66" i="9" s="1"/>
  <c r="AN215" i="1"/>
  <c r="AO308" i="1"/>
  <c r="AT379" i="1"/>
  <c r="AU379" i="1" s="1"/>
  <c r="AT380" i="1"/>
  <c r="H332" i="1"/>
  <c r="G636" i="1" s="1"/>
  <c r="H341" i="1"/>
  <c r="K646" i="1" s="1"/>
  <c r="H344" i="1"/>
  <c r="H343" i="1"/>
  <c r="Q60" i="9"/>
  <c r="U646" i="1"/>
  <c r="Q348" i="1"/>
  <c r="Q61" i="9" s="1"/>
  <c r="Q88" i="9" s="1"/>
  <c r="W104" i="9"/>
  <c r="Q104" i="9"/>
  <c r="AQ44" i="9"/>
  <c r="M336" i="1"/>
  <c r="M630" i="1"/>
  <c r="M631" i="1"/>
  <c r="J60" i="9"/>
  <c r="J348" i="1"/>
  <c r="J61" i="9" s="1"/>
  <c r="J88" i="9" s="1"/>
  <c r="N2" i="9"/>
  <c r="O5" i="1"/>
  <c r="AH137" i="9"/>
  <c r="AH98" i="9"/>
  <c r="G60" i="9"/>
  <c r="G348" i="1"/>
  <c r="G61" i="9" s="1"/>
  <c r="G88" i="9" s="1"/>
  <c r="T636" i="1"/>
  <c r="T336" i="1"/>
  <c r="T630" i="1"/>
  <c r="T631" i="1"/>
  <c r="X137" i="9"/>
  <c r="X98" i="9"/>
  <c r="AS40" i="9"/>
  <c r="AS306" i="1"/>
  <c r="AS308" i="1"/>
  <c r="AS309" i="1"/>
  <c r="AS15" i="1"/>
  <c r="AS22" i="9" s="1"/>
  <c r="AS634" i="1"/>
  <c r="AT302" i="1"/>
  <c r="AS549" i="1"/>
  <c r="AD104" i="9"/>
  <c r="AP320" i="1"/>
  <c r="AP311" i="1"/>
  <c r="AP218" i="1"/>
  <c r="AP643" i="1" s="1"/>
  <c r="K111" i="9"/>
  <c r="K107" i="9"/>
  <c r="M479" i="1"/>
  <c r="L480" i="1"/>
  <c r="J2" i="9"/>
  <c r="H136" i="9"/>
  <c r="H68" i="9"/>
  <c r="AK346" i="1"/>
  <c r="AK338" i="1"/>
  <c r="AK347" i="1" s="1"/>
  <c r="U111" i="9"/>
  <c r="U107" i="9"/>
  <c r="AN552" i="1"/>
  <c r="AN553" i="1"/>
  <c r="AN551" i="1"/>
  <c r="D638" i="1"/>
  <c r="E543" i="1"/>
  <c r="E544" i="1" s="1"/>
  <c r="D546" i="1"/>
  <c r="AH107" i="9"/>
  <c r="AH111" i="9"/>
  <c r="AV25" i="9"/>
  <c r="AW19" i="1"/>
  <c r="AW25" i="9" s="1"/>
  <c r="AT44" i="1"/>
  <c r="AT42" i="1"/>
  <c r="Y111" i="9"/>
  <c r="AU619" i="1"/>
  <c r="AT615" i="1"/>
  <c r="AU609" i="1"/>
  <c r="I60" i="9"/>
  <c r="I348" i="1"/>
  <c r="I61" i="9" s="1"/>
  <c r="I88" i="9" s="1"/>
  <c r="T111" i="9"/>
  <c r="T107" i="9"/>
  <c r="AL107" i="9"/>
  <c r="AL111" i="9"/>
  <c r="E398" i="1"/>
  <c r="E30" i="11" s="1"/>
  <c r="E29" i="11" s="1"/>
  <c r="E404" i="1"/>
  <c r="R2" i="9"/>
  <c r="S5" i="1"/>
  <c r="AE645" i="1"/>
  <c r="AE636" i="1"/>
  <c r="AE336" i="1"/>
  <c r="AE630" i="1"/>
  <c r="AE631" i="1"/>
  <c r="N113" i="9"/>
  <c r="N117" i="9" s="1"/>
  <c r="AR311" i="1"/>
  <c r="AR320" i="1"/>
  <c r="AR218" i="1"/>
  <c r="AR643" i="1" s="1"/>
  <c r="AA60" i="9"/>
  <c r="AF122" i="9" s="1"/>
  <c r="AE646" i="1"/>
  <c r="AA348" i="1"/>
  <c r="AA61" i="9" s="1"/>
  <c r="AA88" i="9" s="1"/>
  <c r="U60" i="9"/>
  <c r="U348" i="1"/>
  <c r="U61" i="9" s="1"/>
  <c r="U88" i="9" s="1"/>
  <c r="O104" i="9"/>
  <c r="V2" i="9"/>
  <c r="W5" i="1"/>
  <c r="AK104" i="9"/>
  <c r="L332" i="1"/>
  <c r="M636" i="1" s="1"/>
  <c r="L341" i="1"/>
  <c r="L344" i="1"/>
  <c r="L343" i="1"/>
  <c r="AB346" i="1"/>
  <c r="AB338" i="1"/>
  <c r="AB347" i="1" s="1"/>
  <c r="AB138" i="9"/>
  <c r="AP135" i="9"/>
  <c r="AP67" i="9"/>
  <c r="J94" i="9"/>
  <c r="J91" i="9" s="1"/>
  <c r="O94" i="9"/>
  <c r="O91" i="9" s="1"/>
  <c r="F60" i="9"/>
  <c r="F348" i="1"/>
  <c r="M113" i="9"/>
  <c r="M117" i="9" s="1"/>
  <c r="AL346" i="1"/>
  <c r="AL338" i="1"/>
  <c r="AL347" i="1" s="1"/>
  <c r="AL138" i="9"/>
  <c r="Z107" i="9"/>
  <c r="Z111" i="9"/>
  <c r="W60" i="9"/>
  <c r="AB122" i="9" s="1"/>
  <c r="W348" i="1"/>
  <c r="W61" i="9" s="1"/>
  <c r="W88" i="9" s="1"/>
  <c r="Y636" i="1"/>
  <c r="Y336" i="1"/>
  <c r="Y630" i="1"/>
  <c r="Y631" i="1"/>
  <c r="AN64" i="9"/>
  <c r="P636" i="1"/>
  <c r="P336" i="1"/>
  <c r="P630" i="1"/>
  <c r="P631" i="1"/>
  <c r="N60" i="9"/>
  <c r="N348" i="1"/>
  <c r="N61" i="9" s="1"/>
  <c r="N88" i="9" s="1"/>
  <c r="AB104" i="9"/>
  <c r="X636" i="1"/>
  <c r="AC636" i="1"/>
  <c r="AC336" i="1"/>
  <c r="AC630" i="1"/>
  <c r="AC631" i="1"/>
  <c r="AO40" i="9"/>
  <c r="AO549" i="1"/>
  <c r="AO306" i="1"/>
  <c r="AO310" i="1" s="1"/>
  <c r="AO15" i="1"/>
  <c r="AO22" i="9" s="1"/>
  <c r="AO634" i="1"/>
  <c r="AN310" i="1"/>
  <c r="AJ137" i="9"/>
  <c r="AJ122" i="9"/>
  <c r="AJ98" i="9"/>
  <c r="AJ99" i="9" s="1"/>
  <c r="AJ102" i="9" s="1"/>
  <c r="Q636" i="1"/>
  <c r="Q336" i="1"/>
  <c r="Q630" i="1"/>
  <c r="Q631" i="1"/>
  <c r="K645" i="1"/>
  <c r="K636" i="1"/>
  <c r="K336" i="1"/>
  <c r="K630" i="1"/>
  <c r="K631" i="1"/>
  <c r="AF346" i="1"/>
  <c r="AF338" i="1"/>
  <c r="AF347" i="1" s="1"/>
  <c r="AF138" i="9"/>
  <c r="V104" i="9"/>
  <c r="X104" i="9"/>
  <c r="F111" i="9"/>
  <c r="F107" i="9"/>
  <c r="M94" i="9"/>
  <c r="M91" i="9" s="1"/>
  <c r="S104" i="9"/>
  <c r="O636" i="1"/>
  <c r="O336" i="1"/>
  <c r="O630" i="1"/>
  <c r="O631" i="1"/>
  <c r="H103" i="9"/>
  <c r="J104" i="9" s="1"/>
  <c r="H56" i="9"/>
  <c r="C37" i="12" l="1"/>
  <c r="C54" i="12"/>
  <c r="O36" i="12"/>
  <c r="D36" i="12" s="1"/>
  <c r="F125" i="11"/>
  <c r="M24" i="11"/>
  <c r="M28" i="11"/>
  <c r="C39" i="12"/>
  <c r="G141" i="12"/>
  <c r="P645" i="1"/>
  <c r="G138" i="12"/>
  <c r="H138" i="12" s="1" a="1"/>
  <c r="H138" i="12" s="1"/>
  <c r="G127" i="12"/>
  <c r="H127" i="12" s="1" a="1"/>
  <c r="H127" i="12" s="1"/>
  <c r="B26" i="12" s="1"/>
  <c r="C66" i="12" s="1"/>
  <c r="G124" i="12"/>
  <c r="H124" i="12" s="1" a="1"/>
  <c r="H124" i="12" s="1"/>
  <c r="B22" i="12" s="1"/>
  <c r="G135" i="12"/>
  <c r="H135" i="12" s="1" a="1"/>
  <c r="H135" i="12" s="1"/>
  <c r="B23" i="12" s="1"/>
  <c r="C398" i="1"/>
  <c r="C30" i="11" s="1"/>
  <c r="C29" i="11" s="1"/>
  <c r="AH99" i="9"/>
  <c r="AH102" i="9" s="1"/>
  <c r="AN44" i="9"/>
  <c r="AR508" i="1"/>
  <c r="V111" i="9"/>
  <c r="V107" i="9"/>
  <c r="J111" i="9"/>
  <c r="J107" i="9"/>
  <c r="AS42" i="9"/>
  <c r="AS65" i="9" s="1"/>
  <c r="AS217" i="1"/>
  <c r="AT309" i="1"/>
  <c r="U346" i="1"/>
  <c r="U338" i="1"/>
  <c r="U347" i="1" s="1"/>
  <c r="U138" i="9"/>
  <c r="I409" i="1"/>
  <c r="I411" i="1" s="1"/>
  <c r="I396" i="1" s="1"/>
  <c r="I397" i="1" s="1"/>
  <c r="I398" i="1" s="1"/>
  <c r="I4" i="9"/>
  <c r="I6" i="9" s="1"/>
  <c r="I11" i="9" s="1"/>
  <c r="O338" i="1"/>
  <c r="O347" i="1" s="1"/>
  <c r="O346" i="1"/>
  <c r="O138" i="9"/>
  <c r="AN311" i="1"/>
  <c r="AN320" i="1"/>
  <c r="AN218" i="1"/>
  <c r="AN643" i="1" s="1"/>
  <c r="AC346" i="1"/>
  <c r="AC338" i="1"/>
  <c r="AC347" i="1" s="1"/>
  <c r="AC138" i="9"/>
  <c r="P346" i="1"/>
  <c r="P338" i="1"/>
  <c r="P347" i="1" s="1"/>
  <c r="P138" i="9"/>
  <c r="F61" i="9"/>
  <c r="F400" i="1"/>
  <c r="L60" i="9"/>
  <c r="P646" i="1"/>
  <c r="L348" i="1"/>
  <c r="L61" i="9" s="1"/>
  <c r="L88" i="9" s="1"/>
  <c r="AR112" i="9"/>
  <c r="AR321" i="1"/>
  <c r="AR223" i="1" s="1"/>
  <c r="AR222" i="1"/>
  <c r="S2" i="9"/>
  <c r="T5" i="1"/>
  <c r="AV619" i="1"/>
  <c r="N479" i="1"/>
  <c r="M480" i="1"/>
  <c r="AP59" i="9"/>
  <c r="AP219" i="1"/>
  <c r="AT40" i="9"/>
  <c r="AT549" i="1"/>
  <c r="AT306" i="1"/>
  <c r="AT15" i="1"/>
  <c r="AT22" i="9" s="1"/>
  <c r="AT634" i="1"/>
  <c r="AS43" i="9"/>
  <c r="AS66" i="9" s="1"/>
  <c r="AS215" i="1"/>
  <c r="AT308" i="1"/>
  <c r="T346" i="1"/>
  <c r="T338" i="1"/>
  <c r="T347" i="1" s="1"/>
  <c r="T138" i="9"/>
  <c r="G137" i="9"/>
  <c r="G98" i="9"/>
  <c r="O2" i="9"/>
  <c r="AQ135" i="9"/>
  <c r="AQ67" i="9"/>
  <c r="H60" i="9"/>
  <c r="M122" i="9" s="1"/>
  <c r="H348" i="1"/>
  <c r="H61" i="9" s="1"/>
  <c r="H88" i="9" s="1"/>
  <c r="AN135" i="9"/>
  <c r="AN67" i="9"/>
  <c r="Y137" i="9"/>
  <c r="Y122" i="9"/>
  <c r="Y98" i="9"/>
  <c r="AA338" i="1"/>
  <c r="AA347" i="1" s="1"/>
  <c r="AA346" i="1"/>
  <c r="AA138" i="9"/>
  <c r="AA111" i="9"/>
  <c r="AA107" i="9"/>
  <c r="AG638" i="1"/>
  <c r="AG546" i="1"/>
  <c r="AH543" i="1"/>
  <c r="AH544" i="1" s="1"/>
  <c r="AU32" i="9"/>
  <c r="AU302" i="1"/>
  <c r="D346" i="1"/>
  <c r="D338" i="1"/>
  <c r="D138" i="9"/>
  <c r="S338" i="1"/>
  <c r="S347" i="1" s="1"/>
  <c r="S346" i="1"/>
  <c r="S138" i="9"/>
  <c r="J712" i="1"/>
  <c r="J710" i="1" s="1"/>
  <c r="J410" i="1" s="1"/>
  <c r="AT586" i="1"/>
  <c r="AM137" i="9"/>
  <c r="AM122" i="9"/>
  <c r="AM98" i="9"/>
  <c r="I636" i="1"/>
  <c r="AD638" i="1"/>
  <c r="AD546" i="1"/>
  <c r="T137" i="9"/>
  <c r="T122" i="9"/>
  <c r="T98" i="9"/>
  <c r="M137" i="9"/>
  <c r="M98" i="9"/>
  <c r="AQ508" i="1"/>
  <c r="AS211" i="1"/>
  <c r="AW24" i="9"/>
  <c r="AW22" i="1"/>
  <c r="AQ112" i="9"/>
  <c r="AQ321" i="1"/>
  <c r="AQ223" i="1" s="1"/>
  <c r="AQ222" i="1"/>
  <c r="S137" i="9"/>
  <c r="S122" i="9"/>
  <c r="S98" i="9"/>
  <c r="U122" i="9"/>
  <c r="U137" i="9"/>
  <c r="U98" i="9"/>
  <c r="U99" i="9" s="1"/>
  <c r="U102" i="9" s="1"/>
  <c r="E402" i="1"/>
  <c r="E401" i="1"/>
  <c r="E405" i="1"/>
  <c r="AN601" i="1"/>
  <c r="AO552" i="1"/>
  <c r="AO570" i="1" s="1"/>
  <c r="AU612" i="1"/>
  <c r="AV379" i="1"/>
  <c r="N107" i="9"/>
  <c r="N111" i="9"/>
  <c r="W338" i="1"/>
  <c r="W347" i="1" s="1"/>
  <c r="W346" i="1"/>
  <c r="W138" i="9"/>
  <c r="F346" i="1"/>
  <c r="F338" i="1"/>
  <c r="F347" i="1" s="1"/>
  <c r="F138" i="9"/>
  <c r="AC107" i="9"/>
  <c r="AC111" i="9"/>
  <c r="AI111" i="9"/>
  <c r="AI107" i="9"/>
  <c r="AV28" i="9"/>
  <c r="AV31" i="1"/>
  <c r="AV39" i="1" s="1"/>
  <c r="AV11" i="1"/>
  <c r="AV18" i="9" s="1"/>
  <c r="AV26" i="1"/>
  <c r="AV28" i="1"/>
  <c r="AV34" i="9" s="1"/>
  <c r="AG107" i="9"/>
  <c r="AG111" i="9"/>
  <c r="AO42" i="9"/>
  <c r="AO65" i="9" s="1"/>
  <c r="AO217" i="1"/>
  <c r="AO216" i="1"/>
  <c r="K338" i="1"/>
  <c r="K347" i="1" s="1"/>
  <c r="K346" i="1"/>
  <c r="K138" i="9"/>
  <c r="N137" i="9"/>
  <c r="N122" i="9"/>
  <c r="N98" i="9"/>
  <c r="W137" i="9"/>
  <c r="W122" i="9"/>
  <c r="W98" i="9"/>
  <c r="F137" i="9"/>
  <c r="F98" i="9"/>
  <c r="F99" i="9" s="1"/>
  <c r="F102" i="9" s="1"/>
  <c r="L636" i="1"/>
  <c r="L336" i="1"/>
  <c r="L630" i="1"/>
  <c r="L631" i="1"/>
  <c r="O107" i="9"/>
  <c r="O111" i="9"/>
  <c r="AR59" i="9"/>
  <c r="AR219" i="1"/>
  <c r="AE338" i="1"/>
  <c r="AE347" i="1" s="1"/>
  <c r="AE346" i="1"/>
  <c r="AE138" i="9"/>
  <c r="I137" i="9"/>
  <c r="I98" i="9"/>
  <c r="AO551" i="1"/>
  <c r="AO569" i="1" s="1"/>
  <c r="AN582" i="1"/>
  <c r="AP112" i="9"/>
  <c r="AP321" i="1"/>
  <c r="AP222" i="1"/>
  <c r="AS310" i="1"/>
  <c r="Q107" i="9"/>
  <c r="Q111" i="9"/>
  <c r="Q122" i="9"/>
  <c r="Q137" i="9"/>
  <c r="Q98" i="9"/>
  <c r="H636" i="1"/>
  <c r="H336" i="1"/>
  <c r="H630" i="1"/>
  <c r="H631" i="1"/>
  <c r="AS108" i="9"/>
  <c r="AS109" i="9" s="1"/>
  <c r="AS8" i="9"/>
  <c r="AS633" i="1"/>
  <c r="AS378" i="1"/>
  <c r="O137" i="9"/>
  <c r="O122" i="9"/>
  <c r="O98" i="9"/>
  <c r="Z346" i="1"/>
  <c r="Z338" i="1"/>
  <c r="Z347" i="1" s="1"/>
  <c r="Z138" i="9"/>
  <c r="AU41" i="9"/>
  <c r="AU550" i="1"/>
  <c r="AU208" i="1"/>
  <c r="AU210" i="1" s="1"/>
  <c r="AU209" i="1"/>
  <c r="M111" i="9"/>
  <c r="M107" i="9"/>
  <c r="J564" i="1"/>
  <c r="J565" i="1"/>
  <c r="J566" i="1"/>
  <c r="C338" i="1"/>
  <c r="C346" i="1"/>
  <c r="C138" i="9"/>
  <c r="J346" i="1"/>
  <c r="J338" i="1"/>
  <c r="J347" i="1" s="1"/>
  <c r="J138" i="9"/>
  <c r="V137" i="9"/>
  <c r="V122" i="9"/>
  <c r="V98" i="9"/>
  <c r="E346" i="1"/>
  <c r="E338" i="1"/>
  <c r="E138" i="9"/>
  <c r="AR515" i="1"/>
  <c r="AO64" i="9"/>
  <c r="AD122" i="9"/>
  <c r="AQ59" i="9"/>
  <c r="AQ219" i="1"/>
  <c r="L104" i="9"/>
  <c r="AM338" i="1"/>
  <c r="AM347" i="1" s="1"/>
  <c r="AM346" i="1"/>
  <c r="AM138" i="9"/>
  <c r="AO320" i="1"/>
  <c r="AO218" i="1"/>
  <c r="AB107" i="9"/>
  <c r="AB111" i="9"/>
  <c r="W2" i="9"/>
  <c r="X5" i="1"/>
  <c r="E638" i="1"/>
  <c r="E546" i="1"/>
  <c r="F543" i="1"/>
  <c r="F544" i="1" s="1"/>
  <c r="AS553" i="1"/>
  <c r="AS551" i="1"/>
  <c r="AS552" i="1"/>
  <c r="J137" i="9"/>
  <c r="J98" i="9"/>
  <c r="N346" i="1"/>
  <c r="N338" i="1"/>
  <c r="N347" i="1" s="1"/>
  <c r="N138" i="9"/>
  <c r="AU42" i="1"/>
  <c r="AU44" i="1"/>
  <c r="AE2" i="9"/>
  <c r="AJ5" i="1"/>
  <c r="AF5" i="1"/>
  <c r="J705" i="1"/>
  <c r="J703" i="1" s="1"/>
  <c r="J707" i="1"/>
  <c r="J700" i="1"/>
  <c r="J698" i="1"/>
  <c r="J696" i="1" s="1"/>
  <c r="J408" i="1" s="1"/>
  <c r="J691" i="1"/>
  <c r="J689" i="1" s="1"/>
  <c r="J407" i="1" s="1"/>
  <c r="J693" i="1"/>
  <c r="I346" i="1"/>
  <c r="I338" i="1"/>
  <c r="I347" i="1" s="1"/>
  <c r="I138" i="9"/>
  <c r="F402" i="1"/>
  <c r="F401" i="1"/>
  <c r="F405" i="1"/>
  <c r="G338" i="1"/>
  <c r="G347" i="1" s="1"/>
  <c r="G346" i="1"/>
  <c r="G138" i="9"/>
  <c r="AW29" i="9"/>
  <c r="AW25" i="1"/>
  <c r="AU589" i="1"/>
  <c r="AT591" i="1"/>
  <c r="S111" i="9"/>
  <c r="S107" i="9"/>
  <c r="X107" i="9"/>
  <c r="X111" i="9"/>
  <c r="Q346" i="1"/>
  <c r="Q338" i="1"/>
  <c r="Q347" i="1" s="1"/>
  <c r="Q138" i="9"/>
  <c r="Y346" i="1"/>
  <c r="Y338" i="1"/>
  <c r="Y347" i="1" s="1"/>
  <c r="Y138" i="9"/>
  <c r="AK107" i="9"/>
  <c r="AK111" i="9"/>
  <c r="AA137" i="9"/>
  <c r="AA98" i="9"/>
  <c r="AA99" i="9" s="1"/>
  <c r="AA102" i="9" s="1"/>
  <c r="AA122" i="9"/>
  <c r="AV609" i="1"/>
  <c r="AU615" i="1"/>
  <c r="AO553" i="1"/>
  <c r="AO571" i="1" s="1"/>
  <c r="AN605" i="1"/>
  <c r="AO605" i="1" s="1"/>
  <c r="AD107" i="9"/>
  <c r="AD111" i="9"/>
  <c r="M346" i="1"/>
  <c r="M338" i="1"/>
  <c r="M347" i="1" s="1"/>
  <c r="M138" i="9"/>
  <c r="W111" i="9"/>
  <c r="W107" i="9"/>
  <c r="AT108" i="9"/>
  <c r="AT109" i="9" s="1"/>
  <c r="AT8" i="9"/>
  <c r="AT633" i="1"/>
  <c r="AU380" i="1"/>
  <c r="AU384" i="1" s="1"/>
  <c r="AO43" i="9"/>
  <c r="AO66" i="9" s="1"/>
  <c r="AO215" i="1"/>
  <c r="AO214" i="1"/>
  <c r="AC137" i="9"/>
  <c r="AC122" i="9"/>
  <c r="AC98" i="9"/>
  <c r="AF99" i="9" s="1"/>
  <c r="AF102" i="9" s="1"/>
  <c r="P137" i="9"/>
  <c r="P122" i="9"/>
  <c r="P98" i="9"/>
  <c r="P99" i="9" s="1"/>
  <c r="P102" i="9" s="1"/>
  <c r="AI338" i="1"/>
  <c r="AI347" i="1" s="1"/>
  <c r="AI346" i="1"/>
  <c r="AI138" i="9"/>
  <c r="K137" i="9"/>
  <c r="K122" i="9"/>
  <c r="K98" i="9"/>
  <c r="K99" i="9" s="1"/>
  <c r="K102" i="9" s="1"/>
  <c r="V346" i="1"/>
  <c r="V338" i="1"/>
  <c r="V347" i="1" s="1"/>
  <c r="V138" i="9"/>
  <c r="AQ515" i="1"/>
  <c r="AA2" i="9"/>
  <c r="AB5" i="1"/>
  <c r="AI137" i="9"/>
  <c r="AI122" i="9"/>
  <c r="AI98" i="9"/>
  <c r="AI99" i="9" s="1"/>
  <c r="AI102" i="9" s="1"/>
  <c r="AE137" i="9"/>
  <c r="AE122" i="9"/>
  <c r="AE98" i="9"/>
  <c r="AE99" i="9" s="1"/>
  <c r="AE102" i="9" s="1"/>
  <c r="K1" i="9"/>
  <c r="K713" i="1"/>
  <c r="K3" i="1"/>
  <c r="L4" i="1"/>
  <c r="AR135" i="9"/>
  <c r="AR67" i="9"/>
  <c r="AK638" i="1"/>
  <c r="AK546" i="1"/>
  <c r="AL543" i="1"/>
  <c r="AL544" i="1" s="1"/>
  <c r="Z137" i="9"/>
  <c r="Z122" i="9"/>
  <c r="Z98" i="9"/>
  <c r="Z99" i="9" s="1"/>
  <c r="Z102" i="9" s="1"/>
  <c r="AT41" i="9"/>
  <c r="AT64" i="9" s="1"/>
  <c r="AT550" i="1"/>
  <c r="AT208" i="1"/>
  <c r="AT210" i="1" s="1"/>
  <c r="AT209" i="1"/>
  <c r="AS64" i="9"/>
  <c r="AO211" i="1"/>
  <c r="AV31" i="9"/>
  <c r="AV14" i="1"/>
  <c r="AV21" i="9" s="1"/>
  <c r="AV32" i="1"/>
  <c r="AV40" i="1" s="1"/>
  <c r="AV45" i="1" s="1"/>
  <c r="R137" i="9"/>
  <c r="R122" i="9"/>
  <c r="R98" i="9"/>
  <c r="R346" i="1"/>
  <c r="R338" i="1"/>
  <c r="R347" i="1" s="1"/>
  <c r="R138" i="9"/>
  <c r="AO643" i="1" l="1"/>
  <c r="C40" i="12"/>
  <c r="C62" i="12"/>
  <c r="B18" i="12"/>
  <c r="C55" i="12"/>
  <c r="D71" i="12"/>
  <c r="D54" i="12"/>
  <c r="B15" i="12"/>
  <c r="D37" i="12"/>
  <c r="D66" i="12"/>
  <c r="C44" i="12"/>
  <c r="C46" i="12" s="1"/>
  <c r="B44" i="12"/>
  <c r="B46" i="12" s="1"/>
  <c r="B47" i="12" s="1"/>
  <c r="D44" i="12"/>
  <c r="H43" i="12"/>
  <c r="F43" i="12"/>
  <c r="G43" i="12"/>
  <c r="E43" i="12"/>
  <c r="C43" i="12"/>
  <c r="D43" i="12"/>
  <c r="D73" i="12"/>
  <c r="G125" i="11"/>
  <c r="P36" i="12"/>
  <c r="E36" i="12" s="1"/>
  <c r="C405" i="1"/>
  <c r="C401" i="1"/>
  <c r="C402" i="1"/>
  <c r="AS44" i="9"/>
  <c r="W99" i="9"/>
  <c r="W102" i="9" s="1"/>
  <c r="R99" i="9"/>
  <c r="R102" i="9" s="1"/>
  <c r="AB99" i="9"/>
  <c r="AB102" i="9" s="1"/>
  <c r="AG99" i="9"/>
  <c r="AG102" i="9" s="1"/>
  <c r="J567" i="1"/>
  <c r="AT310" i="1"/>
  <c r="AV42" i="1"/>
  <c r="AV44" i="1"/>
  <c r="AL638" i="1"/>
  <c r="AL546" i="1"/>
  <c r="AM543" i="1"/>
  <c r="AM544" i="1" s="1"/>
  <c r="AF2" i="9"/>
  <c r="AG5" i="1"/>
  <c r="AS605" i="1"/>
  <c r="AT605" i="1" s="1"/>
  <c r="AT553" i="1"/>
  <c r="AT571" i="1" s="1"/>
  <c r="X2" i="9"/>
  <c r="Y5" i="1"/>
  <c r="AQ136" i="9"/>
  <c r="AQ68" i="9"/>
  <c r="AP223" i="1"/>
  <c r="AR136" i="9"/>
  <c r="AR68" i="9"/>
  <c r="AO44" i="9"/>
  <c r="AK99" i="9"/>
  <c r="AK102" i="9" s="1"/>
  <c r="AW28" i="9"/>
  <c r="AW11" i="1"/>
  <c r="AW18" i="9" s="1"/>
  <c r="AW26" i="1"/>
  <c r="AW31" i="1"/>
  <c r="AW39" i="1" s="1"/>
  <c r="AU586" i="1"/>
  <c r="AT43" i="9"/>
  <c r="AT66" i="9" s="1"/>
  <c r="AT215" i="1"/>
  <c r="AT214" i="1"/>
  <c r="T2" i="9"/>
  <c r="L137" i="9"/>
  <c r="L122" i="9"/>
  <c r="L98" i="9"/>
  <c r="AN59" i="9"/>
  <c r="AN219" i="1"/>
  <c r="AO311" i="1"/>
  <c r="H385" i="1"/>
  <c r="G387" i="1"/>
  <c r="H387" i="1"/>
  <c r="K565" i="1"/>
  <c r="I387" i="1"/>
  <c r="J387" i="1"/>
  <c r="K566" i="1"/>
  <c r="J385" i="1"/>
  <c r="G385" i="1"/>
  <c r="I385" i="1"/>
  <c r="K564" i="1"/>
  <c r="AB2" i="9"/>
  <c r="AC5" i="1"/>
  <c r="AT211" i="1"/>
  <c r="AU324" i="1"/>
  <c r="L1" i="9"/>
  <c r="L713" i="1"/>
  <c r="L3" i="1"/>
  <c r="L687" i="1" s="1"/>
  <c r="L714" i="1" s="1"/>
  <c r="M4" i="1"/>
  <c r="AL99" i="9"/>
  <c r="AL102" i="9" s="1"/>
  <c r="AC99" i="9"/>
  <c r="AC102" i="9" s="1"/>
  <c r="AU108" i="9"/>
  <c r="AU109" i="9" s="1"/>
  <c r="AU8" i="9"/>
  <c r="AU633" i="1"/>
  <c r="AU378" i="1"/>
  <c r="AV380" i="1"/>
  <c r="AV384" i="1" s="1"/>
  <c r="AW609" i="1"/>
  <c r="AJ2" i="9"/>
  <c r="AO5" i="1"/>
  <c r="AK5" i="1"/>
  <c r="F638" i="1"/>
  <c r="F546" i="1"/>
  <c r="K543" i="1"/>
  <c r="K544" i="1" s="1"/>
  <c r="G543" i="1"/>
  <c r="G544" i="1" s="1"/>
  <c r="AO112" i="9"/>
  <c r="AO113" i="9" s="1"/>
  <c r="AO222" i="1"/>
  <c r="L111" i="9"/>
  <c r="L107" i="9"/>
  <c r="E347" i="1"/>
  <c r="E341" i="1"/>
  <c r="AU211" i="1"/>
  <c r="O99" i="9"/>
  <c r="O102" i="9" s="1"/>
  <c r="Q99" i="9"/>
  <c r="Q102" i="9" s="1"/>
  <c r="L346" i="1"/>
  <c r="L338" i="1"/>
  <c r="L347" i="1" s="1"/>
  <c r="L138" i="9"/>
  <c r="N99" i="9"/>
  <c r="N102" i="9" s="1"/>
  <c r="AV612" i="1"/>
  <c r="AV615" i="1" s="1"/>
  <c r="AW379" i="1"/>
  <c r="AW612" i="1" s="1"/>
  <c r="AO601" i="1"/>
  <c r="AP508" i="1" s="1"/>
  <c r="AN508" i="1"/>
  <c r="AO508" i="1" s="1"/>
  <c r="S99" i="9"/>
  <c r="S102" i="9" s="1"/>
  <c r="AM99" i="9"/>
  <c r="AM102" i="9" s="1"/>
  <c r="AU40" i="9"/>
  <c r="AU549" i="1"/>
  <c r="AU308" i="1"/>
  <c r="AU309" i="1"/>
  <c r="AU306" i="1"/>
  <c r="AU310" i="1" s="1"/>
  <c r="AU15" i="1"/>
  <c r="AU22" i="9" s="1"/>
  <c r="AU634" i="1"/>
  <c r="AT320" i="1"/>
  <c r="AT218" i="1"/>
  <c r="O479" i="1"/>
  <c r="N480" i="1"/>
  <c r="AT42" i="9"/>
  <c r="AT65" i="9" s="1"/>
  <c r="AT217" i="1"/>
  <c r="AT643" i="1" s="1"/>
  <c r="AT216" i="1"/>
  <c r="AS135" i="9"/>
  <c r="AS67" i="9"/>
  <c r="AV589" i="1"/>
  <c r="AU591" i="1"/>
  <c r="AS601" i="1"/>
  <c r="AT552" i="1"/>
  <c r="AT570" i="1" s="1"/>
  <c r="AS311" i="1"/>
  <c r="AS320" i="1"/>
  <c r="AS218" i="1"/>
  <c r="AS643" i="1" s="1"/>
  <c r="AV34" i="1"/>
  <c r="AV305" i="1" s="1"/>
  <c r="H137" i="9"/>
  <c r="H98" i="9"/>
  <c r="J99" i="9" s="1"/>
  <c r="J102" i="9" s="1"/>
  <c r="AW619" i="1"/>
  <c r="F88" i="9"/>
  <c r="F127" i="9"/>
  <c r="K687" i="1"/>
  <c r="AW31" i="9"/>
  <c r="AW32" i="1"/>
  <c r="AW40" i="1"/>
  <c r="AW45" i="1" s="1"/>
  <c r="AW14" i="1"/>
  <c r="AW21" i="9" s="1"/>
  <c r="J409" i="1"/>
  <c r="J411" i="1" s="1"/>
  <c r="J396" i="1" s="1"/>
  <c r="J397" i="1" s="1"/>
  <c r="J398" i="1" s="1"/>
  <c r="J4" i="9"/>
  <c r="J6" i="9" s="1"/>
  <c r="J11" i="9" s="1"/>
  <c r="AT551" i="1"/>
  <c r="AT569" i="1" s="1"/>
  <c r="AS582" i="1"/>
  <c r="V99" i="9"/>
  <c r="V102" i="9" s="1"/>
  <c r="C347" i="1"/>
  <c r="C341" i="1"/>
  <c r="H346" i="1"/>
  <c r="H338" i="1"/>
  <c r="H347" i="1" s="1"/>
  <c r="H138" i="9"/>
  <c r="AO582" i="1"/>
  <c r="AP515" i="1" s="1"/>
  <c r="AN515" i="1"/>
  <c r="AO515" i="1" s="1"/>
  <c r="AV32" i="9"/>
  <c r="AV302" i="1"/>
  <c r="X99" i="9"/>
  <c r="X102" i="9" s="1"/>
  <c r="AD99" i="9"/>
  <c r="AD102" i="9" s="1"/>
  <c r="T99" i="9"/>
  <c r="T102" i="9" s="1"/>
  <c r="D347" i="1"/>
  <c r="D341" i="1"/>
  <c r="AH638" i="1"/>
  <c r="AH546" i="1"/>
  <c r="AI543" i="1"/>
  <c r="AI544" i="1" s="1"/>
  <c r="Y99" i="9"/>
  <c r="Y102" i="9" s="1"/>
  <c r="AT44" i="9"/>
  <c r="AP136" i="9"/>
  <c r="AP94" i="9"/>
  <c r="AP68" i="9"/>
  <c r="AN112" i="9"/>
  <c r="AN113" i="9" s="1"/>
  <c r="AN321" i="1"/>
  <c r="AN222" i="1"/>
  <c r="E71" i="12" l="1"/>
  <c r="E54" i="12"/>
  <c r="E73" i="12" s="1"/>
  <c r="E37" i="12"/>
  <c r="D127" i="11"/>
  <c r="D128" i="11" s="1"/>
  <c r="E128" i="11" s="1"/>
  <c r="H19" i="11"/>
  <c r="I19" i="11" s="1"/>
  <c r="H125" i="11"/>
  <c r="Q36" i="12"/>
  <c r="F36" i="12" s="1"/>
  <c r="F71" i="12" s="1"/>
  <c r="E44" i="12"/>
  <c r="E66" i="12"/>
  <c r="C50" i="12"/>
  <c r="C47" i="12"/>
  <c r="K567" i="1"/>
  <c r="AV324" i="1"/>
  <c r="AI638" i="1"/>
  <c r="AI546" i="1"/>
  <c r="C60" i="9"/>
  <c r="C348" i="1"/>
  <c r="AT601" i="1"/>
  <c r="AS508" i="1"/>
  <c r="AU311" i="1"/>
  <c r="AU320" i="1"/>
  <c r="AU218" i="1"/>
  <c r="AT508" i="1"/>
  <c r="M1" i="9"/>
  <c r="M713" i="1"/>
  <c r="M687" i="1"/>
  <c r="M712" i="1" s="1"/>
  <c r="M710" i="1" s="1"/>
  <c r="M410" i="1" s="1"/>
  <c r="N4" i="1"/>
  <c r="M3" i="1"/>
  <c r="AO59" i="9"/>
  <c r="AO219" i="1"/>
  <c r="L99" i="9"/>
  <c r="L102" i="9" s="1"/>
  <c r="AW32" i="9"/>
  <c r="AW302" i="1"/>
  <c r="AV40" i="9"/>
  <c r="AV549" i="1"/>
  <c r="AV309" i="1"/>
  <c r="AV306" i="1"/>
  <c r="AV308" i="1"/>
  <c r="AV15" i="1"/>
  <c r="AV22" i="9" s="1"/>
  <c r="AV634" i="1"/>
  <c r="AS112" i="9"/>
  <c r="AS113" i="9" s="1"/>
  <c r="AS321" i="1"/>
  <c r="AS222" i="1"/>
  <c r="AR113" i="9"/>
  <c r="AT112" i="9"/>
  <c r="AT113" i="9" s="1"/>
  <c r="AT222" i="1"/>
  <c r="AU42" i="9"/>
  <c r="AU65" i="9" s="1"/>
  <c r="AU217" i="1"/>
  <c r="L564" i="1"/>
  <c r="L565" i="1"/>
  <c r="L566" i="1"/>
  <c r="M99" i="9"/>
  <c r="M102" i="9" s="1"/>
  <c r="AW44" i="1"/>
  <c r="AW42" i="1"/>
  <c r="AO135" i="9"/>
  <c r="AO67" i="9"/>
  <c r="AU64" i="9"/>
  <c r="AT135" i="9"/>
  <c r="AT67" i="9"/>
  <c r="AN223" i="1"/>
  <c r="AO321" i="1"/>
  <c r="AO223" i="1" s="1"/>
  <c r="AV41" i="9"/>
  <c r="AV64" i="9" s="1"/>
  <c r="AV550" i="1"/>
  <c r="AV209" i="1"/>
  <c r="AV208" i="1"/>
  <c r="AV210" i="1" s="1"/>
  <c r="AS59" i="9"/>
  <c r="AS219" i="1"/>
  <c r="AT311" i="1"/>
  <c r="AV591" i="1"/>
  <c r="AW589" i="1"/>
  <c r="AW591" i="1" s="1"/>
  <c r="AU43" i="9"/>
  <c r="AU66" i="9" s="1"/>
  <c r="AU215" i="1"/>
  <c r="G638" i="1"/>
  <c r="H543" i="1"/>
  <c r="H544" i="1" s="1"/>
  <c r="G546" i="1"/>
  <c r="AK2" i="9"/>
  <c r="AL5" i="1"/>
  <c r="AW615" i="1"/>
  <c r="L707" i="1"/>
  <c r="L700" i="1"/>
  <c r="L705" i="1"/>
  <c r="L703" i="1" s="1"/>
  <c r="L693" i="1"/>
  <c r="L698" i="1"/>
  <c r="L696" i="1" s="1"/>
  <c r="L408" i="1" s="1"/>
  <c r="L691" i="1"/>
  <c r="L689" i="1" s="1"/>
  <c r="L407" i="1" s="1"/>
  <c r="L712" i="1"/>
  <c r="L710" i="1" s="1"/>
  <c r="L410" i="1" s="1"/>
  <c r="AW34" i="1"/>
  <c r="AW305" i="1" s="1"/>
  <c r="Y2" i="9"/>
  <c r="AM638" i="1"/>
  <c r="AN543" i="1"/>
  <c r="AM546" i="1"/>
  <c r="D60" i="9"/>
  <c r="D348" i="1"/>
  <c r="AQ113" i="9"/>
  <c r="AT582" i="1"/>
  <c r="AS515" i="1"/>
  <c r="AT515" i="1" s="1"/>
  <c r="K705" i="1"/>
  <c r="K703" i="1" s="1"/>
  <c r="K707" i="1"/>
  <c r="K700" i="1"/>
  <c r="K698" i="1"/>
  <c r="K696" i="1" s="1"/>
  <c r="K408" i="1" s="1"/>
  <c r="K691" i="1"/>
  <c r="K689" i="1" s="1"/>
  <c r="K407" i="1" s="1"/>
  <c r="K693" i="1"/>
  <c r="K714" i="1"/>
  <c r="K712" i="1"/>
  <c r="K710" i="1" s="1"/>
  <c r="K410" i="1" s="1"/>
  <c r="AP113" i="9"/>
  <c r="P479" i="1"/>
  <c r="P480" i="1" s="1"/>
  <c r="Q479" i="1" s="1"/>
  <c r="O480" i="1"/>
  <c r="AU551" i="1"/>
  <c r="AU582" i="1" s="1"/>
  <c r="AU552" i="1"/>
  <c r="AU601" i="1" s="1"/>
  <c r="AU508" i="1" s="1"/>
  <c r="AU553" i="1"/>
  <c r="AU605" i="1" s="1"/>
  <c r="E60" i="9"/>
  <c r="E348" i="1"/>
  <c r="K638" i="1"/>
  <c r="P543" i="1"/>
  <c r="P544" i="1" s="1"/>
  <c r="L543" i="1"/>
  <c r="L544" i="1" s="1"/>
  <c r="K546" i="1"/>
  <c r="AO2" i="9"/>
  <c r="AO674" i="1"/>
  <c r="AO675" i="1" s="1"/>
  <c r="AT5" i="1"/>
  <c r="AP5" i="1"/>
  <c r="AV108" i="9"/>
  <c r="AV109" i="9" s="1"/>
  <c r="AV8" i="9"/>
  <c r="AV633" i="1"/>
  <c r="AV378" i="1"/>
  <c r="AW380" i="1"/>
  <c r="AW384" i="1" s="1"/>
  <c r="AC2" i="9"/>
  <c r="AD5" i="1"/>
  <c r="AN136" i="9"/>
  <c r="AN94" i="9"/>
  <c r="AN68" i="9"/>
  <c r="AV586" i="1"/>
  <c r="AW28" i="1"/>
  <c r="AW34" i="9" s="1"/>
  <c r="AR94" i="9"/>
  <c r="AQ94" i="9"/>
  <c r="AG2" i="9"/>
  <c r="AH5" i="1"/>
  <c r="M30" i="10"/>
  <c r="M31" i="10"/>
  <c r="F128" i="11" l="1"/>
  <c r="E127" i="11"/>
  <c r="O39" i="12" s="1"/>
  <c r="D39" i="12" s="1"/>
  <c r="F54" i="12"/>
  <c r="F37" i="12"/>
  <c r="F66" i="12"/>
  <c r="F44" i="12"/>
  <c r="I125" i="11"/>
  <c r="S36" i="12" s="1"/>
  <c r="H36" i="12" s="1"/>
  <c r="R36" i="12"/>
  <c r="G36" i="12" s="1"/>
  <c r="AU515" i="1"/>
  <c r="AV310" i="1"/>
  <c r="AV311" i="1" s="1"/>
  <c r="P30" i="10"/>
  <c r="O30" i="10"/>
  <c r="P31" i="10"/>
  <c r="O31" i="10"/>
  <c r="AW324" i="1"/>
  <c r="AH2" i="9"/>
  <c r="AI5" i="1"/>
  <c r="AW41" i="9"/>
  <c r="AW550" i="1"/>
  <c r="AW208" i="1"/>
  <c r="AW210" i="1" s="1"/>
  <c r="AW209" i="1"/>
  <c r="H638" i="1"/>
  <c r="I543" i="1"/>
  <c r="I544" i="1" s="1"/>
  <c r="H546" i="1"/>
  <c r="AV320" i="1"/>
  <c r="AW40" i="9"/>
  <c r="AW549" i="1"/>
  <c r="AW306" i="1"/>
  <c r="AW308" i="1"/>
  <c r="AW309" i="1"/>
  <c r="AW15" i="1"/>
  <c r="AW22" i="9" s="1"/>
  <c r="AW634" i="1"/>
  <c r="AW586" i="1"/>
  <c r="L638" i="1"/>
  <c r="M543" i="1"/>
  <c r="M544" i="1" s="1"/>
  <c r="L546" i="1"/>
  <c r="E122" i="9"/>
  <c r="E137" i="9"/>
  <c r="E98" i="9"/>
  <c r="E99" i="9" s="1"/>
  <c r="E102" i="9" s="1"/>
  <c r="F122" i="9"/>
  <c r="M707" i="1"/>
  <c r="M700" i="1"/>
  <c r="M705" i="1"/>
  <c r="M703" i="1" s="1"/>
  <c r="M693" i="1"/>
  <c r="M698" i="1"/>
  <c r="M696" i="1" s="1"/>
  <c r="M408" i="1" s="1"/>
  <c r="M691" i="1"/>
  <c r="M689" i="1" s="1"/>
  <c r="M407" i="1" s="1"/>
  <c r="P638" i="1"/>
  <c r="U543" i="1"/>
  <c r="U544" i="1" s="1"/>
  <c r="Q543" i="1"/>
  <c r="Q544" i="1" s="1"/>
  <c r="P546" i="1"/>
  <c r="R479" i="1"/>
  <c r="Q480" i="1"/>
  <c r="L409" i="1"/>
  <c r="L411" i="1" s="1"/>
  <c r="L396" i="1" s="1"/>
  <c r="L397" i="1" s="1"/>
  <c r="L398" i="1" s="1"/>
  <c r="L4" i="9"/>
  <c r="L6" i="9" s="1"/>
  <c r="L11" i="9" s="1"/>
  <c r="AL2" i="9"/>
  <c r="AM5" i="1"/>
  <c r="AS136" i="9"/>
  <c r="AS94" i="9"/>
  <c r="AS68" i="9"/>
  <c r="L567" i="1"/>
  <c r="AV42" i="9"/>
  <c r="AV65" i="9" s="1"/>
  <c r="AV217" i="1"/>
  <c r="AO136" i="9"/>
  <c r="AO94" i="9"/>
  <c r="AO68" i="9"/>
  <c r="M714" i="1"/>
  <c r="AU112" i="9"/>
  <c r="AU113" i="9" s="1"/>
  <c r="AU321" i="1"/>
  <c r="AU223" i="1" s="1"/>
  <c r="AU222" i="1"/>
  <c r="C61" i="9"/>
  <c r="C400" i="1"/>
  <c r="K409" i="1"/>
  <c r="K411" i="1" s="1"/>
  <c r="K396" i="1" s="1"/>
  <c r="K4" i="9"/>
  <c r="D61" i="9"/>
  <c r="D400" i="1"/>
  <c r="AT59" i="9"/>
  <c r="AT219" i="1"/>
  <c r="AS223" i="1"/>
  <c r="AT321" i="1"/>
  <c r="AT223" i="1" s="1"/>
  <c r="AV552" i="1"/>
  <c r="AV601" i="1" s="1"/>
  <c r="AV508" i="1" s="1"/>
  <c r="AV553" i="1"/>
  <c r="AV605" i="1" s="1"/>
  <c r="AV515" i="1" s="1"/>
  <c r="AV551" i="1"/>
  <c r="AV582" i="1" s="1"/>
  <c r="M564" i="1"/>
  <c r="M565" i="1"/>
  <c r="M566" i="1"/>
  <c r="AU44" i="9"/>
  <c r="AU59" i="9"/>
  <c r="AU219" i="1"/>
  <c r="C137" i="9"/>
  <c r="C98" i="9"/>
  <c r="C99" i="9" s="1"/>
  <c r="AW108" i="9"/>
  <c r="AW109" i="9" s="1"/>
  <c r="AW8" i="9"/>
  <c r="AW633" i="1"/>
  <c r="AW378" i="1"/>
  <c r="AP2" i="9"/>
  <c r="AP674" i="1"/>
  <c r="AP675" i="1" s="1"/>
  <c r="AQ5" i="1"/>
  <c r="AD2" i="9"/>
  <c r="AT2" i="9"/>
  <c r="AT674" i="1"/>
  <c r="AT675" i="1" s="1"/>
  <c r="AU5" i="1"/>
  <c r="E61" i="9"/>
  <c r="E400" i="1"/>
  <c r="D137" i="9"/>
  <c r="D122" i="9"/>
  <c r="D98" i="9"/>
  <c r="D99" i="9" s="1"/>
  <c r="D102" i="9" s="1"/>
  <c r="AV211" i="1"/>
  <c r="AU643" i="1"/>
  <c r="AV43" i="9"/>
  <c r="AV66" i="9" s="1"/>
  <c r="AV215" i="1"/>
  <c r="N1" i="9"/>
  <c r="N713" i="1"/>
  <c r="O4" i="1"/>
  <c r="N3" i="1"/>
  <c r="M27" i="10"/>
  <c r="M28" i="10"/>
  <c r="M21" i="10"/>
  <c r="M19" i="10"/>
  <c r="M18" i="10"/>
  <c r="M25" i="10"/>
  <c r="M22" i="10"/>
  <c r="M24" i="10"/>
  <c r="D72" i="12" l="1"/>
  <c r="D74" i="12" s="1"/>
  <c r="D62" i="12"/>
  <c r="D40" i="12"/>
  <c r="B19" i="12"/>
  <c r="B20" i="12" s="1"/>
  <c r="D55" i="12"/>
  <c r="D46" i="12"/>
  <c r="D47" i="12" s="1"/>
  <c r="G54" i="12"/>
  <c r="G66" i="12"/>
  <c r="G37" i="12"/>
  <c r="H71" i="12"/>
  <c r="G44" i="12"/>
  <c r="G71" i="12"/>
  <c r="F73" i="12"/>
  <c r="G73" i="12"/>
  <c r="G128" i="11"/>
  <c r="F127" i="11"/>
  <c r="P39" i="12" s="1"/>
  <c r="E39" i="12" s="1"/>
  <c r="H66" i="12"/>
  <c r="H54" i="12"/>
  <c r="I36" i="12"/>
  <c r="H37" i="12"/>
  <c r="I71" i="12"/>
  <c r="H44" i="12"/>
  <c r="G31" i="11"/>
  <c r="AV218" i="1"/>
  <c r="AV643" i="1" s="1"/>
  <c r="AV44" i="9"/>
  <c r="P19" i="10"/>
  <c r="O19" i="10"/>
  <c r="P25" i="10"/>
  <c r="O25" i="10"/>
  <c r="P18" i="10"/>
  <c r="O18" i="10"/>
  <c r="P24" i="10"/>
  <c r="O24" i="10"/>
  <c r="O22" i="10"/>
  <c r="P22" i="10"/>
  <c r="O28" i="10"/>
  <c r="P28" i="10"/>
  <c r="P21" i="10"/>
  <c r="O21" i="10"/>
  <c r="P27" i="10"/>
  <c r="O27" i="10"/>
  <c r="E88" i="9"/>
  <c r="E127" i="9"/>
  <c r="N564" i="1"/>
  <c r="N565" i="1"/>
  <c r="N566" i="1"/>
  <c r="O1" i="9"/>
  <c r="O713" i="1"/>
  <c r="O3" i="1"/>
  <c r="P4" i="1"/>
  <c r="AU136" i="9"/>
  <c r="AU94" i="9"/>
  <c r="AU68" i="9"/>
  <c r="M567" i="1"/>
  <c r="AT136" i="9"/>
  <c r="AT94" i="9"/>
  <c r="AT68" i="9"/>
  <c r="K403" i="1"/>
  <c r="K400" i="1"/>
  <c r="K397" i="1"/>
  <c r="U546" i="1"/>
  <c r="Z543" i="1"/>
  <c r="Z544" i="1" s="1"/>
  <c r="V543" i="1"/>
  <c r="V544" i="1" s="1"/>
  <c r="AW553" i="1"/>
  <c r="AW605" i="1" s="1"/>
  <c r="AW551" i="1"/>
  <c r="AW582" i="1" s="1"/>
  <c r="AW552" i="1"/>
  <c r="AW601" i="1" s="1"/>
  <c r="AW508" i="1" s="1"/>
  <c r="AV59" i="9"/>
  <c r="AV219" i="1"/>
  <c r="AW211" i="1"/>
  <c r="AI2" i="9"/>
  <c r="AQ2" i="9"/>
  <c r="AQ674" i="1"/>
  <c r="AQ675" i="1" s="1"/>
  <c r="AR5" i="1"/>
  <c r="N687" i="1"/>
  <c r="AU135" i="9"/>
  <c r="AU67" i="9"/>
  <c r="AW515" i="1"/>
  <c r="S479" i="1"/>
  <c r="R480" i="1"/>
  <c r="AW42" i="9"/>
  <c r="AW65" i="9" s="1"/>
  <c r="AW217" i="1"/>
  <c r="D88" i="9"/>
  <c r="D127" i="9"/>
  <c r="C88" i="9"/>
  <c r="C127" i="9"/>
  <c r="M409" i="1"/>
  <c r="M411" i="1" s="1"/>
  <c r="M396" i="1" s="1"/>
  <c r="M397" i="1" s="1"/>
  <c r="M398" i="1" s="1"/>
  <c r="M4" i="9"/>
  <c r="M6" i="9" s="1"/>
  <c r="M11" i="9" s="1"/>
  <c r="M638" i="1"/>
  <c r="M546" i="1"/>
  <c r="N543" i="1"/>
  <c r="N544" i="1" s="1"/>
  <c r="AW43" i="9"/>
  <c r="AW66" i="9" s="1"/>
  <c r="AW215" i="1"/>
  <c r="I638" i="1"/>
  <c r="I546" i="1"/>
  <c r="J543" i="1"/>
  <c r="J544" i="1" s="1"/>
  <c r="AV135" i="9"/>
  <c r="AV67" i="9"/>
  <c r="AU2" i="9"/>
  <c r="AU674" i="1"/>
  <c r="AU675" i="1" s="1"/>
  <c r="AV5" i="1"/>
  <c r="K130" i="9"/>
  <c r="K127" i="9"/>
  <c r="K6" i="9"/>
  <c r="AM2" i="9"/>
  <c r="AN5" i="1"/>
  <c r="Q638" i="1"/>
  <c r="Q546" i="1"/>
  <c r="R543" i="1"/>
  <c r="R544" i="1" s="1"/>
  <c r="AW310" i="1"/>
  <c r="AV112" i="9"/>
  <c r="AV113" i="9" s="1"/>
  <c r="AV321" i="1"/>
  <c r="AV223" i="1" s="1"/>
  <c r="AV222" i="1"/>
  <c r="AW64" i="9"/>
  <c r="M9" i="10"/>
  <c r="M15" i="10"/>
  <c r="M6" i="10"/>
  <c r="M12" i="10"/>
  <c r="H73" i="12" l="1"/>
  <c r="E72" i="12"/>
  <c r="E74" i="12" s="1"/>
  <c r="E62" i="12"/>
  <c r="E40" i="12"/>
  <c r="E55" i="12"/>
  <c r="E46" i="12"/>
  <c r="E47" i="12" s="1"/>
  <c r="I54" i="12"/>
  <c r="I73" i="12" s="1"/>
  <c r="J36" i="12"/>
  <c r="J71" i="12" s="1"/>
  <c r="H128" i="11"/>
  <c r="G127" i="11"/>
  <c r="Q39" i="12" s="1"/>
  <c r="F39" i="12" s="1"/>
  <c r="P15" i="10"/>
  <c r="O15" i="10"/>
  <c r="P9" i="10"/>
  <c r="O9" i="10"/>
  <c r="P12" i="10"/>
  <c r="O12" i="10"/>
  <c r="P6" i="10"/>
  <c r="O6" i="10"/>
  <c r="N705" i="1"/>
  <c r="N703" i="1" s="1"/>
  <c r="N707" i="1"/>
  <c r="N700" i="1"/>
  <c r="N698" i="1"/>
  <c r="N696" i="1" s="1"/>
  <c r="N408" i="1" s="1"/>
  <c r="N691" i="1"/>
  <c r="N689" i="1" s="1"/>
  <c r="N407" i="1" s="1"/>
  <c r="N693" i="1"/>
  <c r="N714" i="1"/>
  <c r="N712" i="1"/>
  <c r="N710" i="1" s="1"/>
  <c r="N410" i="1" s="1"/>
  <c r="R638" i="1"/>
  <c r="R546" i="1"/>
  <c r="S543" i="1"/>
  <c r="S544" i="1" s="1"/>
  <c r="AW44" i="9"/>
  <c r="Z546" i="1"/>
  <c r="P1" i="9"/>
  <c r="P713" i="1"/>
  <c r="Q4" i="1"/>
  <c r="P3" i="1"/>
  <c r="K11" i="9"/>
  <c r="K131" i="9"/>
  <c r="J638" i="1"/>
  <c r="J546" i="1"/>
  <c r="O564" i="1"/>
  <c r="O566" i="1"/>
  <c r="O565" i="1"/>
  <c r="N567" i="1"/>
  <c r="AV2" i="9"/>
  <c r="AV674" i="1"/>
  <c r="AV675" i="1" s="1"/>
  <c r="AW5" i="1"/>
  <c r="N638" i="1"/>
  <c r="N546" i="1"/>
  <c r="O543" i="1"/>
  <c r="O544" i="1" s="1"/>
  <c r="T479" i="1"/>
  <c r="S480" i="1"/>
  <c r="AR2" i="9"/>
  <c r="AR674" i="1"/>
  <c r="AR675" i="1" s="1"/>
  <c r="AS5" i="1"/>
  <c r="O687" i="1"/>
  <c r="AW311" i="1"/>
  <c r="AW320" i="1"/>
  <c r="AW218" i="1"/>
  <c r="AW643" i="1" s="1"/>
  <c r="A311" i="1"/>
  <c r="AN2" i="9"/>
  <c r="AN674" i="1"/>
  <c r="AV136" i="9"/>
  <c r="AV94" i="9"/>
  <c r="AV68" i="9"/>
  <c r="V546" i="1"/>
  <c r="W543" i="1"/>
  <c r="W544" i="1" s="1"/>
  <c r="K398" i="1"/>
  <c r="K404" i="1"/>
  <c r="K36" i="12" l="1"/>
  <c r="J54" i="12"/>
  <c r="I128" i="11"/>
  <c r="I127" i="11" s="1"/>
  <c r="S39" i="12" s="1"/>
  <c r="H39" i="12" s="1"/>
  <c r="H127" i="11"/>
  <c r="R39" i="12" s="1"/>
  <c r="G39" i="12" s="1"/>
  <c r="F72" i="12"/>
  <c r="F74" i="12" s="1"/>
  <c r="F62" i="12"/>
  <c r="F40" i="12"/>
  <c r="F55" i="12"/>
  <c r="F46" i="12"/>
  <c r="F47" i="12" s="1"/>
  <c r="G30" i="11"/>
  <c r="G29" i="11" s="1"/>
  <c r="I35" i="11" s="1"/>
  <c r="K402" i="1"/>
  <c r="K401" i="1"/>
  <c r="K405" i="1"/>
  <c r="AW59" i="9"/>
  <c r="AW219" i="1"/>
  <c r="U479" i="1"/>
  <c r="U480" i="1" s="1"/>
  <c r="T480" i="1"/>
  <c r="AW2" i="9"/>
  <c r="AW674" i="1"/>
  <c r="AW675" i="1" s="1"/>
  <c r="B728" i="1"/>
  <c r="E7" i="8" s="1"/>
  <c r="O567" i="1"/>
  <c r="K129" i="9"/>
  <c r="K128" i="9"/>
  <c r="K132" i="9"/>
  <c r="X543" i="1"/>
  <c r="X544" i="1" s="1"/>
  <c r="W546" i="1"/>
  <c r="A59" i="9"/>
  <c r="A668" i="1"/>
  <c r="A312" i="1"/>
  <c r="O705" i="1"/>
  <c r="O703" i="1" s="1"/>
  <c r="O707" i="1"/>
  <c r="O700" i="1"/>
  <c r="O698" i="1"/>
  <c r="O696" i="1" s="1"/>
  <c r="O408" i="1" s="1"/>
  <c r="O691" i="1"/>
  <c r="O689" i="1" s="1"/>
  <c r="O407" i="1" s="1"/>
  <c r="O693" i="1"/>
  <c r="O714" i="1"/>
  <c r="O712" i="1"/>
  <c r="O710" i="1" s="1"/>
  <c r="O410" i="1" s="1"/>
  <c r="O638" i="1"/>
  <c r="O546" i="1"/>
  <c r="L387" i="1"/>
  <c r="O385" i="1"/>
  <c r="O387" i="1"/>
  <c r="P564" i="1"/>
  <c r="L385" i="1"/>
  <c r="M387" i="1"/>
  <c r="N387" i="1"/>
  <c r="N385" i="1"/>
  <c r="M385" i="1"/>
  <c r="P565" i="1"/>
  <c r="P566" i="1"/>
  <c r="N409" i="1"/>
  <c r="N411" i="1" s="1"/>
  <c r="N396" i="1" s="1"/>
  <c r="N397" i="1" s="1"/>
  <c r="N398" i="1" s="1"/>
  <c r="N4" i="9"/>
  <c r="N6" i="9" s="1"/>
  <c r="N11" i="9" s="1"/>
  <c r="Q1" i="9"/>
  <c r="Q713" i="1"/>
  <c r="R4" i="1"/>
  <c r="Q3" i="1"/>
  <c r="Q687" i="1" s="1"/>
  <c r="AW135" i="9"/>
  <c r="AW67" i="9"/>
  <c r="AS2" i="9"/>
  <c r="AS674" i="1"/>
  <c r="AN675" i="1"/>
  <c r="AW112" i="9"/>
  <c r="AW113" i="9" s="1"/>
  <c r="AW321" i="1"/>
  <c r="AW223" i="1" s="1"/>
  <c r="AW222" i="1"/>
  <c r="P687" i="1"/>
  <c r="S638" i="1"/>
  <c r="T543" i="1"/>
  <c r="T544" i="1" s="1"/>
  <c r="S546" i="1"/>
  <c r="H62" i="12" l="1"/>
  <c r="H40" i="12"/>
  <c r="H46" i="12"/>
  <c r="H47" i="12" s="1"/>
  <c r="I39" i="12"/>
  <c r="H55" i="12"/>
  <c r="J73" i="12"/>
  <c r="K71" i="12"/>
  <c r="L36" i="12"/>
  <c r="K54" i="12"/>
  <c r="K73" i="12" s="1"/>
  <c r="G72" i="12"/>
  <c r="G74" i="12" s="1"/>
  <c r="G62" i="12"/>
  <c r="G40" i="12"/>
  <c r="H72" i="12"/>
  <c r="H74" i="12" s="1"/>
  <c r="G55" i="12"/>
  <c r="G46" i="12"/>
  <c r="G47" i="12" s="1"/>
  <c r="P567" i="1"/>
  <c r="Q707" i="1"/>
  <c r="Q700" i="1"/>
  <c r="Q705" i="1"/>
  <c r="Q703" i="1" s="1"/>
  <c r="Q693" i="1"/>
  <c r="Q698" i="1"/>
  <c r="Q696" i="1" s="1"/>
  <c r="Q408" i="1" s="1"/>
  <c r="Q691" i="1"/>
  <c r="Q689" i="1" s="1"/>
  <c r="Q407" i="1" s="1"/>
  <c r="Q714" i="1"/>
  <c r="Q712" i="1"/>
  <c r="Q710" i="1" s="1"/>
  <c r="Q410" i="1" s="1"/>
  <c r="V479" i="1"/>
  <c r="U638" i="1"/>
  <c r="AW136" i="9"/>
  <c r="AW94" i="9"/>
  <c r="AW68" i="9"/>
  <c r="AN676" i="1"/>
  <c r="AO676" i="1"/>
  <c r="AP676" i="1"/>
  <c r="AQ676" i="1"/>
  <c r="Q565" i="1"/>
  <c r="Q566" i="1"/>
  <c r="Q564" i="1"/>
  <c r="P707" i="1"/>
  <c r="P700" i="1"/>
  <c r="P705" i="1"/>
  <c r="P703" i="1" s="1"/>
  <c r="P693" i="1"/>
  <c r="P698" i="1"/>
  <c r="P696" i="1" s="1"/>
  <c r="P408" i="1" s="1"/>
  <c r="P691" i="1"/>
  <c r="P689" i="1" s="1"/>
  <c r="P407" i="1" s="1"/>
  <c r="P712" i="1"/>
  <c r="P710" i="1" s="1"/>
  <c r="P410" i="1" s="1"/>
  <c r="P714" i="1"/>
  <c r="R1" i="9"/>
  <c r="R713" i="1"/>
  <c r="R687" i="1"/>
  <c r="R714" i="1" s="1"/>
  <c r="S4" i="1"/>
  <c r="R3" i="1"/>
  <c r="T638" i="1"/>
  <c r="T546" i="1"/>
  <c r="AS675" i="1"/>
  <c r="AS676" i="1" s="1"/>
  <c r="L31" i="10"/>
  <c r="B27" i="10"/>
  <c r="L25" i="10"/>
  <c r="B21" i="10"/>
  <c r="L19" i="10"/>
  <c r="B15" i="10"/>
  <c r="L13" i="10"/>
  <c r="B9" i="10"/>
  <c r="L7" i="10"/>
  <c r="B28" i="10"/>
  <c r="L27" i="10"/>
  <c r="B22" i="10"/>
  <c r="L21" i="10"/>
  <c r="B16" i="10"/>
  <c r="L15" i="10"/>
  <c r="B10" i="10"/>
  <c r="L9" i="10"/>
  <c r="B30" i="10"/>
  <c r="L28" i="10"/>
  <c r="B24" i="10"/>
  <c r="L22" i="10"/>
  <c r="B18" i="10"/>
  <c r="L16" i="10"/>
  <c r="B12" i="10"/>
  <c r="L10" i="10"/>
  <c r="B6" i="10"/>
  <c r="B31" i="10"/>
  <c r="L30" i="10"/>
  <c r="B25" i="10"/>
  <c r="L24" i="10"/>
  <c r="B19" i="10"/>
  <c r="L18" i="10"/>
  <c r="B13" i="10"/>
  <c r="L12" i="10"/>
  <c r="B7" i="10"/>
  <c r="L6" i="10"/>
  <c r="AR676" i="1"/>
  <c r="O409" i="1"/>
  <c r="O411" i="1" s="1"/>
  <c r="O396" i="1" s="1"/>
  <c r="O397" i="1" s="1"/>
  <c r="O398" i="1" s="1"/>
  <c r="O4" i="9"/>
  <c r="O6" i="9" s="1"/>
  <c r="O11" i="9" s="1"/>
  <c r="A679" i="1"/>
  <c r="Y543" i="1"/>
  <c r="Y544" i="1" s="1"/>
  <c r="X546" i="1"/>
  <c r="Q567" i="1" l="1"/>
  <c r="I55" i="12"/>
  <c r="J39" i="12"/>
  <c r="I40" i="12"/>
  <c r="L71" i="12"/>
  <c r="M36" i="12"/>
  <c r="M54" i="12" s="1"/>
  <c r="L54" i="12"/>
  <c r="M73" i="12" s="1"/>
  <c r="M71" i="12"/>
  <c r="I72" i="12"/>
  <c r="I74" i="12" s="1"/>
  <c r="AU676" i="1"/>
  <c r="AU682" i="1" s="1"/>
  <c r="AU358" i="1" s="1"/>
  <c r="R712" i="1"/>
  <c r="R710" i="1" s="1"/>
  <c r="R410" i="1" s="1"/>
  <c r="AN680" i="1"/>
  <c r="AN322" i="1" s="1"/>
  <c r="AN681" i="1"/>
  <c r="AN349" i="1" s="1"/>
  <c r="AN679" i="1"/>
  <c r="AN312" i="1" s="1"/>
  <c r="AN682" i="1"/>
  <c r="AN358" i="1" s="1"/>
  <c r="AN677" i="1"/>
  <c r="AN212" i="1" s="1"/>
  <c r="AN683" i="1"/>
  <c r="AN360" i="1" s="1"/>
  <c r="AN678" i="1"/>
  <c r="AN303" i="1" s="1"/>
  <c r="R565" i="1"/>
  <c r="R566" i="1"/>
  <c r="R564" i="1"/>
  <c r="P409" i="1"/>
  <c r="P411" i="1" s="1"/>
  <c r="P396" i="1" s="1"/>
  <c r="B145" i="12" s="1"/>
  <c r="B146" i="12" s="1"/>
  <c r="P4" i="9"/>
  <c r="AT676" i="1"/>
  <c r="AR679" i="1"/>
  <c r="AR312" i="1" s="1"/>
  <c r="AR682" i="1"/>
  <c r="AR358" i="1" s="1"/>
  <c r="AR677" i="1"/>
  <c r="AR212" i="1" s="1"/>
  <c r="AR683" i="1"/>
  <c r="AR360" i="1" s="1"/>
  <c r="AR678" i="1"/>
  <c r="AR303" i="1" s="1"/>
  <c r="AR680" i="1"/>
  <c r="AR322" i="1" s="1"/>
  <c r="AR681" i="1"/>
  <c r="AR349" i="1" s="1"/>
  <c r="AS681" i="1"/>
  <c r="AS349" i="1" s="1"/>
  <c r="AS682" i="1"/>
  <c r="AS358" i="1" s="1"/>
  <c r="AS680" i="1"/>
  <c r="AS322" i="1" s="1"/>
  <c r="AS683" i="1"/>
  <c r="AS360" i="1" s="1"/>
  <c r="AS677" i="1"/>
  <c r="AS212" i="1" s="1"/>
  <c r="AS678" i="1"/>
  <c r="AS303" i="1" s="1"/>
  <c r="AS679" i="1"/>
  <c r="AS312" i="1" s="1"/>
  <c r="S1" i="9"/>
  <c r="S713" i="1"/>
  <c r="S687" i="1"/>
  <c r="S712" i="1" s="1"/>
  <c r="S710" i="1" s="1"/>
  <c r="S410" i="1" s="1"/>
  <c r="S3" i="1"/>
  <c r="T4" i="1"/>
  <c r="AP678" i="1"/>
  <c r="AP303" i="1" s="1"/>
  <c r="AP679" i="1"/>
  <c r="AP312" i="1" s="1"/>
  <c r="AP677" i="1"/>
  <c r="AP212" i="1" s="1"/>
  <c r="AP680" i="1"/>
  <c r="AP322" i="1" s="1"/>
  <c r="AP682" i="1"/>
  <c r="AP358" i="1" s="1"/>
  <c r="AP683" i="1"/>
  <c r="AP360" i="1" s="1"/>
  <c r="AP681" i="1"/>
  <c r="AP349" i="1" s="1"/>
  <c r="W479" i="1"/>
  <c r="V480" i="1"/>
  <c r="V638" i="1" s="1"/>
  <c r="Y546" i="1"/>
  <c r="R705" i="1"/>
  <c r="R703" i="1" s="1"/>
  <c r="R707" i="1"/>
  <c r="R700" i="1"/>
  <c r="R698" i="1"/>
  <c r="R696" i="1" s="1"/>
  <c r="R408" i="1" s="1"/>
  <c r="R691" i="1"/>
  <c r="R689" i="1" s="1"/>
  <c r="R407" i="1" s="1"/>
  <c r="R693" i="1"/>
  <c r="AQ683" i="1"/>
  <c r="AQ360" i="1" s="1"/>
  <c r="AQ682" i="1"/>
  <c r="AQ358" i="1" s="1"/>
  <c r="AQ677" i="1"/>
  <c r="AQ212" i="1" s="1"/>
  <c r="AQ679" i="1"/>
  <c r="AQ312" i="1" s="1"/>
  <c r="AQ680" i="1"/>
  <c r="AQ322" i="1" s="1"/>
  <c r="AQ678" i="1"/>
  <c r="AQ303" i="1" s="1"/>
  <c r="AQ681" i="1"/>
  <c r="AQ349" i="1" s="1"/>
  <c r="AO679" i="1"/>
  <c r="AO312" i="1" s="1"/>
  <c r="AO681" i="1"/>
  <c r="AO349" i="1" s="1"/>
  <c r="AO682" i="1"/>
  <c r="AO358" i="1" s="1"/>
  <c r="AO680" i="1"/>
  <c r="AO322" i="1" s="1"/>
  <c r="AO683" i="1"/>
  <c r="AO360" i="1" s="1"/>
  <c r="AO677" i="1"/>
  <c r="AO212" i="1" s="1"/>
  <c r="AO678" i="1"/>
  <c r="AO303" i="1" s="1"/>
  <c r="AW676" i="1"/>
  <c r="Q409" i="1"/>
  <c r="Q411" i="1" s="1"/>
  <c r="Q396" i="1" s="1"/>
  <c r="Q397" i="1" s="1"/>
  <c r="Q398" i="1" s="1"/>
  <c r="Q4" i="9"/>
  <c r="Q6" i="9" s="1"/>
  <c r="Q11" i="9" s="1"/>
  <c r="AV676" i="1"/>
  <c r="J40" i="12" l="1"/>
  <c r="K39" i="12"/>
  <c r="J55" i="12"/>
  <c r="L73" i="12"/>
  <c r="J72" i="12"/>
  <c r="J74" i="12" s="1"/>
  <c r="H31" i="11"/>
  <c r="AU683" i="1"/>
  <c r="AU360" i="1" s="1"/>
  <c r="AU681" i="1"/>
  <c r="AU349" i="1" s="1"/>
  <c r="AU678" i="1"/>
  <c r="AU303" i="1" s="1"/>
  <c r="AU680" i="1"/>
  <c r="AU322" i="1" s="1"/>
  <c r="AU679" i="1"/>
  <c r="AU312" i="1" s="1"/>
  <c r="AU677" i="1"/>
  <c r="AU212" i="1" s="1"/>
  <c r="AP220" i="1"/>
  <c r="AR224" i="1"/>
  <c r="S714" i="1"/>
  <c r="AS224" i="1"/>
  <c r="R567" i="1"/>
  <c r="AP224" i="1"/>
  <c r="AQ220" i="1"/>
  <c r="AO224" i="1"/>
  <c r="AQ224" i="1"/>
  <c r="AR220" i="1"/>
  <c r="AN224" i="1"/>
  <c r="AV677" i="1"/>
  <c r="AV212" i="1" s="1"/>
  <c r="AV683" i="1"/>
  <c r="AV360" i="1" s="1"/>
  <c r="AV678" i="1"/>
  <c r="AV303" i="1" s="1"/>
  <c r="AV680" i="1"/>
  <c r="AV322" i="1" s="1"/>
  <c r="AV681" i="1"/>
  <c r="AV679" i="1"/>
  <c r="AV312" i="1" s="1"/>
  <c r="AV682" i="1"/>
  <c r="AV358" i="1" s="1"/>
  <c r="AO220" i="1"/>
  <c r="X479" i="1"/>
  <c r="W480" i="1"/>
  <c r="W638" i="1" s="1"/>
  <c r="T1" i="9"/>
  <c r="T713" i="1"/>
  <c r="T3" i="1"/>
  <c r="T687" i="1" s="1"/>
  <c r="T714" i="1" s="1"/>
  <c r="U4" i="1"/>
  <c r="P130" i="9"/>
  <c r="P127" i="9"/>
  <c r="P6" i="9"/>
  <c r="AW680" i="1"/>
  <c r="AW322" i="1" s="1"/>
  <c r="AW683" i="1"/>
  <c r="AW677" i="1"/>
  <c r="AW212" i="1" s="1"/>
  <c r="AW678" i="1"/>
  <c r="AW303" i="1" s="1"/>
  <c r="AW679" i="1"/>
  <c r="AW312" i="1" s="1"/>
  <c r="AW681" i="1"/>
  <c r="AW682" i="1"/>
  <c r="AW358" i="1" s="1"/>
  <c r="R409" i="1"/>
  <c r="R411" i="1" s="1"/>
  <c r="R396" i="1" s="1"/>
  <c r="R397" i="1" s="1"/>
  <c r="R398" i="1" s="1"/>
  <c r="R4" i="9"/>
  <c r="R6" i="9" s="1"/>
  <c r="R11" i="9" s="1"/>
  <c r="S566" i="1"/>
  <c r="S565" i="1"/>
  <c r="S564" i="1"/>
  <c r="S567" i="1" s="1"/>
  <c r="P403" i="1"/>
  <c r="P400" i="1"/>
  <c r="P397" i="1"/>
  <c r="AN220" i="1"/>
  <c r="S705" i="1"/>
  <c r="S703" i="1" s="1"/>
  <c r="S707" i="1"/>
  <c r="S700" i="1"/>
  <c r="S698" i="1"/>
  <c r="S696" i="1" s="1"/>
  <c r="S408" i="1" s="1"/>
  <c r="S691" i="1"/>
  <c r="S689" i="1" s="1"/>
  <c r="S407" i="1" s="1"/>
  <c r="S693" i="1"/>
  <c r="AS220" i="1"/>
  <c r="AT677" i="1"/>
  <c r="AT212" i="1" s="1"/>
  <c r="AT680" i="1"/>
  <c r="AT322" i="1" s="1"/>
  <c r="AT682" i="1"/>
  <c r="AT358" i="1" s="1"/>
  <c r="AT683" i="1"/>
  <c r="AT360" i="1" s="1"/>
  <c r="AT681" i="1"/>
  <c r="AT349" i="1" s="1"/>
  <c r="AT678" i="1"/>
  <c r="AT303" i="1" s="1"/>
  <c r="AT679" i="1"/>
  <c r="AT312" i="1" s="1"/>
  <c r="K55" i="12" l="1"/>
  <c r="K40" i="12"/>
  <c r="L39" i="12"/>
  <c r="L72" i="12"/>
  <c r="L74" i="12" s="1"/>
  <c r="K72" i="12"/>
  <c r="K74" i="12" s="1"/>
  <c r="AU220" i="1"/>
  <c r="AU224" i="1"/>
  <c r="AW220" i="1"/>
  <c r="AW224" i="1"/>
  <c r="AV220" i="1"/>
  <c r="AV224" i="1"/>
  <c r="S409" i="1"/>
  <c r="S411" i="1" s="1"/>
  <c r="S396" i="1" s="1"/>
  <c r="S397" i="1" s="1"/>
  <c r="S398" i="1" s="1"/>
  <c r="S4" i="9"/>
  <c r="S6" i="9" s="1"/>
  <c r="S11" i="9" s="1"/>
  <c r="P398" i="1"/>
  <c r="B140" i="12" s="1"/>
  <c r="B142" i="12" s="1"/>
  <c r="P404" i="1"/>
  <c r="P11" i="9"/>
  <c r="P131" i="9"/>
  <c r="T565" i="1"/>
  <c r="T566" i="1"/>
  <c r="T564" i="1"/>
  <c r="AT220" i="1"/>
  <c r="AV349" i="1"/>
  <c r="AW349" i="1"/>
  <c r="AW360" i="1"/>
  <c r="T707" i="1"/>
  <c r="T700" i="1"/>
  <c r="T705" i="1"/>
  <c r="T703" i="1" s="1"/>
  <c r="T693" i="1"/>
  <c r="T698" i="1"/>
  <c r="T696" i="1" s="1"/>
  <c r="T408" i="1" s="1"/>
  <c r="T691" i="1"/>
  <c r="T689" i="1" s="1"/>
  <c r="T407" i="1" s="1"/>
  <c r="T712" i="1"/>
  <c r="T710" i="1" s="1"/>
  <c r="T410" i="1" s="1"/>
  <c r="AT224" i="1"/>
  <c r="U1" i="9"/>
  <c r="U713" i="1"/>
  <c r="V4" i="1"/>
  <c r="U3" i="1"/>
  <c r="Y479" i="1"/>
  <c r="X480" i="1"/>
  <c r="X638" i="1" s="1"/>
  <c r="L40" i="12" l="1"/>
  <c r="L55" i="12"/>
  <c r="M39" i="12"/>
  <c r="M72" i="12" s="1"/>
  <c r="M74" i="12" s="1"/>
  <c r="T567" i="1"/>
  <c r="H30" i="11"/>
  <c r="H29" i="11" s="1"/>
  <c r="T409" i="1"/>
  <c r="T411" i="1" s="1"/>
  <c r="T396" i="1" s="1"/>
  <c r="T397" i="1" s="1"/>
  <c r="T398" i="1" s="1"/>
  <c r="T4" i="9"/>
  <c r="T6" i="9" s="1"/>
  <c r="T11" i="9" s="1"/>
  <c r="P402" i="1"/>
  <c r="P401" i="1"/>
  <c r="P405" i="1"/>
  <c r="S387" i="1"/>
  <c r="T387" i="1"/>
  <c r="Q387" i="1"/>
  <c r="U565" i="1"/>
  <c r="R387" i="1"/>
  <c r="U566" i="1"/>
  <c r="T385" i="1"/>
  <c r="T389" i="1"/>
  <c r="S385" i="1"/>
  <c r="Q385" i="1"/>
  <c r="R385" i="1"/>
  <c r="U564" i="1"/>
  <c r="V1" i="9"/>
  <c r="V713" i="1"/>
  <c r="W4" i="1"/>
  <c r="V3" i="1"/>
  <c r="U687" i="1"/>
  <c r="Z479" i="1"/>
  <c r="Z480" i="1" s="1"/>
  <c r="Z638" i="1" s="1"/>
  <c r="Y480" i="1"/>
  <c r="Y638" i="1" s="1"/>
  <c r="P129" i="9"/>
  <c r="P128" i="9"/>
  <c r="P132" i="9"/>
  <c r="M40" i="12" l="1"/>
  <c r="M55" i="12"/>
  <c r="U567" i="1"/>
  <c r="W1" i="9"/>
  <c r="W713" i="1"/>
  <c r="W3" i="1"/>
  <c r="X4" i="1"/>
  <c r="V565" i="1"/>
  <c r="V566" i="1"/>
  <c r="V564" i="1"/>
  <c r="V687" i="1"/>
  <c r="U707" i="1"/>
  <c r="U700" i="1"/>
  <c r="U705" i="1"/>
  <c r="U703" i="1" s="1"/>
  <c r="U693" i="1"/>
  <c r="U698" i="1"/>
  <c r="U696" i="1" s="1"/>
  <c r="U408" i="1" s="1"/>
  <c r="U691" i="1"/>
  <c r="U689" i="1" s="1"/>
  <c r="U407" i="1" s="1"/>
  <c r="U714" i="1"/>
  <c r="U712" i="1"/>
  <c r="U710" i="1" s="1"/>
  <c r="U410" i="1" s="1"/>
  <c r="V567" i="1" l="1"/>
  <c r="V705" i="1"/>
  <c r="V703" i="1" s="1"/>
  <c r="V707" i="1"/>
  <c r="V700" i="1"/>
  <c r="V698" i="1"/>
  <c r="V696" i="1" s="1"/>
  <c r="V408" i="1" s="1"/>
  <c r="V691" i="1"/>
  <c r="V689" i="1" s="1"/>
  <c r="V407" i="1" s="1"/>
  <c r="V693" i="1"/>
  <c r="V712" i="1"/>
  <c r="V710" i="1" s="1"/>
  <c r="V410" i="1" s="1"/>
  <c r="V714" i="1"/>
  <c r="X1" i="9"/>
  <c r="X713" i="1"/>
  <c r="Y4" i="1"/>
  <c r="X3" i="1"/>
  <c r="X687" i="1" s="1"/>
  <c r="U409" i="1"/>
  <c r="U411" i="1" s="1"/>
  <c r="U396" i="1" s="1"/>
  <c r="C145" i="12" s="1"/>
  <c r="C146" i="12" s="1"/>
  <c r="U4" i="9"/>
  <c r="W566" i="1"/>
  <c r="W565" i="1"/>
  <c r="W564" i="1"/>
  <c r="W687" i="1"/>
  <c r="I31" i="11" l="1"/>
  <c r="W567" i="1"/>
  <c r="W705" i="1"/>
  <c r="W703" i="1" s="1"/>
  <c r="W707" i="1"/>
  <c r="W700" i="1"/>
  <c r="W698" i="1"/>
  <c r="W696" i="1" s="1"/>
  <c r="W408" i="1" s="1"/>
  <c r="W691" i="1"/>
  <c r="W689" i="1" s="1"/>
  <c r="W407" i="1" s="1"/>
  <c r="W693" i="1"/>
  <c r="W714" i="1"/>
  <c r="W712" i="1"/>
  <c r="W710" i="1" s="1"/>
  <c r="W410" i="1" s="1"/>
  <c r="U130" i="9"/>
  <c r="U127" i="9"/>
  <c r="U6" i="9"/>
  <c r="X707" i="1"/>
  <c r="X700" i="1"/>
  <c r="X705" i="1"/>
  <c r="X703" i="1" s="1"/>
  <c r="X693" i="1"/>
  <c r="X698" i="1"/>
  <c r="X696" i="1" s="1"/>
  <c r="X408" i="1" s="1"/>
  <c r="X691" i="1"/>
  <c r="X689" i="1" s="1"/>
  <c r="X407" i="1" s="1"/>
  <c r="X712" i="1"/>
  <c r="X710" i="1" s="1"/>
  <c r="X410" i="1" s="1"/>
  <c r="U403" i="1"/>
  <c r="U400" i="1"/>
  <c r="U397" i="1"/>
  <c r="X714" i="1"/>
  <c r="X565" i="1"/>
  <c r="X566" i="1"/>
  <c r="X564" i="1"/>
  <c r="X567" i="1" s="1"/>
  <c r="Y1" i="9"/>
  <c r="Y713" i="1"/>
  <c r="Z4" i="1"/>
  <c r="Y3" i="1"/>
  <c r="V409" i="1"/>
  <c r="V411" i="1" s="1"/>
  <c r="V396" i="1" s="1"/>
  <c r="V397" i="1" s="1"/>
  <c r="V398" i="1" s="1"/>
  <c r="V4" i="9"/>
  <c r="V6" i="9" s="1"/>
  <c r="V11" i="9" s="1"/>
  <c r="U398" i="1" l="1"/>
  <c r="C140" i="12" s="1"/>
  <c r="C142" i="12" s="1"/>
  <c r="U404" i="1"/>
  <c r="Z1" i="9"/>
  <c r="Z713" i="1"/>
  <c r="AA4" i="1"/>
  <c r="Z3" i="1"/>
  <c r="Z687" i="1" s="1"/>
  <c r="U11" i="9"/>
  <c r="U131" i="9"/>
  <c r="W409" i="1"/>
  <c r="W411" i="1" s="1"/>
  <c r="W396" i="1" s="1"/>
  <c r="W397" i="1" s="1"/>
  <c r="W398" i="1" s="1"/>
  <c r="W4" i="9"/>
  <c r="W6" i="9" s="1"/>
  <c r="W11" i="9" s="1"/>
  <c r="Y565" i="1"/>
  <c r="Y566" i="1"/>
  <c r="Y564" i="1"/>
  <c r="Y567" i="1" s="1"/>
  <c r="Y687" i="1"/>
  <c r="X409" i="1"/>
  <c r="X411" i="1" s="1"/>
  <c r="X396" i="1" s="1"/>
  <c r="X397" i="1" s="1"/>
  <c r="X398" i="1" s="1"/>
  <c r="X4" i="9"/>
  <c r="X6" i="9" s="1"/>
  <c r="X11" i="9" s="1"/>
  <c r="I30" i="11" l="1"/>
  <c r="I29" i="11" s="1"/>
  <c r="Z705" i="1"/>
  <c r="Z703" i="1" s="1"/>
  <c r="Z707" i="1"/>
  <c r="Z700" i="1"/>
  <c r="Z698" i="1"/>
  <c r="Z696" i="1" s="1"/>
  <c r="Z408" i="1" s="1"/>
  <c r="Z691" i="1"/>
  <c r="Z689" i="1" s="1"/>
  <c r="Z407" i="1" s="1"/>
  <c r="Z693" i="1"/>
  <c r="Z714" i="1"/>
  <c r="Z712" i="1"/>
  <c r="Z710" i="1" s="1"/>
  <c r="Z410" i="1" s="1"/>
  <c r="AA1" i="9"/>
  <c r="AA713" i="1"/>
  <c r="AA3" i="1"/>
  <c r="AA687" i="1" s="1"/>
  <c r="AB4" i="1"/>
  <c r="U129" i="9"/>
  <c r="U128" i="9"/>
  <c r="U132" i="9"/>
  <c r="Y707" i="1"/>
  <c r="Y700" i="1"/>
  <c r="Y705" i="1"/>
  <c r="Y703" i="1" s="1"/>
  <c r="Y693" i="1"/>
  <c r="Y698" i="1"/>
  <c r="Y696" i="1" s="1"/>
  <c r="Y408" i="1" s="1"/>
  <c r="Y691" i="1"/>
  <c r="Y689" i="1" s="1"/>
  <c r="Y407" i="1" s="1"/>
  <c r="Y712" i="1"/>
  <c r="Y710" i="1" s="1"/>
  <c r="Y410" i="1" s="1"/>
  <c r="Y714" i="1"/>
  <c r="Z57" i="1"/>
  <c r="Z58" i="1" s="1"/>
  <c r="Z59" i="1" s="1"/>
  <c r="Z62" i="1"/>
  <c r="Z63" i="1" s="1"/>
  <c r="Z64" i="1" s="1"/>
  <c r="Z67" i="1"/>
  <c r="Z68" i="1" s="1"/>
  <c r="Z69" i="1" s="1"/>
  <c r="X385" i="1"/>
  <c r="W387" i="1"/>
  <c r="X387" i="1"/>
  <c r="Z566" i="1"/>
  <c r="Y387" i="1"/>
  <c r="Z72" i="1"/>
  <c r="Z73" i="1" s="1"/>
  <c r="Z74" i="1" s="1"/>
  <c r="V387" i="1"/>
  <c r="W385" i="1"/>
  <c r="X389" i="1"/>
  <c r="V385" i="1"/>
  <c r="Y385" i="1"/>
  <c r="Z565" i="1"/>
  <c r="W389" i="1"/>
  <c r="Z564" i="1"/>
  <c r="Y389" i="1"/>
  <c r="V389" i="1"/>
  <c r="U402" i="1"/>
  <c r="U401" i="1"/>
  <c r="U405" i="1"/>
  <c r="AA712" i="1" l="1"/>
  <c r="AA710" i="1" s="1"/>
  <c r="AA410" i="1" s="1"/>
  <c r="AA714" i="1"/>
  <c r="AB1" i="9"/>
  <c r="AB713" i="1"/>
  <c r="AB714" i="1"/>
  <c r="AB687" i="1"/>
  <c r="AB3" i="1"/>
  <c r="AC4" i="1"/>
  <c r="Z567" i="1"/>
  <c r="AA57" i="1"/>
  <c r="AA62" i="1"/>
  <c r="AA67" i="1"/>
  <c r="AA72" i="1"/>
  <c r="AA566" i="1"/>
  <c r="AA565" i="1"/>
  <c r="AA564" i="1"/>
  <c r="Y409" i="1"/>
  <c r="Y411" i="1" s="1"/>
  <c r="Y396" i="1" s="1"/>
  <c r="Y397" i="1" s="1"/>
  <c r="Y398" i="1" s="1"/>
  <c r="Y4" i="9"/>
  <c r="Y6" i="9" s="1"/>
  <c r="Y11" i="9" s="1"/>
  <c r="AA705" i="1"/>
  <c r="AA703" i="1" s="1"/>
  <c r="AA707" i="1"/>
  <c r="AA700" i="1"/>
  <c r="AA698" i="1"/>
  <c r="AA696" i="1" s="1"/>
  <c r="AA408" i="1" s="1"/>
  <c r="AA691" i="1"/>
  <c r="AA689" i="1" s="1"/>
  <c r="AA407" i="1" s="1"/>
  <c r="AA693" i="1"/>
  <c r="Z409" i="1"/>
  <c r="Z411" i="1" s="1"/>
  <c r="Z396" i="1" s="1"/>
  <c r="D145" i="12" s="1"/>
  <c r="D146" i="12" s="1"/>
  <c r="Z4" i="9"/>
  <c r="J31" i="11" l="1"/>
  <c r="AA567" i="1"/>
  <c r="Z130" i="9"/>
  <c r="Z127" i="9"/>
  <c r="Z6" i="9"/>
  <c r="Z403" i="1"/>
  <c r="Z400" i="1"/>
  <c r="Z397" i="1"/>
  <c r="AC1" i="9"/>
  <c r="AC713" i="1"/>
  <c r="AD4" i="1"/>
  <c r="AC3" i="1"/>
  <c r="AC687" i="1" s="1"/>
  <c r="AC714" i="1" s="1"/>
  <c r="AA409" i="1"/>
  <c r="AA411" i="1" s="1"/>
  <c r="AA396" i="1" s="1"/>
  <c r="AA397" i="1" s="1"/>
  <c r="AA398" i="1" s="1"/>
  <c r="AA4" i="9"/>
  <c r="AA6" i="9" s="1"/>
  <c r="AA11" i="9" s="1"/>
  <c r="AB62" i="1"/>
  <c r="AB67" i="1"/>
  <c r="AB72" i="1"/>
  <c r="AB57" i="1"/>
  <c r="AB565" i="1"/>
  <c r="AB566" i="1"/>
  <c r="AB564" i="1"/>
  <c r="AB707" i="1"/>
  <c r="AB700" i="1"/>
  <c r="AB705" i="1"/>
  <c r="AB703" i="1" s="1"/>
  <c r="AB693" i="1"/>
  <c r="AB698" i="1"/>
  <c r="AB696" i="1" s="1"/>
  <c r="AB408" i="1" s="1"/>
  <c r="AB691" i="1"/>
  <c r="AB689" i="1" s="1"/>
  <c r="AB407" i="1" s="1"/>
  <c r="AB712" i="1"/>
  <c r="AB710" i="1" s="1"/>
  <c r="AB410" i="1" s="1"/>
  <c r="AB567" i="1" l="1"/>
  <c r="AB409" i="1"/>
  <c r="AB411" i="1" s="1"/>
  <c r="AB396" i="1" s="1"/>
  <c r="AB397" i="1" s="1"/>
  <c r="AB398" i="1" s="1"/>
  <c r="AB4" i="9"/>
  <c r="AB6" i="9" s="1"/>
  <c r="AB11" i="9" s="1"/>
  <c r="AC67" i="1"/>
  <c r="AC72" i="1"/>
  <c r="AC57" i="1"/>
  <c r="AC62" i="1"/>
  <c r="AC564" i="1"/>
  <c r="AC565" i="1"/>
  <c r="AC566" i="1"/>
  <c r="Z11" i="9"/>
  <c r="Z131" i="9"/>
  <c r="AD1" i="9"/>
  <c r="AD713" i="1"/>
  <c r="AE4" i="1"/>
  <c r="AD3" i="1"/>
  <c r="AD687" i="1" s="1"/>
  <c r="Z398" i="1"/>
  <c r="D140" i="12" s="1"/>
  <c r="D142" i="12" s="1"/>
  <c r="Z404" i="1"/>
  <c r="AC707" i="1"/>
  <c r="AC700" i="1"/>
  <c r="AC705" i="1"/>
  <c r="AC703" i="1" s="1"/>
  <c r="AC693" i="1"/>
  <c r="AC698" i="1"/>
  <c r="AC696" i="1" s="1"/>
  <c r="AC408" i="1" s="1"/>
  <c r="AC691" i="1"/>
  <c r="AC689" i="1" s="1"/>
  <c r="AC407" i="1" s="1"/>
  <c r="AC712" i="1"/>
  <c r="AC710" i="1" s="1"/>
  <c r="AC410" i="1" s="1"/>
  <c r="J30" i="11" l="1"/>
  <c r="J29" i="11" s="1"/>
  <c r="AC567" i="1"/>
  <c r="AD705" i="1"/>
  <c r="AD703" i="1" s="1"/>
  <c r="AD707" i="1"/>
  <c r="AD700" i="1"/>
  <c r="AD698" i="1"/>
  <c r="AD696" i="1" s="1"/>
  <c r="AD408" i="1" s="1"/>
  <c r="AD691" i="1"/>
  <c r="AD689" i="1" s="1"/>
  <c r="AD407" i="1" s="1"/>
  <c r="AD693" i="1"/>
  <c r="AD714" i="1"/>
  <c r="AD712" i="1"/>
  <c r="AD710" i="1" s="1"/>
  <c r="AD410" i="1" s="1"/>
  <c r="AE1" i="9"/>
  <c r="AE713" i="1"/>
  <c r="AE3" i="1"/>
  <c r="AC58" i="1" s="1"/>
  <c r="AC59" i="1" s="1"/>
  <c r="AF4" i="1"/>
  <c r="AC409" i="1"/>
  <c r="AC411" i="1" s="1"/>
  <c r="AC396" i="1" s="1"/>
  <c r="AC397" i="1" s="1"/>
  <c r="AC398" i="1" s="1"/>
  <c r="AC4" i="9"/>
  <c r="AC6" i="9" s="1"/>
  <c r="AC11" i="9" s="1"/>
  <c r="Z402" i="1"/>
  <c r="Z401" i="1"/>
  <c r="Z405" i="1"/>
  <c r="AC73" i="1"/>
  <c r="AC74" i="1" s="1"/>
  <c r="AD57" i="1"/>
  <c r="AD58" i="1" s="1"/>
  <c r="AD59" i="1" s="1"/>
  <c r="AD62" i="1"/>
  <c r="AD67" i="1"/>
  <c r="AD72" i="1"/>
  <c r="AD73" i="1" s="1"/>
  <c r="AD74" i="1" s="1"/>
  <c r="AD566" i="1"/>
  <c r="AD565" i="1"/>
  <c r="AD564" i="1"/>
  <c r="AC68" i="1"/>
  <c r="AC69" i="1" s="1"/>
  <c r="Z129" i="9"/>
  <c r="Z128" i="9"/>
  <c r="Z132" i="9"/>
  <c r="AC63" i="1"/>
  <c r="AC64" i="1" s="1"/>
  <c r="AD567" i="1" l="1"/>
  <c r="AD68" i="1"/>
  <c r="AD69" i="1" s="1"/>
  <c r="AE687" i="1"/>
  <c r="AE705" i="1" s="1"/>
  <c r="AE703" i="1" s="1"/>
  <c r="AD63" i="1"/>
  <c r="AD64" i="1" s="1"/>
  <c r="AE693" i="1"/>
  <c r="AE714" i="1"/>
  <c r="AF1" i="9"/>
  <c r="AF713" i="1"/>
  <c r="AF687" i="1"/>
  <c r="AG4" i="1"/>
  <c r="AF3" i="1"/>
  <c r="AE67" i="1"/>
  <c r="AE68" i="1" s="1"/>
  <c r="AE69" i="1" s="1"/>
  <c r="AE70" i="1" s="1"/>
  <c r="AD387" i="1"/>
  <c r="AE565" i="1"/>
  <c r="AE72" i="1"/>
  <c r="AE73" i="1" s="1"/>
  <c r="AE74" i="1" s="1"/>
  <c r="AE75" i="1" s="1"/>
  <c r="AE57" i="1"/>
  <c r="AE58" i="1" s="1"/>
  <c r="AE59" i="1" s="1"/>
  <c r="AE60" i="1" s="1"/>
  <c r="AA387" i="1"/>
  <c r="AB387" i="1"/>
  <c r="AE62" i="1"/>
  <c r="AE63" i="1" s="1"/>
  <c r="AE64" i="1" s="1"/>
  <c r="AE65" i="1" s="1"/>
  <c r="AB385" i="1"/>
  <c r="AC387" i="1"/>
  <c r="AA385" i="1"/>
  <c r="AE566" i="1"/>
  <c r="AD385" i="1"/>
  <c r="AB389" i="1"/>
  <c r="AC385" i="1"/>
  <c r="AC389" i="1"/>
  <c r="AD389" i="1"/>
  <c r="AE564" i="1"/>
  <c r="AA389" i="1"/>
  <c r="AA63" i="1"/>
  <c r="AA64" i="1" s="1"/>
  <c r="AA58" i="1"/>
  <c r="AA59" i="1" s="1"/>
  <c r="AA73" i="1"/>
  <c r="AA74" i="1" s="1"/>
  <c r="AA68" i="1"/>
  <c r="AA69" i="1" s="1"/>
  <c r="AB63" i="1"/>
  <c r="AB64" i="1" s="1"/>
  <c r="AB73" i="1"/>
  <c r="AB74" i="1" s="1"/>
  <c r="AB58" i="1"/>
  <c r="AB59" i="1" s="1"/>
  <c r="AB68" i="1"/>
  <c r="AB69" i="1" s="1"/>
  <c r="AE712" i="1"/>
  <c r="AE710" i="1" s="1"/>
  <c r="AE410" i="1" s="1"/>
  <c r="AD409" i="1"/>
  <c r="AD411" i="1" s="1"/>
  <c r="AD396" i="1" s="1"/>
  <c r="AD397" i="1" s="1"/>
  <c r="AD398" i="1" s="1"/>
  <c r="AD4" i="9"/>
  <c r="AD6" i="9" s="1"/>
  <c r="AD11" i="9" s="1"/>
  <c r="AE698" i="1" l="1"/>
  <c r="AE696" i="1" s="1"/>
  <c r="AE408" i="1" s="1"/>
  <c r="AE700" i="1"/>
  <c r="AE707" i="1"/>
  <c r="AE691" i="1"/>
  <c r="AE689" i="1" s="1"/>
  <c r="AE407" i="1" s="1"/>
  <c r="AE567" i="1"/>
  <c r="AG1" i="9"/>
  <c r="AG713" i="1"/>
  <c r="AH4" i="1"/>
  <c r="AG3" i="1"/>
  <c r="AF707" i="1"/>
  <c r="AF700" i="1"/>
  <c r="AF705" i="1"/>
  <c r="AF703" i="1" s="1"/>
  <c r="AF693" i="1"/>
  <c r="AF698" i="1"/>
  <c r="AF696" i="1" s="1"/>
  <c r="AF408" i="1" s="1"/>
  <c r="AF691" i="1"/>
  <c r="AF689" i="1" s="1"/>
  <c r="AF407" i="1" s="1"/>
  <c r="AF712" i="1"/>
  <c r="AF710" i="1" s="1"/>
  <c r="AF410" i="1" s="1"/>
  <c r="AF714" i="1"/>
  <c r="AF62" i="1"/>
  <c r="AF67" i="1"/>
  <c r="AF72" i="1"/>
  <c r="AF57" i="1"/>
  <c r="AF564" i="1"/>
  <c r="AF566" i="1"/>
  <c r="AF565" i="1"/>
  <c r="AE409" i="1"/>
  <c r="AE411" i="1" s="1"/>
  <c r="AE396" i="1" s="1"/>
  <c r="E145" i="12" s="1"/>
  <c r="E146" i="12" s="1"/>
  <c r="AE4" i="9"/>
  <c r="K31" i="11" l="1"/>
  <c r="AE130" i="9"/>
  <c r="AE127" i="9"/>
  <c r="AE6" i="9"/>
  <c r="AF567" i="1"/>
  <c r="AE403" i="1"/>
  <c r="AE400" i="1"/>
  <c r="AE397" i="1"/>
  <c r="AG67" i="1"/>
  <c r="AG57" i="1"/>
  <c r="AG72" i="1"/>
  <c r="AG62" i="1"/>
  <c r="AG564" i="1"/>
  <c r="AG565" i="1"/>
  <c r="AG566" i="1"/>
  <c r="AF409" i="1"/>
  <c r="AF411" i="1" s="1"/>
  <c r="AF396" i="1" s="1"/>
  <c r="AF397" i="1" s="1"/>
  <c r="AF398" i="1" s="1"/>
  <c r="AF4" i="9"/>
  <c r="AF6" i="9" s="1"/>
  <c r="AF11" i="9" s="1"/>
  <c r="AH1" i="9"/>
  <c r="AH713" i="1"/>
  <c r="AI4" i="1"/>
  <c r="AH3" i="1"/>
  <c r="AG687" i="1"/>
  <c r="AG707" i="1" l="1"/>
  <c r="AG700" i="1"/>
  <c r="AG705" i="1"/>
  <c r="AG703" i="1" s="1"/>
  <c r="AG693" i="1"/>
  <c r="AG698" i="1"/>
  <c r="AG696" i="1" s="1"/>
  <c r="AG408" i="1" s="1"/>
  <c r="AG691" i="1"/>
  <c r="AG689" i="1" s="1"/>
  <c r="AG407" i="1" s="1"/>
  <c r="AG714" i="1"/>
  <c r="AG712" i="1"/>
  <c r="AG710" i="1" s="1"/>
  <c r="AG410" i="1" s="1"/>
  <c r="AG567" i="1"/>
  <c r="AE11" i="9"/>
  <c r="AE131" i="9"/>
  <c r="AH72" i="1"/>
  <c r="AH57" i="1"/>
  <c r="AH62" i="1"/>
  <c r="AH67" i="1"/>
  <c r="AH564" i="1"/>
  <c r="AH565" i="1"/>
  <c r="AH566" i="1"/>
  <c r="AI1" i="9"/>
  <c r="AI713" i="1"/>
  <c r="AI3" i="1"/>
  <c r="AJ4" i="1"/>
  <c r="AH687" i="1"/>
  <c r="AE398" i="1"/>
  <c r="E140" i="12" s="1"/>
  <c r="E142" i="12" s="1"/>
  <c r="AE404" i="1"/>
  <c r="K30" i="11" l="1"/>
  <c r="K29" i="11" s="1"/>
  <c r="AG409" i="1"/>
  <c r="AG411" i="1" s="1"/>
  <c r="AG396" i="1" s="1"/>
  <c r="AG397" i="1" s="1"/>
  <c r="AG398" i="1" s="1"/>
  <c r="AG4" i="9"/>
  <c r="AG6" i="9" s="1"/>
  <c r="AG11" i="9" s="1"/>
  <c r="AJ1" i="9"/>
  <c r="AJ713" i="1"/>
  <c r="AJ687" i="1"/>
  <c r="AJ714" i="1" s="1"/>
  <c r="AJ3" i="1"/>
  <c r="AK4" i="1"/>
  <c r="AH63" i="1"/>
  <c r="AH64" i="1" s="1"/>
  <c r="AH65" i="1" s="1"/>
  <c r="AE129" i="9"/>
  <c r="AE128" i="9"/>
  <c r="AE132" i="9"/>
  <c r="AE402" i="1"/>
  <c r="AE401" i="1"/>
  <c r="AE405" i="1"/>
  <c r="AI72" i="1"/>
  <c r="AI73" i="1" s="1"/>
  <c r="AI74" i="1" s="1"/>
  <c r="AI75" i="1" s="1"/>
  <c r="AI57" i="1"/>
  <c r="AI58" i="1" s="1"/>
  <c r="AI59" i="1" s="1"/>
  <c r="AI60" i="1" s="1"/>
  <c r="AI565" i="1"/>
  <c r="AI67" i="1"/>
  <c r="AI68" i="1" s="1"/>
  <c r="AI69" i="1" s="1"/>
  <c r="AI70" i="1" s="1"/>
  <c r="AI564" i="1"/>
  <c r="AI62" i="1"/>
  <c r="AI63" i="1" s="1"/>
  <c r="AI64" i="1" s="1"/>
  <c r="AI65" i="1" s="1"/>
  <c r="AI566" i="1"/>
  <c r="AI687" i="1"/>
  <c r="AH567" i="1"/>
  <c r="AH73" i="1"/>
  <c r="AH74" i="1" s="1"/>
  <c r="AH75" i="1" s="1"/>
  <c r="AH705" i="1"/>
  <c r="AH703" i="1" s="1"/>
  <c r="AH698" i="1"/>
  <c r="AH696" i="1" s="1"/>
  <c r="AH408" i="1" s="1"/>
  <c r="C12" i="11" s="1"/>
  <c r="D12" i="11" s="1"/>
  <c r="AH707" i="1"/>
  <c r="AH700" i="1"/>
  <c r="AH691" i="1"/>
  <c r="AH689" i="1" s="1"/>
  <c r="AH407" i="1" s="1"/>
  <c r="C11" i="11" s="1"/>
  <c r="D11" i="11" s="1"/>
  <c r="AH693" i="1"/>
  <c r="AH714" i="1"/>
  <c r="AH712" i="1"/>
  <c r="AH710" i="1" s="1"/>
  <c r="AH410" i="1" s="1"/>
  <c r="AH68" i="1"/>
  <c r="AH69" i="1" s="1"/>
  <c r="AH70" i="1" s="1"/>
  <c r="AI567" i="1" l="1"/>
  <c r="AH409" i="1"/>
  <c r="AH411" i="1" s="1"/>
  <c r="AH396" i="1" s="1"/>
  <c r="AH397" i="1" s="1"/>
  <c r="AH398" i="1" s="1"/>
  <c r="AH4" i="9"/>
  <c r="AH6" i="9" s="1"/>
  <c r="AH11" i="9" s="1"/>
  <c r="AJ707" i="1"/>
  <c r="AJ700" i="1"/>
  <c r="AJ705" i="1"/>
  <c r="AJ703" i="1" s="1"/>
  <c r="AJ698" i="1"/>
  <c r="AJ696" i="1" s="1"/>
  <c r="AJ408" i="1" s="1"/>
  <c r="AJ693" i="1"/>
  <c r="AJ691" i="1"/>
  <c r="AJ689" i="1" s="1"/>
  <c r="AJ407" i="1" s="1"/>
  <c r="AJ712" i="1"/>
  <c r="AJ710" i="1" s="1"/>
  <c r="AJ410" i="1" s="1"/>
  <c r="AK1" i="9"/>
  <c r="AK713" i="1"/>
  <c r="AL4" i="1"/>
  <c r="AK3" i="1"/>
  <c r="AK687" i="1" s="1"/>
  <c r="AK714" i="1" s="1"/>
  <c r="AI705" i="1"/>
  <c r="AI703" i="1" s="1"/>
  <c r="AI707" i="1"/>
  <c r="AI700" i="1"/>
  <c r="AI691" i="1"/>
  <c r="AI689" i="1" s="1"/>
  <c r="AI407" i="1" s="1"/>
  <c r="AI698" i="1"/>
  <c r="AI696" i="1" s="1"/>
  <c r="AI408" i="1" s="1"/>
  <c r="AI693" i="1"/>
  <c r="AI714" i="1"/>
  <c r="AI712" i="1"/>
  <c r="AI710" i="1" s="1"/>
  <c r="AI410" i="1" s="1"/>
  <c r="AJ57" i="1"/>
  <c r="AJ58" i="1" s="1"/>
  <c r="AJ59" i="1" s="1"/>
  <c r="AJ60" i="1" s="1"/>
  <c r="AJ62" i="1"/>
  <c r="AJ63" i="1" s="1"/>
  <c r="AJ64" i="1" s="1"/>
  <c r="AJ65" i="1" s="1"/>
  <c r="AG387" i="1"/>
  <c r="AJ566" i="1"/>
  <c r="AJ565" i="1"/>
  <c r="AF385" i="1"/>
  <c r="AH387" i="1"/>
  <c r="AJ72" i="1"/>
  <c r="AJ73" i="1" s="1"/>
  <c r="AJ74" i="1" s="1"/>
  <c r="AJ75" i="1" s="1"/>
  <c r="AJ67" i="1"/>
  <c r="AJ68" i="1" s="1"/>
  <c r="AJ69" i="1" s="1"/>
  <c r="AJ70" i="1" s="1"/>
  <c r="AI387" i="1"/>
  <c r="AF387" i="1"/>
  <c r="AJ564" i="1"/>
  <c r="AF389" i="1"/>
  <c r="AG385" i="1"/>
  <c r="AH385" i="1"/>
  <c r="AI385" i="1"/>
  <c r="AG389" i="1"/>
  <c r="AH389" i="1"/>
  <c r="AI389" i="1"/>
  <c r="AF68" i="1"/>
  <c r="AF69" i="1" s="1"/>
  <c r="AF70" i="1" s="1"/>
  <c r="AF63" i="1"/>
  <c r="AF64" i="1" s="1"/>
  <c r="AF65" i="1" s="1"/>
  <c r="AF58" i="1"/>
  <c r="AF59" i="1" s="1"/>
  <c r="AF60" i="1" s="1"/>
  <c r="AF73" i="1"/>
  <c r="AF74" i="1" s="1"/>
  <c r="AF75" i="1" s="1"/>
  <c r="AG63" i="1"/>
  <c r="AG64" i="1" s="1"/>
  <c r="AG65" i="1" s="1"/>
  <c r="AG68" i="1"/>
  <c r="AG69" i="1" s="1"/>
  <c r="AG70" i="1" s="1"/>
  <c r="AG73" i="1"/>
  <c r="AG74" i="1" s="1"/>
  <c r="AG75" i="1" s="1"/>
  <c r="AG58" i="1"/>
  <c r="AG59" i="1" s="1"/>
  <c r="AG60" i="1" s="1"/>
  <c r="AH58" i="1"/>
  <c r="AH59" i="1" s="1"/>
  <c r="AH60" i="1" s="1"/>
  <c r="AI409" i="1" l="1"/>
  <c r="AI411" i="1" s="1"/>
  <c r="AI396" i="1" s="1"/>
  <c r="AI397" i="1" s="1"/>
  <c r="AI398" i="1" s="1"/>
  <c r="AI4" i="9"/>
  <c r="AI6" i="9" s="1"/>
  <c r="AI11" i="9" s="1"/>
  <c r="AJ567" i="1"/>
  <c r="AK67" i="1"/>
  <c r="AK72" i="1"/>
  <c r="AK57" i="1"/>
  <c r="AK62" i="1"/>
  <c r="AK564" i="1"/>
  <c r="AK565" i="1"/>
  <c r="AK566" i="1"/>
  <c r="AL1" i="9"/>
  <c r="AL713" i="1"/>
  <c r="AM4" i="1"/>
  <c r="AL3" i="1"/>
  <c r="AL687" i="1" s="1"/>
  <c r="AK707" i="1"/>
  <c r="AK700" i="1"/>
  <c r="AK705" i="1"/>
  <c r="AK703" i="1" s="1"/>
  <c r="AK693" i="1"/>
  <c r="AK691" i="1"/>
  <c r="AK689" i="1" s="1"/>
  <c r="AK407" i="1" s="1"/>
  <c r="AK698" i="1"/>
  <c r="AK696" i="1" s="1"/>
  <c r="AK408" i="1" s="1"/>
  <c r="AK712" i="1"/>
  <c r="AK710" i="1" s="1"/>
  <c r="AK410" i="1" s="1"/>
  <c r="AJ409" i="1"/>
  <c r="AJ411" i="1" s="1"/>
  <c r="AJ396" i="1" s="1"/>
  <c r="F145" i="12" s="1"/>
  <c r="F146" i="12" s="1"/>
  <c r="AJ4" i="9"/>
  <c r="L31" i="11" l="1"/>
  <c r="AK567" i="1"/>
  <c r="AL705" i="1"/>
  <c r="AL703" i="1" s="1"/>
  <c r="AL698" i="1"/>
  <c r="AL696" i="1" s="1"/>
  <c r="AL408" i="1" s="1"/>
  <c r="AL707" i="1"/>
  <c r="AL700" i="1"/>
  <c r="AL691" i="1"/>
  <c r="AL689" i="1" s="1"/>
  <c r="AL407" i="1" s="1"/>
  <c r="AL693" i="1"/>
  <c r="AL714" i="1"/>
  <c r="AL712" i="1"/>
  <c r="AL710" i="1" s="1"/>
  <c r="AL410" i="1" s="1"/>
  <c r="AK409" i="1"/>
  <c r="AK411" i="1" s="1"/>
  <c r="AK396" i="1" s="1"/>
  <c r="AK397" i="1" s="1"/>
  <c r="AK398" i="1" s="1"/>
  <c r="AK4" i="9"/>
  <c r="AK6" i="9" s="1"/>
  <c r="AK11" i="9" s="1"/>
  <c r="AM1" i="9"/>
  <c r="AM713" i="1"/>
  <c r="AM3" i="1"/>
  <c r="AN4" i="1"/>
  <c r="AJ130" i="9"/>
  <c r="AJ127" i="9"/>
  <c r="AJ6" i="9"/>
  <c r="AJ403" i="1"/>
  <c r="AJ400" i="1"/>
  <c r="AJ397" i="1"/>
  <c r="AL72" i="1"/>
  <c r="AL57" i="1"/>
  <c r="AL62" i="1"/>
  <c r="AL67" i="1"/>
  <c r="AL564" i="1"/>
  <c r="AL566" i="1"/>
  <c r="AL565" i="1"/>
  <c r="AM57" i="1" l="1"/>
  <c r="AM62" i="1"/>
  <c r="AM67" i="1"/>
  <c r="AM72" i="1"/>
  <c r="AM565" i="1"/>
  <c r="AM566" i="1"/>
  <c r="AM564" i="1"/>
  <c r="AJ398" i="1"/>
  <c r="F140" i="12" s="1"/>
  <c r="F142" i="12" s="1"/>
  <c r="AJ404" i="1"/>
  <c r="AM687" i="1"/>
  <c r="AL567" i="1"/>
  <c r="AJ11" i="9"/>
  <c r="AJ131" i="9"/>
  <c r="AN1" i="9"/>
  <c r="AN713" i="1"/>
  <c r="AO4" i="1"/>
  <c r="AN3" i="1"/>
  <c r="AL409" i="1"/>
  <c r="AL411" i="1" s="1"/>
  <c r="AL396" i="1" s="1"/>
  <c r="AL397" i="1" s="1"/>
  <c r="AL398" i="1" s="1"/>
  <c r="AL4" i="9"/>
  <c r="AL6" i="9" s="1"/>
  <c r="AL11" i="9" s="1"/>
  <c r="L30" i="11" l="1"/>
  <c r="D39" i="11" s="1"/>
  <c r="AM567" i="1"/>
  <c r="AM705" i="1"/>
  <c r="AM703" i="1" s="1"/>
  <c r="AM698" i="1"/>
  <c r="AM696" i="1" s="1"/>
  <c r="AM408" i="1" s="1"/>
  <c r="AM707" i="1"/>
  <c r="AM700" i="1"/>
  <c r="AM691" i="1"/>
  <c r="AM689" i="1" s="1"/>
  <c r="AM407" i="1" s="1"/>
  <c r="AM693" i="1"/>
  <c r="AM714" i="1"/>
  <c r="AM712" i="1"/>
  <c r="AM710" i="1" s="1"/>
  <c r="AM410" i="1" s="1"/>
  <c r="AM68" i="1"/>
  <c r="AM69" i="1" s="1"/>
  <c r="AM70" i="1" s="1"/>
  <c r="AN559" i="1"/>
  <c r="AN558" i="1" s="1"/>
  <c r="AN562" i="1"/>
  <c r="AN561" i="1" s="1"/>
  <c r="AN556" i="1"/>
  <c r="AN555" i="1" s="1"/>
  <c r="AN384" i="1"/>
  <c r="AJ129" i="9"/>
  <c r="AJ128" i="9"/>
  <c r="AJ132" i="9"/>
  <c r="AO1" i="9"/>
  <c r="AO713" i="1"/>
  <c r="AP4" i="1"/>
  <c r="AO3" i="1"/>
  <c r="AM58" i="1" s="1"/>
  <c r="AM59" i="1" s="1"/>
  <c r="AM60" i="1" s="1"/>
  <c r="AM63" i="1"/>
  <c r="AM64" i="1" s="1"/>
  <c r="AM65" i="1" s="1"/>
  <c r="AN687" i="1"/>
  <c r="AJ402" i="1"/>
  <c r="AJ401" i="1"/>
  <c r="AJ405" i="1"/>
  <c r="I37" i="11" l="1"/>
  <c r="J35" i="11" s="1"/>
  <c r="C39" i="11"/>
  <c r="L29" i="11"/>
  <c r="C38" i="11" s="1"/>
  <c r="AM73" i="1"/>
  <c r="AM74" i="1" s="1"/>
  <c r="AM75" i="1" s="1"/>
  <c r="AP1" i="9"/>
  <c r="AP713" i="1"/>
  <c r="AP714" i="1"/>
  <c r="AP712" i="1"/>
  <c r="AP710" i="1" s="1"/>
  <c r="AP410" i="1" s="1"/>
  <c r="AP396" i="1" s="1"/>
  <c r="AQ4" i="1"/>
  <c r="AP3" i="1"/>
  <c r="AO561" i="1"/>
  <c r="AN599" i="1"/>
  <c r="AM387" i="1"/>
  <c r="AK387" i="1"/>
  <c r="AL387" i="1"/>
  <c r="AL385" i="1"/>
  <c r="AM385" i="1"/>
  <c r="AK385" i="1"/>
  <c r="AL389" i="1"/>
  <c r="AM389" i="1"/>
  <c r="AK389" i="1"/>
  <c r="AK68" i="1"/>
  <c r="AK69" i="1" s="1"/>
  <c r="AK70" i="1" s="1"/>
  <c r="AK58" i="1"/>
  <c r="AK59" i="1" s="1"/>
  <c r="AK60" i="1" s="1"/>
  <c r="AK63" i="1"/>
  <c r="AK64" i="1" s="1"/>
  <c r="AK65" i="1" s="1"/>
  <c r="AK73" i="1"/>
  <c r="AK74" i="1" s="1"/>
  <c r="AK75" i="1" s="1"/>
  <c r="AL63" i="1"/>
  <c r="AL64" i="1" s="1"/>
  <c r="AL65" i="1" s="1"/>
  <c r="AL73" i="1"/>
  <c r="AL74" i="1" s="1"/>
  <c r="AL75" i="1" s="1"/>
  <c r="AL58" i="1"/>
  <c r="AL59" i="1" s="1"/>
  <c r="AL60" i="1" s="1"/>
  <c r="AL68" i="1"/>
  <c r="AL69" i="1" s="1"/>
  <c r="AL70" i="1" s="1"/>
  <c r="AO555" i="1"/>
  <c r="AN578" i="1"/>
  <c r="AN707" i="1"/>
  <c r="AN700" i="1"/>
  <c r="AN705" i="1"/>
  <c r="AN703" i="1" s="1"/>
  <c r="AN698" i="1"/>
  <c r="AN696" i="1" s="1"/>
  <c r="AN693" i="1"/>
  <c r="AN691" i="1"/>
  <c r="AN689" i="1" s="1"/>
  <c r="AN714" i="1"/>
  <c r="AN712" i="1"/>
  <c r="AN710" i="1" s="1"/>
  <c r="AN410" i="1" s="1"/>
  <c r="AO687" i="1"/>
  <c r="AN386" i="1"/>
  <c r="AN579" i="1"/>
  <c r="AO558" i="1"/>
  <c r="AN324" i="1"/>
  <c r="AN388" i="1"/>
  <c r="AO384" i="1"/>
  <c r="AO385" i="1" s="1"/>
  <c r="AM409" i="1"/>
  <c r="AM411" i="1" s="1"/>
  <c r="AM396" i="1" s="1"/>
  <c r="AM397" i="1" s="1"/>
  <c r="AM398" i="1" s="1"/>
  <c r="AM4" i="9"/>
  <c r="AM6" i="9" s="1"/>
  <c r="AM11" i="9" s="1"/>
  <c r="I20" i="11" l="1"/>
  <c r="D38" i="11"/>
  <c r="I36" i="11"/>
  <c r="J36" i="11" s="1"/>
  <c r="J37" i="11" s="1"/>
  <c r="AN353" i="1"/>
  <c r="AN351" i="1"/>
  <c r="AN352" i="1"/>
  <c r="AN396" i="1"/>
  <c r="AO579" i="1"/>
  <c r="AN502" i="1"/>
  <c r="AO502" i="1" s="1"/>
  <c r="AO556" i="1"/>
  <c r="AO564" i="1" s="1"/>
  <c r="AP562" i="1"/>
  <c r="AP561" i="1" s="1"/>
  <c r="AP599" i="1" s="1"/>
  <c r="AP556" i="1"/>
  <c r="AP555" i="1" s="1"/>
  <c r="AP578" i="1" s="1"/>
  <c r="AP559" i="1"/>
  <c r="AP558" i="1" s="1"/>
  <c r="AP579" i="1" s="1"/>
  <c r="AO559" i="1"/>
  <c r="AO565" i="1" s="1"/>
  <c r="AQ714" i="1"/>
  <c r="AQ712" i="1"/>
  <c r="AQ710" i="1" s="1"/>
  <c r="AQ410" i="1" s="1"/>
  <c r="AQ396" i="1" s="1"/>
  <c r="AQ1" i="9"/>
  <c r="AQ713" i="1"/>
  <c r="AQ3" i="1"/>
  <c r="AR4" i="1"/>
  <c r="AN389" i="1"/>
  <c r="AO388" i="1"/>
  <c r="AN391" i="1"/>
  <c r="AN325" i="1"/>
  <c r="AO325" i="1" s="1"/>
  <c r="AO386" i="1"/>
  <c r="AO324" i="1"/>
  <c r="AO707" i="1"/>
  <c r="AO700" i="1"/>
  <c r="AO705" i="1"/>
  <c r="AO703" i="1" s="1"/>
  <c r="AO698" i="1"/>
  <c r="AO696" i="1" s="1"/>
  <c r="AO693" i="1"/>
  <c r="AO691" i="1"/>
  <c r="AO689" i="1" s="1"/>
  <c r="AO712" i="1"/>
  <c r="AO710" i="1" s="1"/>
  <c r="AO410" i="1" s="1"/>
  <c r="AO396" i="1" s="1"/>
  <c r="G145" i="12" s="1"/>
  <c r="G146" i="12" s="1"/>
  <c r="AO714" i="1"/>
  <c r="AN606" i="1"/>
  <c r="AO599" i="1"/>
  <c r="AO606" i="1" s="1"/>
  <c r="AN506" i="1"/>
  <c r="AO506" i="1" s="1"/>
  <c r="AP687" i="1"/>
  <c r="AO578" i="1"/>
  <c r="AN501" i="1"/>
  <c r="AO562" i="1"/>
  <c r="AO566" i="1" s="1"/>
  <c r="AP501" i="1" l="1"/>
  <c r="G129" i="12"/>
  <c r="G131" i="12" s="1"/>
  <c r="H131" i="12" s="1" a="1"/>
  <c r="H131" i="12" s="1"/>
  <c r="B25" i="12" s="1"/>
  <c r="AN328" i="1"/>
  <c r="AP705" i="1"/>
  <c r="AP703" i="1" s="1"/>
  <c r="AP698" i="1"/>
  <c r="AP696" i="1" s="1"/>
  <c r="AP707" i="1"/>
  <c r="AP700" i="1"/>
  <c r="AP691" i="1"/>
  <c r="AP689" i="1" s="1"/>
  <c r="AP693" i="1"/>
  <c r="AO48" i="9"/>
  <c r="AO50" i="9" s="1"/>
  <c r="AO328" i="1"/>
  <c r="AQ562" i="1"/>
  <c r="AQ561" i="1" s="1"/>
  <c r="AQ599" i="1" s="1"/>
  <c r="AQ556" i="1"/>
  <c r="AQ555" i="1" s="1"/>
  <c r="AQ578" i="1" s="1"/>
  <c r="AQ559" i="1"/>
  <c r="AQ558" i="1" s="1"/>
  <c r="AQ579" i="1" s="1"/>
  <c r="AO567" i="1"/>
  <c r="AN48" i="9"/>
  <c r="AN50" i="9" s="1"/>
  <c r="AO389" i="1"/>
  <c r="AO391" i="1"/>
  <c r="AQ687" i="1"/>
  <c r="AQ502" i="1"/>
  <c r="AP352" i="1"/>
  <c r="AO352" i="1"/>
  <c r="AN78" i="9"/>
  <c r="AO501" i="1"/>
  <c r="AO78" i="9" s="1"/>
  <c r="AO114" i="9"/>
  <c r="AO115" i="9" s="1"/>
  <c r="AO616" i="1"/>
  <c r="AN114" i="9"/>
  <c r="AN115" i="9" s="1"/>
  <c r="AN616" i="1"/>
  <c r="AQ501" i="1"/>
  <c r="AN364" i="1"/>
  <c r="AP351" i="1"/>
  <c r="AO351" i="1"/>
  <c r="AN331" i="1"/>
  <c r="AN268" i="1"/>
  <c r="AN330" i="1"/>
  <c r="AR712" i="1"/>
  <c r="AR710" i="1" s="1"/>
  <c r="AR410" i="1" s="1"/>
  <c r="AR396" i="1" s="1"/>
  <c r="AR1" i="9"/>
  <c r="AR713" i="1"/>
  <c r="AR714" i="1"/>
  <c r="AR3" i="1"/>
  <c r="AR687" i="1" s="1"/>
  <c r="AS4" i="1"/>
  <c r="AP606" i="1"/>
  <c r="AP506" i="1"/>
  <c r="AP502" i="1"/>
  <c r="AP78" i="9" s="1"/>
  <c r="AN5" i="9"/>
  <c r="AN397" i="1"/>
  <c r="AP353" i="1"/>
  <c r="AO353" i="1"/>
  <c r="C65" i="12" l="1"/>
  <c r="D65" i="12"/>
  <c r="E65" i="12"/>
  <c r="F65" i="12"/>
  <c r="G65" i="12"/>
  <c r="H65" i="12"/>
  <c r="I80" i="12"/>
  <c r="J80" i="12"/>
  <c r="K80" i="12"/>
  <c r="M80" i="12"/>
  <c r="L80" i="12"/>
  <c r="AP5" i="9"/>
  <c r="AP397" i="1"/>
  <c r="AQ353" i="1"/>
  <c r="AR707" i="1"/>
  <c r="AR700" i="1"/>
  <c r="AR705" i="1"/>
  <c r="AR703" i="1" s="1"/>
  <c r="AR698" i="1"/>
  <c r="AR696" i="1" s="1"/>
  <c r="AR693" i="1"/>
  <c r="AR691" i="1"/>
  <c r="AR689" i="1" s="1"/>
  <c r="AP114" i="9"/>
  <c r="AP115" i="9" s="1"/>
  <c r="AP616" i="1"/>
  <c r="AN51" i="9"/>
  <c r="AO330" i="1"/>
  <c r="G148" i="12" s="1"/>
  <c r="G149" i="12" s="1"/>
  <c r="H149" i="12" s="1" a="1"/>
  <c r="H149" i="12" s="1"/>
  <c r="AS712" i="1"/>
  <c r="AS710" i="1" s="1"/>
  <c r="AS410" i="1" s="1"/>
  <c r="AS396" i="1" s="1"/>
  <c r="AS1" i="9"/>
  <c r="AS713" i="1"/>
  <c r="AS714" i="1"/>
  <c r="AS687" i="1"/>
  <c r="AT4" i="1"/>
  <c r="AS3" i="1"/>
  <c r="AN332" i="1"/>
  <c r="AQ352" i="1"/>
  <c r="AR352" i="1" s="1"/>
  <c r="AN6" i="9"/>
  <c r="AN120" i="9"/>
  <c r="AN121" i="9"/>
  <c r="AO5" i="9"/>
  <c r="AO397" i="1"/>
  <c r="AR559" i="1"/>
  <c r="AR558" i="1" s="1"/>
  <c r="AR579" i="1" s="1"/>
  <c r="AR562" i="1"/>
  <c r="AR561" i="1" s="1"/>
  <c r="AR599" i="1" s="1"/>
  <c r="AR556" i="1"/>
  <c r="AR555" i="1" s="1"/>
  <c r="AR578" i="1" s="1"/>
  <c r="AR501" i="1" s="1"/>
  <c r="AN280" i="1"/>
  <c r="AO268" i="1"/>
  <c r="AO280" i="1" s="1"/>
  <c r="AP364" i="1"/>
  <c r="AQ351" i="1"/>
  <c r="AN55" i="9"/>
  <c r="AN494" i="1"/>
  <c r="AO331" i="1"/>
  <c r="AO344" i="1" s="1"/>
  <c r="AN74" i="9"/>
  <c r="AN533" i="1"/>
  <c r="AN644" i="1"/>
  <c r="AQ705" i="1"/>
  <c r="AQ703" i="1" s="1"/>
  <c r="AQ698" i="1"/>
  <c r="AQ696" i="1" s="1"/>
  <c r="AQ707" i="1"/>
  <c r="AQ700" i="1"/>
  <c r="AQ691" i="1"/>
  <c r="AQ689" i="1" s="1"/>
  <c r="AQ693" i="1"/>
  <c r="AQ606" i="1"/>
  <c r="AQ506" i="1"/>
  <c r="AQ78" i="9" s="1"/>
  <c r="AS352" i="1" l="1"/>
  <c r="AT352" i="1" s="1"/>
  <c r="AQ114" i="9"/>
  <c r="AQ115" i="9" s="1"/>
  <c r="AQ616" i="1"/>
  <c r="AN538" i="1"/>
  <c r="AO533" i="1"/>
  <c r="AP74" i="9"/>
  <c r="AP533" i="1"/>
  <c r="AP644" i="1"/>
  <c r="AS707" i="1"/>
  <c r="AS700" i="1"/>
  <c r="AS705" i="1"/>
  <c r="AS703" i="1" s="1"/>
  <c r="AS698" i="1"/>
  <c r="AS696" i="1" s="1"/>
  <c r="AS693" i="1"/>
  <c r="AS691" i="1"/>
  <c r="AS689" i="1" s="1"/>
  <c r="AQ5" i="9"/>
  <c r="AQ397" i="1"/>
  <c r="AR353" i="1"/>
  <c r="AT1" i="9"/>
  <c r="AT713" i="1"/>
  <c r="AT714" i="1"/>
  <c r="AT712" i="1"/>
  <c r="AT710" i="1" s="1"/>
  <c r="AT410" i="1" s="1"/>
  <c r="AT396" i="1" s="1"/>
  <c r="AU4" i="1"/>
  <c r="AT3" i="1"/>
  <c r="AN103" i="9"/>
  <c r="AN104" i="9" s="1"/>
  <c r="AN56" i="9"/>
  <c r="AR606" i="1"/>
  <c r="AR506" i="1"/>
  <c r="AO6" i="9"/>
  <c r="AO120" i="9"/>
  <c r="AO121" i="9"/>
  <c r="AN484" i="1"/>
  <c r="AN622" i="1" s="1"/>
  <c r="AN336" i="1"/>
  <c r="AM636" i="1"/>
  <c r="AO51" i="9"/>
  <c r="AO55" i="9" s="1"/>
  <c r="AO343" i="1"/>
  <c r="B13" i="12" s="1"/>
  <c r="AN588" i="1"/>
  <c r="AO494" i="1"/>
  <c r="AQ364" i="1"/>
  <c r="AR351" i="1"/>
  <c r="AN281" i="1"/>
  <c r="AO281" i="1" s="1"/>
  <c r="AO284" i="1" s="1"/>
  <c r="AR502" i="1"/>
  <c r="AS559" i="1"/>
  <c r="AS558" i="1" s="1"/>
  <c r="AS562" i="1"/>
  <c r="AS561" i="1" s="1"/>
  <c r="AS556" i="1"/>
  <c r="AS555" i="1" s="1"/>
  <c r="AS384" i="1"/>
  <c r="AO332" i="1"/>
  <c r="AP6" i="9"/>
  <c r="AP120" i="9"/>
  <c r="AP121" i="9"/>
  <c r="C57" i="12" l="1"/>
  <c r="C58" i="12" s="1"/>
  <c r="C59" i="12" s="1"/>
  <c r="C51" i="12"/>
  <c r="D57" i="12"/>
  <c r="E57" i="12"/>
  <c r="F57" i="12"/>
  <c r="G57" i="12"/>
  <c r="H57" i="12"/>
  <c r="I57" i="12"/>
  <c r="I58" i="12" s="1"/>
  <c r="I59" i="12" s="1"/>
  <c r="J57" i="12"/>
  <c r="J58" i="12" s="1"/>
  <c r="J59" i="12" s="1"/>
  <c r="K57" i="12"/>
  <c r="K58" i="12" s="1"/>
  <c r="K59" i="12" s="1"/>
  <c r="L57" i="12"/>
  <c r="L58" i="12" s="1"/>
  <c r="L59" i="12" s="1"/>
  <c r="M57" i="12"/>
  <c r="M58" i="12" s="1"/>
  <c r="M59" i="12" s="1"/>
  <c r="AO622" i="1"/>
  <c r="AN623" i="1"/>
  <c r="AO282" i="1"/>
  <c r="AP384" i="1"/>
  <c r="AQ384" i="1"/>
  <c r="AR384" i="1"/>
  <c r="AO650" i="1"/>
  <c r="AT561" i="1"/>
  <c r="AT562" i="1" s="1"/>
  <c r="AT566" i="1" s="1"/>
  <c r="AS599" i="1"/>
  <c r="AO645" i="1"/>
  <c r="AO336" i="1"/>
  <c r="AO138" i="9" s="1"/>
  <c r="AN346" i="1"/>
  <c r="AN338" i="1"/>
  <c r="AN347" i="1" s="1"/>
  <c r="AU714" i="1"/>
  <c r="AU712" i="1"/>
  <c r="AU710" i="1" s="1"/>
  <c r="AU410" i="1" s="1"/>
  <c r="AU1" i="9"/>
  <c r="AU713" i="1"/>
  <c r="AU3" i="1"/>
  <c r="AV4" i="1"/>
  <c r="AQ6" i="9"/>
  <c r="AQ120" i="9"/>
  <c r="AQ121" i="9"/>
  <c r="AP538" i="1"/>
  <c r="AS579" i="1"/>
  <c r="AT558" i="1"/>
  <c r="AT559" i="1" s="1"/>
  <c r="AT565" i="1" s="1"/>
  <c r="AN282" i="1"/>
  <c r="AN341" i="1" s="1"/>
  <c r="AO588" i="1"/>
  <c r="AN595" i="1"/>
  <c r="AT687" i="1"/>
  <c r="AS324" i="1"/>
  <c r="AR364" i="1"/>
  <c r="AS351" i="1"/>
  <c r="AT351" i="1" s="1"/>
  <c r="AN500" i="1"/>
  <c r="AO484" i="1"/>
  <c r="AO500" i="1" s="1"/>
  <c r="AT555" i="1"/>
  <c r="AT556" i="1" s="1"/>
  <c r="AT564" i="1" s="1"/>
  <c r="AS578" i="1"/>
  <c r="AQ74" i="9"/>
  <c r="AQ533" i="1"/>
  <c r="AQ538" i="1" s="1"/>
  <c r="AQ644" i="1"/>
  <c r="AO103" i="9"/>
  <c r="AO104" i="9" s="1"/>
  <c r="AO56" i="9"/>
  <c r="AR114" i="9"/>
  <c r="AR115" i="9" s="1"/>
  <c r="AR616" i="1"/>
  <c r="AN138" i="9"/>
  <c r="AR5" i="9"/>
  <c r="AR397" i="1"/>
  <c r="AS353" i="1"/>
  <c r="AT353" i="1" s="1"/>
  <c r="AR78" i="9"/>
  <c r="AO364" i="1"/>
  <c r="AO538" i="1"/>
  <c r="E75" i="12" l="1"/>
  <c r="E76" i="12" s="1"/>
  <c r="E89" i="12" s="1"/>
  <c r="E58" i="12"/>
  <c r="E59" i="12" s="1"/>
  <c r="H75" i="12"/>
  <c r="H58" i="12"/>
  <c r="H59" i="12" s="1"/>
  <c r="D75" i="12"/>
  <c r="D76" i="12" s="1"/>
  <c r="D89" i="12" s="1"/>
  <c r="D58" i="12"/>
  <c r="D59" i="12" s="1"/>
  <c r="G75" i="12"/>
  <c r="G76" i="12" s="1"/>
  <c r="G89" i="12" s="1"/>
  <c r="G58" i="12"/>
  <c r="G59" i="12" s="1"/>
  <c r="C63" i="12"/>
  <c r="C52" i="12"/>
  <c r="C104" i="12" s="1"/>
  <c r="F75" i="12"/>
  <c r="F76" i="12" s="1"/>
  <c r="F89" i="12" s="1"/>
  <c r="F58" i="12"/>
  <c r="F59" i="12" s="1"/>
  <c r="C67" i="12"/>
  <c r="C97" i="12" s="1"/>
  <c r="AU396" i="1"/>
  <c r="AU352" i="1"/>
  <c r="AQ324" i="1"/>
  <c r="AR6" i="9"/>
  <c r="AR120" i="9"/>
  <c r="AR121" i="9"/>
  <c r="AT5" i="9"/>
  <c r="AT397" i="1"/>
  <c r="AO595" i="1"/>
  <c r="AO516" i="1"/>
  <c r="AO286" i="1" s="1"/>
  <c r="AO288" i="1" s="1"/>
  <c r="AO356" i="1"/>
  <c r="AR74" i="9"/>
  <c r="AR533" i="1"/>
  <c r="AR538" i="1" s="1"/>
  <c r="AR644" i="1"/>
  <c r="AU562" i="1"/>
  <c r="AU561" i="1" s="1"/>
  <c r="AU599" i="1" s="1"/>
  <c r="AU556" i="1"/>
  <c r="AU555" i="1" s="1"/>
  <c r="AU578" i="1" s="1"/>
  <c r="AU559" i="1"/>
  <c r="AU558" i="1" s="1"/>
  <c r="AU579" i="1" s="1"/>
  <c r="AN100" i="9"/>
  <c r="AN101" i="9" s="1"/>
  <c r="AN625" i="1"/>
  <c r="AT567" i="1"/>
  <c r="AS5" i="9"/>
  <c r="AS397" i="1"/>
  <c r="AU353" i="1"/>
  <c r="AS364" i="1"/>
  <c r="AU351" i="1"/>
  <c r="AT705" i="1"/>
  <c r="AT703" i="1" s="1"/>
  <c r="AT698" i="1"/>
  <c r="AT696" i="1" s="1"/>
  <c r="AT707" i="1"/>
  <c r="AT700" i="1"/>
  <c r="AT691" i="1"/>
  <c r="AT689" i="1" s="1"/>
  <c r="AT693" i="1"/>
  <c r="AN60" i="9"/>
  <c r="AN348" i="1"/>
  <c r="AN61" i="9" s="1"/>
  <c r="AN88" i="9" s="1"/>
  <c r="AN339" i="1"/>
  <c r="AO339" i="1" s="1"/>
  <c r="AO341" i="1" s="1"/>
  <c r="AO646" i="1" s="1"/>
  <c r="AV712" i="1"/>
  <c r="AV710" i="1" s="1"/>
  <c r="AV410" i="1" s="1"/>
  <c r="AV396" i="1" s="1"/>
  <c r="AV1" i="9"/>
  <c r="AV713" i="1"/>
  <c r="AV714" i="1"/>
  <c r="AW4" i="1"/>
  <c r="AV3" i="1"/>
  <c r="AV687" i="1" s="1"/>
  <c r="AS606" i="1"/>
  <c r="AT599" i="1"/>
  <c r="AT606" i="1" s="1"/>
  <c r="AS506" i="1"/>
  <c r="AT506" i="1" s="1"/>
  <c r="AR324" i="1"/>
  <c r="AO74" i="9"/>
  <c r="AO644" i="1"/>
  <c r="AO651" i="1"/>
  <c r="AT578" i="1"/>
  <c r="AU501" i="1" s="1"/>
  <c r="AS501" i="1"/>
  <c r="AN516" i="1"/>
  <c r="AN356" i="1"/>
  <c r="AO647" i="1"/>
  <c r="AT579" i="1"/>
  <c r="AU502" i="1" s="1"/>
  <c r="AS502" i="1"/>
  <c r="AT502" i="1" s="1"/>
  <c r="AU687" i="1"/>
  <c r="AO346" i="1"/>
  <c r="AO338" i="1"/>
  <c r="AO347" i="1" s="1"/>
  <c r="AT384" i="1"/>
  <c r="AT385" i="1" s="1"/>
  <c r="AP324" i="1"/>
  <c r="AO623" i="1"/>
  <c r="I75" i="12" l="1"/>
  <c r="I76" i="12" s="1"/>
  <c r="J75" i="12"/>
  <c r="J76" i="12" s="1"/>
  <c r="K75" i="12"/>
  <c r="K76" i="12" s="1"/>
  <c r="L75" i="12"/>
  <c r="L76" i="12" s="1"/>
  <c r="M75" i="12"/>
  <c r="M76" i="12" s="1"/>
  <c r="H76" i="12"/>
  <c r="H89" i="12" s="1"/>
  <c r="AO541" i="1"/>
  <c r="AO544" i="1" s="1"/>
  <c r="AT543" i="1" s="1"/>
  <c r="AV707" i="1"/>
  <c r="AV700" i="1"/>
  <c r="AV705" i="1"/>
  <c r="AV703" i="1" s="1"/>
  <c r="AV698" i="1"/>
  <c r="AV696" i="1" s="1"/>
  <c r="AV693" i="1"/>
  <c r="AV691" i="1"/>
  <c r="AV689" i="1" s="1"/>
  <c r="AT6" i="9"/>
  <c r="AT120" i="9"/>
  <c r="AT121" i="9"/>
  <c r="AU705" i="1"/>
  <c r="AU703" i="1" s="1"/>
  <c r="AU698" i="1"/>
  <c r="AU696" i="1" s="1"/>
  <c r="AU707" i="1"/>
  <c r="AU700" i="1"/>
  <c r="AU691" i="1"/>
  <c r="AU689" i="1" s="1"/>
  <c r="AU693" i="1"/>
  <c r="AN71" i="9"/>
  <c r="AN371" i="1"/>
  <c r="AN372" i="1" s="1"/>
  <c r="AN373" i="1" s="1"/>
  <c r="AN374" i="1" s="1"/>
  <c r="AN357" i="1"/>
  <c r="AW712" i="1"/>
  <c r="AW710" i="1" s="1"/>
  <c r="AW410" i="1" s="1"/>
  <c r="AW396" i="1" s="1"/>
  <c r="AW1" i="9"/>
  <c r="AW713" i="1"/>
  <c r="AW714" i="1"/>
  <c r="AW3" i="1"/>
  <c r="AW687" i="1" s="1"/>
  <c r="AU5" i="9"/>
  <c r="AU397" i="1"/>
  <c r="AV353" i="1"/>
  <c r="AN110" i="9"/>
  <c r="AN111" i="9" s="1"/>
  <c r="AU606" i="1"/>
  <c r="AU506" i="1"/>
  <c r="AO71" i="9"/>
  <c r="AO371" i="1"/>
  <c r="AO357" i="1"/>
  <c r="AO403" i="1" s="1"/>
  <c r="AO100" i="9"/>
  <c r="AO101" i="9" s="1"/>
  <c r="AO625" i="1"/>
  <c r="AU364" i="1"/>
  <c r="AV351" i="1"/>
  <c r="AV352" i="1"/>
  <c r="AV559" i="1"/>
  <c r="AV558" i="1" s="1"/>
  <c r="AV579" i="1" s="1"/>
  <c r="AV502" i="1" s="1"/>
  <c r="AV562" i="1"/>
  <c r="AV561" i="1" s="1"/>
  <c r="AV599" i="1" s="1"/>
  <c r="AV556" i="1"/>
  <c r="AV555" i="1" s="1"/>
  <c r="AV578" i="1" s="1"/>
  <c r="AO60" i="9"/>
  <c r="AO348" i="1"/>
  <c r="AN286" i="1"/>
  <c r="AN288" i="1" s="1"/>
  <c r="AO648" i="1"/>
  <c r="AN541" i="1"/>
  <c r="AS78" i="9"/>
  <c r="AT501" i="1"/>
  <c r="AT78" i="9" s="1"/>
  <c r="AT114" i="9"/>
  <c r="AT115" i="9" s="1"/>
  <c r="AT616" i="1"/>
  <c r="AT324" i="1"/>
  <c r="AU78" i="9"/>
  <c r="AS114" i="9"/>
  <c r="AS115" i="9" s="1"/>
  <c r="AS616" i="1"/>
  <c r="AN137" i="9"/>
  <c r="AN122" i="9"/>
  <c r="AN98" i="9"/>
  <c r="AN99" i="9" s="1"/>
  <c r="AN102" i="9" s="1"/>
  <c r="AS74" i="9"/>
  <c r="AS533" i="1"/>
  <c r="AS644" i="1"/>
  <c r="AS6" i="9"/>
  <c r="AS120" i="9"/>
  <c r="AS121" i="9"/>
  <c r="M16" i="10"/>
  <c r="M13" i="10"/>
  <c r="M7" i="10"/>
  <c r="M10" i="10"/>
  <c r="M78" i="12" l="1"/>
  <c r="J78" i="12"/>
  <c r="J81" i="12" s="1"/>
  <c r="J83" i="12" s="1"/>
  <c r="M81" i="12"/>
  <c r="M83" i="12" s="1"/>
  <c r="M85" i="12"/>
  <c r="M86" i="12" s="1"/>
  <c r="I78" i="12"/>
  <c r="I81" i="12" s="1"/>
  <c r="I83" i="12" s="1"/>
  <c r="L78" i="12"/>
  <c r="L81" i="12" s="1"/>
  <c r="L83" i="12" s="1"/>
  <c r="K78" i="12"/>
  <c r="K81" i="12" s="1"/>
  <c r="K83" i="12" s="1"/>
  <c r="AP543" i="1"/>
  <c r="P7" i="10"/>
  <c r="O7" i="10"/>
  <c r="P13" i="10"/>
  <c r="O13" i="10"/>
  <c r="O10" i="10"/>
  <c r="P10" i="10"/>
  <c r="O16" i="10"/>
  <c r="P16" i="10"/>
  <c r="AN575" i="1"/>
  <c r="AM635" i="1"/>
  <c r="AN544" i="1"/>
  <c r="AW352" i="1"/>
  <c r="AU74" i="9"/>
  <c r="AU533" i="1"/>
  <c r="AU538" i="1" s="1"/>
  <c r="AU644" i="1"/>
  <c r="AV5" i="9"/>
  <c r="AV397" i="1"/>
  <c r="AW353" i="1"/>
  <c r="AO137" i="9"/>
  <c r="AO122" i="9"/>
  <c r="AO98" i="9"/>
  <c r="AO99" i="9" s="1"/>
  <c r="AO102" i="9" s="1"/>
  <c r="AO110" i="9"/>
  <c r="AO111" i="9" s="1"/>
  <c r="AW707" i="1"/>
  <c r="AW700" i="1"/>
  <c r="AW705" i="1"/>
  <c r="AW703" i="1" s="1"/>
  <c r="AW698" i="1"/>
  <c r="AW696" i="1" s="1"/>
  <c r="AW693" i="1"/>
  <c r="AW691" i="1"/>
  <c r="AW689" i="1" s="1"/>
  <c r="AV606" i="1"/>
  <c r="AV506" i="1"/>
  <c r="AO404" i="1"/>
  <c r="AO372" i="1"/>
  <c r="AO373" i="1" s="1"/>
  <c r="AO374" i="1" s="1"/>
  <c r="AU6" i="9"/>
  <c r="AU120" i="9"/>
  <c r="AU121" i="9"/>
  <c r="AN123" i="9"/>
  <c r="AN95" i="9"/>
  <c r="AN84" i="9"/>
  <c r="AN73" i="9"/>
  <c r="AU114" i="9"/>
  <c r="AU115" i="9" s="1"/>
  <c r="AU616" i="1"/>
  <c r="AV501" i="1"/>
  <c r="AV78" i="9" s="1"/>
  <c r="AS538" i="1"/>
  <c r="AT533" i="1"/>
  <c r="AO61" i="9"/>
  <c r="AO400" i="1"/>
  <c r="AV364" i="1"/>
  <c r="AW351" i="1"/>
  <c r="AW364" i="1" s="1"/>
  <c r="AO123" i="9"/>
  <c r="AO95" i="9"/>
  <c r="AO84" i="9"/>
  <c r="AO130" i="9" s="1"/>
  <c r="AO73" i="9"/>
  <c r="AW559" i="1"/>
  <c r="AW558" i="1" s="1"/>
  <c r="AW579" i="1" s="1"/>
  <c r="AW502" i="1" s="1"/>
  <c r="AW562" i="1"/>
  <c r="AW561" i="1" s="1"/>
  <c r="AW599" i="1" s="1"/>
  <c r="AW556" i="1"/>
  <c r="AW555" i="1" s="1"/>
  <c r="AW578" i="1" s="1"/>
  <c r="AW501" i="1" s="1"/>
  <c r="M84" i="12" l="1"/>
  <c r="H90" i="12" s="1"/>
  <c r="L84" i="12"/>
  <c r="I84" i="12"/>
  <c r="J84" i="12"/>
  <c r="K84" i="12"/>
  <c r="G67" i="12"/>
  <c r="H67" i="12" s="1"/>
  <c r="H97" i="12" s="1"/>
  <c r="F67" i="12"/>
  <c r="F97" i="12" s="1"/>
  <c r="AN546" i="1"/>
  <c r="AO131" i="9"/>
  <c r="AO124" i="9"/>
  <c r="AO85" i="9"/>
  <c r="AO87" i="9" s="1"/>
  <c r="AO75" i="9"/>
  <c r="AO82" i="9" s="1"/>
  <c r="AO139" i="9" s="1"/>
  <c r="AW74" i="9"/>
  <c r="AW533" i="1"/>
  <c r="AW538" i="1" s="1"/>
  <c r="AW644" i="1"/>
  <c r="AO88" i="9"/>
  <c r="AO127" i="9"/>
  <c r="AN124" i="9"/>
  <c r="AN85" i="9"/>
  <c r="AN87" i="9" s="1"/>
  <c r="AN75" i="9"/>
  <c r="AN82" i="9" s="1"/>
  <c r="AN139" i="9" s="1"/>
  <c r="AV114" i="9"/>
  <c r="AV115" i="9" s="1"/>
  <c r="AV616" i="1"/>
  <c r="AV6" i="9"/>
  <c r="AV120" i="9"/>
  <c r="AV121" i="9"/>
  <c r="AT364" i="1"/>
  <c r="AT538" i="1"/>
  <c r="AV74" i="9"/>
  <c r="AV533" i="1"/>
  <c r="AV538" i="1" s="1"/>
  <c r="AV644" i="1"/>
  <c r="AW606" i="1"/>
  <c r="AW506" i="1"/>
  <c r="AW78" i="9" s="1"/>
  <c r="AT650" i="1"/>
  <c r="AW5" i="9"/>
  <c r="AW397" i="1"/>
  <c r="AN583" i="1"/>
  <c r="AN596" i="1" s="1"/>
  <c r="AO575" i="1"/>
  <c r="AN377" i="1"/>
  <c r="G90" i="12" l="1"/>
  <c r="H91" i="12"/>
  <c r="H92" i="12" s="1"/>
  <c r="M9" i="12" s="1"/>
  <c r="D20" i="11" s="1"/>
  <c r="E67" i="12"/>
  <c r="E97" i="12" s="1"/>
  <c r="D67" i="12"/>
  <c r="D97" i="12" s="1"/>
  <c r="D98" i="12" s="1"/>
  <c r="G97" i="12"/>
  <c r="AT74" i="9"/>
  <c r="AT651" i="1"/>
  <c r="AT644" i="1"/>
  <c r="AN93" i="9"/>
  <c r="AN92" i="9"/>
  <c r="AN91" i="9"/>
  <c r="AN7" i="9"/>
  <c r="AN11" i="9" s="1"/>
  <c r="AN632" i="1"/>
  <c r="AN382" i="1"/>
  <c r="AN398" i="1" s="1"/>
  <c r="AO387" i="1"/>
  <c r="AO583" i="1"/>
  <c r="AO596" i="1" s="1"/>
  <c r="AO377" i="1"/>
  <c r="AO546" i="1"/>
  <c r="AN105" i="9"/>
  <c r="AN106" i="9" s="1"/>
  <c r="AN627" i="1"/>
  <c r="AM637" i="1"/>
  <c r="AW6" i="9"/>
  <c r="AW120" i="9"/>
  <c r="AW121" i="9"/>
  <c r="AW114" i="9"/>
  <c r="AW115" i="9" s="1"/>
  <c r="AW616" i="1"/>
  <c r="U29" i="11" l="1"/>
  <c r="U30" i="11" s="1"/>
  <c r="Q29" i="11"/>
  <c r="Q30" i="11" s="1"/>
  <c r="M29" i="11"/>
  <c r="M30" i="11" s="1"/>
  <c r="T29" i="11"/>
  <c r="T30" i="11" s="1"/>
  <c r="P29" i="11"/>
  <c r="P30" i="11" s="1"/>
  <c r="S29" i="11"/>
  <c r="S30" i="11" s="1"/>
  <c r="O29" i="11"/>
  <c r="O30" i="11" s="1"/>
  <c r="V29" i="11"/>
  <c r="V30" i="11" s="1"/>
  <c r="R29" i="11"/>
  <c r="R30" i="11" s="1"/>
  <c r="N29" i="11"/>
  <c r="N30" i="11" s="1"/>
  <c r="F90" i="12"/>
  <c r="G91" i="12"/>
  <c r="G92" i="12" s="1"/>
  <c r="G98" i="12"/>
  <c r="E98" i="12"/>
  <c r="H98" i="12"/>
  <c r="F98" i="12"/>
  <c r="AO93" i="9"/>
  <c r="AO92" i="9"/>
  <c r="AO91" i="9"/>
  <c r="AO7" i="9"/>
  <c r="AO11" i="9" s="1"/>
  <c r="AO632" i="1"/>
  <c r="AP386" i="1"/>
  <c r="AO382" i="1"/>
  <c r="C68" i="12" s="1"/>
  <c r="AO105" i="9"/>
  <c r="AO106" i="9" s="1"/>
  <c r="AO627" i="1"/>
  <c r="AN116" i="9"/>
  <c r="AN117" i="9" s="1"/>
  <c r="AN107" i="9"/>
  <c r="E90" i="12" l="1"/>
  <c r="F91" i="12"/>
  <c r="F92" i="12" s="1"/>
  <c r="D61" i="12"/>
  <c r="D49" i="12"/>
  <c r="C93" i="12"/>
  <c r="AO129" i="9"/>
  <c r="AO128" i="9"/>
  <c r="AO132" i="9"/>
  <c r="AP325" i="1"/>
  <c r="AP388" i="1"/>
  <c r="AO116" i="9"/>
  <c r="AO117" i="9" s="1"/>
  <c r="AO107" i="9"/>
  <c r="AO393" i="1"/>
  <c r="AO398" i="1"/>
  <c r="AO392" i="1"/>
  <c r="D90" i="12" l="1"/>
  <c r="D91" i="12" s="1"/>
  <c r="D92" i="12" s="1"/>
  <c r="E91" i="12"/>
  <c r="E92" i="12" s="1"/>
  <c r="G140" i="12"/>
  <c r="G142" i="12" s="1"/>
  <c r="D64" i="12"/>
  <c r="D50" i="12"/>
  <c r="AP48" i="9"/>
  <c r="AP50" i="9" s="1"/>
  <c r="AP328" i="1"/>
  <c r="AO402" i="1"/>
  <c r="AO401" i="1"/>
  <c r="AO405" i="1"/>
  <c r="AP389" i="1"/>
  <c r="AP391" i="1"/>
  <c r="D51" i="12" l="1"/>
  <c r="D63" i="12" s="1"/>
  <c r="D68" i="12" s="1"/>
  <c r="H142" i="12" a="1"/>
  <c r="H142" i="12" s="1"/>
  <c r="M12" i="12" s="1"/>
  <c r="M10" i="12"/>
  <c r="D21" i="11" s="1"/>
  <c r="AP330" i="1"/>
  <c r="AP331" i="1"/>
  <c r="AP268" i="1"/>
  <c r="D52" i="12" l="1"/>
  <c r="D104" i="12" s="1"/>
  <c r="E61" i="12"/>
  <c r="E49" i="12"/>
  <c r="D93" i="12"/>
  <c r="D94" i="12" s="1"/>
  <c r="D96" i="12" s="1"/>
  <c r="D99" i="12" s="1"/>
  <c r="AP280" i="1"/>
  <c r="AP494" i="1"/>
  <c r="AP332" i="1"/>
  <c r="AP51" i="9"/>
  <c r="AP55" i="9" s="1"/>
  <c r="E64" i="12" l="1"/>
  <c r="E50" i="12"/>
  <c r="AP588" i="1"/>
  <c r="AP103" i="9"/>
  <c r="AP104" i="9" s="1"/>
  <c r="AP56" i="9"/>
  <c r="AP281" i="1"/>
  <c r="AP282" i="1" s="1"/>
  <c r="AP341" i="1" s="1"/>
  <c r="AP484" i="1"/>
  <c r="AP336" i="1"/>
  <c r="AP138" i="9" s="1"/>
  <c r="E51" i="12" l="1"/>
  <c r="E63" i="12" s="1"/>
  <c r="E68" i="12" s="1"/>
  <c r="AP500" i="1"/>
  <c r="AP622" i="1"/>
  <c r="AP60" i="9"/>
  <c r="AP348" i="1"/>
  <c r="AP61" i="9" s="1"/>
  <c r="AP88" i="9" s="1"/>
  <c r="AP339" i="1"/>
  <c r="AP595" i="1"/>
  <c r="AP346" i="1"/>
  <c r="AP338" i="1"/>
  <c r="AP347" i="1" s="1"/>
  <c r="E52" i="12" l="1"/>
  <c r="E104" i="12" s="1"/>
  <c r="F61" i="12"/>
  <c r="F49" i="12"/>
  <c r="E93" i="12"/>
  <c r="E94" i="12" s="1"/>
  <c r="E96" i="12" s="1"/>
  <c r="E99" i="12" s="1"/>
  <c r="AP137" i="9"/>
  <c r="AP122" i="9"/>
  <c r="AP98" i="9"/>
  <c r="AP99" i="9" s="1"/>
  <c r="AP623" i="1"/>
  <c r="AP516" i="1"/>
  <c r="AP356" i="1"/>
  <c r="F64" i="12" l="1"/>
  <c r="F50" i="12"/>
  <c r="AP286" i="1"/>
  <c r="AP288" i="1" s="1"/>
  <c r="AP541" i="1"/>
  <c r="AP100" i="9"/>
  <c r="AP101" i="9" s="1"/>
  <c r="AP625" i="1"/>
  <c r="AP71" i="9"/>
  <c r="AP357" i="1"/>
  <c r="AP371" i="1"/>
  <c r="AP372" i="1" s="1"/>
  <c r="AP373" i="1" s="1"/>
  <c r="AP374" i="1" s="1"/>
  <c r="F51" i="12" l="1"/>
  <c r="F63" i="12" s="1"/>
  <c r="F68" i="12" s="1"/>
  <c r="AP544" i="1"/>
  <c r="AP575" i="1"/>
  <c r="AP123" i="9"/>
  <c r="AP73" i="9"/>
  <c r="AP84" i="9"/>
  <c r="AP95" i="9"/>
  <c r="AP102" i="9"/>
  <c r="AP110" i="9"/>
  <c r="AP111" i="9" s="1"/>
  <c r="F52" i="12" l="1"/>
  <c r="F104" i="12" s="1"/>
  <c r="G49" i="12"/>
  <c r="G61" i="12"/>
  <c r="F93" i="12"/>
  <c r="F94" i="12" s="1"/>
  <c r="F96" i="12" s="1"/>
  <c r="F99" i="12" s="1"/>
  <c r="AP583" i="1"/>
  <c r="AP596" i="1" s="1"/>
  <c r="AP377" i="1"/>
  <c r="AP124" i="9"/>
  <c r="AP85" i="9"/>
  <c r="AP87" i="9" s="1"/>
  <c r="AP75" i="9"/>
  <c r="AP82" i="9" s="1"/>
  <c r="AP139" i="9" s="1"/>
  <c r="AP546" i="1"/>
  <c r="AQ543" i="1"/>
  <c r="G64" i="12" l="1"/>
  <c r="G50" i="12"/>
  <c r="AP105" i="9"/>
  <c r="AP106" i="9" s="1"/>
  <c r="AP627" i="1"/>
  <c r="AP92" i="9"/>
  <c r="AP93" i="9"/>
  <c r="AP91" i="9"/>
  <c r="AP7" i="9"/>
  <c r="AP11" i="9" s="1"/>
  <c r="AP632" i="1"/>
  <c r="AQ386" i="1"/>
  <c r="AP382" i="1"/>
  <c r="AP398" i="1" s="1"/>
  <c r="G51" i="12" l="1"/>
  <c r="G63" i="12" s="1"/>
  <c r="G68" i="12" s="1"/>
  <c r="AQ325" i="1"/>
  <c r="AQ388" i="1"/>
  <c r="AP116" i="9"/>
  <c r="AP117" i="9" s="1"/>
  <c r="AP107" i="9"/>
  <c r="G52" i="12" l="1"/>
  <c r="G104" i="12" s="1"/>
  <c r="H61" i="12"/>
  <c r="H49" i="12"/>
  <c r="G93" i="12"/>
  <c r="G94" i="12" s="1"/>
  <c r="G96" i="12" s="1"/>
  <c r="G99" i="12" s="1"/>
  <c r="AQ389" i="1"/>
  <c r="AQ391" i="1"/>
  <c r="AQ48" i="9"/>
  <c r="AQ50" i="9" s="1"/>
  <c r="AQ328" i="1"/>
  <c r="H64" i="12" l="1"/>
  <c r="H50" i="12"/>
  <c r="AQ330" i="1"/>
  <c r="AQ331" i="1"/>
  <c r="AQ268" i="1"/>
  <c r="H51" i="12" l="1"/>
  <c r="H63" i="12" s="1"/>
  <c r="H68" i="12" s="1"/>
  <c r="H93" i="12" s="1"/>
  <c r="H94" i="12" s="1"/>
  <c r="H96" i="12" s="1"/>
  <c r="AQ494" i="1"/>
  <c r="AQ280" i="1"/>
  <c r="AQ332" i="1"/>
  <c r="AQ51" i="9"/>
  <c r="AQ55" i="9" s="1"/>
  <c r="H52" i="12" l="1"/>
  <c r="H104" i="12" s="1"/>
  <c r="H102" i="12" s="1"/>
  <c r="H99" i="12"/>
  <c r="M4" i="12" s="1"/>
  <c r="AQ281" i="1"/>
  <c r="AQ282" i="1" s="1"/>
  <c r="AQ341" i="1" s="1"/>
  <c r="AQ103" i="9"/>
  <c r="AQ104" i="9" s="1"/>
  <c r="AQ56" i="9"/>
  <c r="AQ484" i="1"/>
  <c r="AQ336" i="1"/>
  <c r="AQ138" i="9" s="1"/>
  <c r="AQ588" i="1"/>
  <c r="H101" i="12" l="1"/>
  <c r="D15" i="11"/>
  <c r="M7" i="12"/>
  <c r="D18" i="11" s="1"/>
  <c r="M6" i="12"/>
  <c r="AQ338" i="1"/>
  <c r="AQ347" i="1" s="1"/>
  <c r="AQ346" i="1"/>
  <c r="AQ500" i="1"/>
  <c r="AQ622" i="1"/>
  <c r="AQ60" i="9"/>
  <c r="AQ348" i="1"/>
  <c r="AQ61" i="9" s="1"/>
  <c r="AQ88" i="9" s="1"/>
  <c r="AQ339" i="1"/>
  <c r="AQ595" i="1"/>
  <c r="L17" i="12" l="1"/>
  <c r="D17" i="11"/>
  <c r="AQ516" i="1"/>
  <c r="AQ356" i="1"/>
  <c r="AQ137" i="9"/>
  <c r="AQ98" i="9"/>
  <c r="AQ99" i="9" s="1"/>
  <c r="AQ122" i="9"/>
  <c r="AQ623" i="1"/>
  <c r="L18" i="12" l="1"/>
  <c r="L19" i="12"/>
  <c r="AQ71" i="9"/>
  <c r="AQ371" i="1"/>
  <c r="AQ372" i="1" s="1"/>
  <c r="AQ373" i="1" s="1"/>
  <c r="AQ374" i="1" s="1"/>
  <c r="AQ357" i="1"/>
  <c r="AQ100" i="9"/>
  <c r="AQ101" i="9" s="1"/>
  <c r="AQ625" i="1"/>
  <c r="AQ286" i="1"/>
  <c r="AQ288" i="1" s="1"/>
  <c r="AQ541" i="1"/>
  <c r="AQ102" i="9" l="1"/>
  <c r="AQ110" i="9"/>
  <c r="AQ111" i="9" s="1"/>
  <c r="AQ575" i="1"/>
  <c r="AQ544" i="1"/>
  <c r="AQ123" i="9"/>
  <c r="AQ95" i="9"/>
  <c r="AQ84" i="9"/>
  <c r="AQ73" i="9"/>
  <c r="AQ124" i="9" l="1"/>
  <c r="AQ75" i="9"/>
  <c r="AQ82" i="9" s="1"/>
  <c r="AQ139" i="9" s="1"/>
  <c r="AQ85" i="9"/>
  <c r="AQ87" i="9" s="1"/>
  <c r="AR543" i="1"/>
  <c r="AQ546" i="1"/>
  <c r="AQ583" i="1"/>
  <c r="AQ596" i="1" s="1"/>
  <c r="AQ377" i="1"/>
  <c r="AQ105" i="9" l="1"/>
  <c r="AQ106" i="9" s="1"/>
  <c r="AQ627" i="1"/>
  <c r="AQ93" i="9"/>
  <c r="AQ92" i="9"/>
  <c r="AQ91" i="9"/>
  <c r="AQ7" i="9"/>
  <c r="AQ11" i="9" s="1"/>
  <c r="AQ632" i="1"/>
  <c r="AR386" i="1"/>
  <c r="AQ382" i="1"/>
  <c r="AQ398" i="1" s="1"/>
  <c r="AR325" i="1" l="1"/>
  <c r="AR388" i="1"/>
  <c r="AQ116" i="9"/>
  <c r="AQ117" i="9" s="1"/>
  <c r="AQ107" i="9"/>
  <c r="AR389" i="1" l="1"/>
  <c r="AR391" i="1"/>
  <c r="AR48" i="9"/>
  <c r="AR50" i="9" s="1"/>
  <c r="AR328" i="1"/>
  <c r="AR331" i="1" l="1"/>
  <c r="AR268" i="1"/>
  <c r="AR330" i="1"/>
  <c r="AR332" i="1" l="1"/>
  <c r="AR336" i="1" s="1"/>
  <c r="AR280" i="1"/>
  <c r="AR494" i="1"/>
  <c r="AR51" i="9"/>
  <c r="AR55" i="9" s="1"/>
  <c r="AR484" i="1" l="1"/>
  <c r="AR622" i="1" s="1"/>
  <c r="AR588" i="1"/>
  <c r="AR346" i="1"/>
  <c r="AR338" i="1"/>
  <c r="AR347" i="1" s="1"/>
  <c r="AR138" i="9"/>
  <c r="AR103" i="9"/>
  <c r="AR104" i="9" s="1"/>
  <c r="AR56" i="9"/>
  <c r="AR281" i="1"/>
  <c r="AR500" i="1" l="1"/>
  <c r="AR356" i="1" s="1"/>
  <c r="AR282" i="1"/>
  <c r="AR341" i="1" s="1"/>
  <c r="AR623" i="1"/>
  <c r="AR595" i="1"/>
  <c r="AR516" i="1" l="1"/>
  <c r="AR286" i="1" s="1"/>
  <c r="AR288" i="1" s="1"/>
  <c r="AR71" i="9"/>
  <c r="AR371" i="1"/>
  <c r="AR372" i="1" s="1"/>
  <c r="AR373" i="1" s="1"/>
  <c r="AR374" i="1" s="1"/>
  <c r="AR357" i="1"/>
  <c r="AR100" i="9"/>
  <c r="AR101" i="9" s="1"/>
  <c r="AR625" i="1"/>
  <c r="AR60" i="9"/>
  <c r="AR348" i="1"/>
  <c r="AR61" i="9" s="1"/>
  <c r="AR88" i="9" s="1"/>
  <c r="AR339" i="1"/>
  <c r="AR541" i="1" l="1"/>
  <c r="AR544" i="1" s="1"/>
  <c r="AR110" i="9"/>
  <c r="AR111" i="9" s="1"/>
  <c r="AR137" i="9"/>
  <c r="AR122" i="9"/>
  <c r="AR98" i="9"/>
  <c r="AR99" i="9" s="1"/>
  <c r="AR102" i="9" s="1"/>
  <c r="AR123" i="9"/>
  <c r="AR95" i="9"/>
  <c r="AR84" i="9"/>
  <c r="AR73" i="9"/>
  <c r="AR575" i="1" l="1"/>
  <c r="AR546" i="1" s="1"/>
  <c r="AR124" i="9"/>
  <c r="AR85" i="9"/>
  <c r="AR87" i="9" s="1"/>
  <c r="AR75" i="9"/>
  <c r="AR82" i="9" s="1"/>
  <c r="AR139" i="9" s="1"/>
  <c r="AR583" i="1"/>
  <c r="AR596" i="1" s="1"/>
  <c r="AS543" i="1"/>
  <c r="AR377" i="1" l="1"/>
  <c r="AR93" i="9" s="1"/>
  <c r="AR105" i="9"/>
  <c r="AR106" i="9" s="1"/>
  <c r="AR627" i="1"/>
  <c r="AR7" i="9" l="1"/>
  <c r="AR11" i="9" s="1"/>
  <c r="AR91" i="9"/>
  <c r="AS386" i="1"/>
  <c r="AS388" i="1" s="1"/>
  <c r="AR382" i="1"/>
  <c r="AR398" i="1" s="1"/>
  <c r="AR92" i="9"/>
  <c r="AR632" i="1"/>
  <c r="AR116" i="9"/>
  <c r="AR117" i="9" s="1"/>
  <c r="AR107" i="9"/>
  <c r="AT386" i="1" l="1"/>
  <c r="AS325" i="1"/>
  <c r="AT325" i="1" s="1"/>
  <c r="AS48" i="9"/>
  <c r="AS50" i="9" s="1"/>
  <c r="AS389" i="1"/>
  <c r="AS391" i="1"/>
  <c r="AT388" i="1"/>
  <c r="AS328" i="1" l="1"/>
  <c r="AS330" i="1" s="1"/>
  <c r="AT48" i="9"/>
  <c r="AT50" i="9" s="1"/>
  <c r="AT328" i="1"/>
  <c r="AT389" i="1"/>
  <c r="AT391" i="1"/>
  <c r="AS268" i="1"/>
  <c r="AS331" i="1" l="1"/>
  <c r="AS332" i="1" s="1"/>
  <c r="AS484" i="1" s="1"/>
  <c r="AS280" i="1"/>
  <c r="AT268" i="1"/>
  <c r="AT280" i="1" s="1"/>
  <c r="AS51" i="9"/>
  <c r="AS55" i="9" s="1"/>
  <c r="AT330" i="1"/>
  <c r="AS494" i="1" l="1"/>
  <c r="AS588" i="1" s="1"/>
  <c r="AT331" i="1"/>
  <c r="AT344" i="1" s="1"/>
  <c r="AS336" i="1"/>
  <c r="AS338" i="1" s="1"/>
  <c r="AS347" i="1" s="1"/>
  <c r="AT343" i="1"/>
  <c r="AS103" i="9"/>
  <c r="AS104" i="9" s="1"/>
  <c r="AS56" i="9"/>
  <c r="AT484" i="1"/>
  <c r="AS622" i="1"/>
  <c r="AS281" i="1"/>
  <c r="AT281" i="1" s="1"/>
  <c r="AT284" i="1" s="1"/>
  <c r="AS500" i="1" l="1"/>
  <c r="AS516" i="1" s="1"/>
  <c r="AT494" i="1"/>
  <c r="AT500" i="1" s="1"/>
  <c r="AT516" i="1" s="1"/>
  <c r="AT332" i="1"/>
  <c r="AT645" i="1" s="1"/>
  <c r="AS346" i="1"/>
  <c r="AT51" i="9"/>
  <c r="AT55" i="9" s="1"/>
  <c r="AT103" i="9" s="1"/>
  <c r="AT104" i="9" s="1"/>
  <c r="AS138" i="9"/>
  <c r="AS282" i="1"/>
  <c r="AS341" i="1" s="1"/>
  <c r="AS339" i="1" s="1"/>
  <c r="AT339" i="1" s="1"/>
  <c r="AT341" i="1" s="1"/>
  <c r="AT646" i="1" s="1"/>
  <c r="AT622" i="1"/>
  <c r="AS623" i="1"/>
  <c r="AS356" i="1"/>
  <c r="AT647" i="1"/>
  <c r="AT588" i="1"/>
  <c r="AS595" i="1"/>
  <c r="AT282" i="1"/>
  <c r="AT336" i="1" l="1"/>
  <c r="AT138" i="9"/>
  <c r="AT56" i="9"/>
  <c r="AT356" i="1"/>
  <c r="AT357" i="1" s="1"/>
  <c r="AT403" i="1" s="1"/>
  <c r="AS60" i="9"/>
  <c r="AS122" i="9" s="1"/>
  <c r="AS348" i="1"/>
  <c r="AS61" i="9" s="1"/>
  <c r="AS88" i="9" s="1"/>
  <c r="AS71" i="9"/>
  <c r="AS371" i="1"/>
  <c r="AS372" i="1" s="1"/>
  <c r="AS373" i="1" s="1"/>
  <c r="AS374" i="1" s="1"/>
  <c r="AS357" i="1"/>
  <c r="AT286" i="1"/>
  <c r="AT288" i="1" s="1"/>
  <c r="AT541" i="1"/>
  <c r="AT544" i="1" s="1"/>
  <c r="AS286" i="1"/>
  <c r="AS288" i="1" s="1"/>
  <c r="AS541" i="1"/>
  <c r="AT648" i="1"/>
  <c r="AT595" i="1"/>
  <c r="AT60" i="9"/>
  <c r="AT348" i="1"/>
  <c r="AT346" i="1"/>
  <c r="AT338" i="1"/>
  <c r="AT347" i="1" s="1"/>
  <c r="AT71" i="9"/>
  <c r="AS100" i="9"/>
  <c r="AS101" i="9" s="1"/>
  <c r="AS625" i="1"/>
  <c r="AT623" i="1"/>
  <c r="AT371" i="1" l="1"/>
  <c r="AT404" i="1" s="1"/>
  <c r="AS137" i="9"/>
  <c r="AS98" i="9"/>
  <c r="AS99" i="9" s="1"/>
  <c r="AS102" i="9" s="1"/>
  <c r="AT100" i="9"/>
  <c r="AT101" i="9" s="1"/>
  <c r="AT625" i="1"/>
  <c r="AT61" i="9"/>
  <c r="AT400" i="1"/>
  <c r="AT123" i="9"/>
  <c r="AT95" i="9"/>
  <c r="AT73" i="9"/>
  <c r="AT84" i="9"/>
  <c r="AT130" i="9" s="1"/>
  <c r="AT137" i="9"/>
  <c r="AT122" i="9"/>
  <c r="AT98" i="9"/>
  <c r="AT99" i="9" s="1"/>
  <c r="AS575" i="1"/>
  <c r="AS544" i="1"/>
  <c r="AS110" i="9"/>
  <c r="AS111" i="9" s="1"/>
  <c r="AU543" i="1"/>
  <c r="AS123" i="9"/>
  <c r="AS95" i="9"/>
  <c r="AS84" i="9"/>
  <c r="AS73" i="9"/>
  <c r="AT372" i="1" l="1"/>
  <c r="AT373" i="1" s="1"/>
  <c r="AT374" i="1" s="1"/>
  <c r="AS546" i="1"/>
  <c r="AS124" i="9"/>
  <c r="AS85" i="9"/>
  <c r="AS87" i="9" s="1"/>
  <c r="AS75" i="9"/>
  <c r="AS82" i="9" s="1"/>
  <c r="AS139" i="9" s="1"/>
  <c r="AT575" i="1"/>
  <c r="AS583" i="1"/>
  <c r="AS596" i="1" s="1"/>
  <c r="AS377" i="1"/>
  <c r="AT131" i="9"/>
  <c r="AT124" i="9"/>
  <c r="AT85" i="9"/>
  <c r="AT87" i="9" s="1"/>
  <c r="AT75" i="9"/>
  <c r="AT82" i="9" s="1"/>
  <c r="AT139" i="9" s="1"/>
  <c r="AT88" i="9"/>
  <c r="AT127" i="9"/>
  <c r="AT102" i="9"/>
  <c r="AT110" i="9"/>
  <c r="AT111" i="9" s="1"/>
  <c r="AS93" i="9" l="1"/>
  <c r="AS92" i="9"/>
  <c r="AS91" i="9"/>
  <c r="AS7" i="9"/>
  <c r="AS11" i="9" s="1"/>
  <c r="AS632" i="1"/>
  <c r="AS382" i="1"/>
  <c r="AS398" i="1" s="1"/>
  <c r="AT387" i="1"/>
  <c r="AS105" i="9"/>
  <c r="AS106" i="9" s="1"/>
  <c r="AS627" i="1"/>
  <c r="AT583" i="1"/>
  <c r="AT596" i="1" s="1"/>
  <c r="AT377" i="1"/>
  <c r="AT546" i="1"/>
  <c r="AT93" i="9" l="1"/>
  <c r="AT91" i="9"/>
  <c r="AT92" i="9"/>
  <c r="AT7" i="9"/>
  <c r="AT11" i="9" s="1"/>
  <c r="AT632" i="1"/>
  <c r="AU386" i="1"/>
  <c r="AT382" i="1"/>
  <c r="AT105" i="9"/>
  <c r="AT106" i="9" s="1"/>
  <c r="AT627" i="1"/>
  <c r="AS116" i="9"/>
  <c r="AS117" i="9" s="1"/>
  <c r="AS107" i="9"/>
  <c r="AT116" i="9" l="1"/>
  <c r="AT117" i="9" s="1"/>
  <c r="AT107" i="9"/>
  <c r="AU325" i="1"/>
  <c r="AU388" i="1"/>
  <c r="AT129" i="9"/>
  <c r="AT128" i="9"/>
  <c r="AT132" i="9"/>
  <c r="AT392" i="1"/>
  <c r="AT398" i="1"/>
  <c r="M11" i="12" s="1"/>
  <c r="D22" i="11" s="1"/>
  <c r="AT393" i="1"/>
  <c r="AU48" i="9" l="1"/>
  <c r="AU50" i="9" s="1"/>
  <c r="AU328" i="1"/>
  <c r="AU389" i="1"/>
  <c r="AU391" i="1"/>
  <c r="AT402" i="1"/>
  <c r="AT401" i="1"/>
  <c r="AT405" i="1"/>
  <c r="AU330" i="1" l="1"/>
  <c r="AU331" i="1"/>
  <c r="AU494" i="1" s="1"/>
  <c r="AU588" i="1" s="1"/>
  <c r="AU268" i="1"/>
  <c r="AU280" i="1" s="1"/>
  <c r="AU332" i="1" l="1"/>
  <c r="AU336" i="1" s="1"/>
  <c r="AU51" i="9"/>
  <c r="AU55" i="9" s="1"/>
  <c r="AU103" i="9" s="1"/>
  <c r="AU104" i="9" s="1"/>
  <c r="AU281" i="1"/>
  <c r="AU282" i="1" s="1"/>
  <c r="AU341" i="1" s="1"/>
  <c r="AU595" i="1"/>
  <c r="AU484" i="1" l="1"/>
  <c r="AU622" i="1" s="1"/>
  <c r="AU138" i="9"/>
  <c r="AU56" i="9"/>
  <c r="AU338" i="1"/>
  <c r="AU347" i="1" s="1"/>
  <c r="AU346" i="1"/>
  <c r="AU60" i="9"/>
  <c r="AU348" i="1"/>
  <c r="AU339" i="1"/>
  <c r="AU500" i="1" l="1"/>
  <c r="AU516" i="1" s="1"/>
  <c r="AU623" i="1"/>
  <c r="AU61" i="9"/>
  <c r="AU400" i="1"/>
  <c r="AU137" i="9"/>
  <c r="AU122" i="9"/>
  <c r="AU98" i="9"/>
  <c r="AU99" i="9" s="1"/>
  <c r="AU356" i="1" l="1"/>
  <c r="AU71" i="9" s="1"/>
  <c r="AU286" i="1"/>
  <c r="AU288" i="1" s="1"/>
  <c r="AU541" i="1"/>
  <c r="AU100" i="9"/>
  <c r="AU101" i="9" s="1"/>
  <c r="AU625" i="1"/>
  <c r="AU88" i="9"/>
  <c r="AU127" i="9"/>
  <c r="AU357" i="1" l="1"/>
  <c r="AU403" i="1" s="1"/>
  <c r="AU371" i="1"/>
  <c r="AU404" i="1" s="1"/>
  <c r="AU102" i="9"/>
  <c r="AU110" i="9"/>
  <c r="AU111" i="9" s="1"/>
  <c r="AU544" i="1"/>
  <c r="AU575" i="1"/>
  <c r="AU123" i="9"/>
  <c r="AU95" i="9"/>
  <c r="AU84" i="9"/>
  <c r="AU130" i="9" s="1"/>
  <c r="AU73" i="9"/>
  <c r="AU372" i="1" l="1"/>
  <c r="AU373" i="1" s="1"/>
  <c r="AU374" i="1" s="1"/>
  <c r="AU131" i="9"/>
  <c r="AU124" i="9"/>
  <c r="AU75" i="9"/>
  <c r="AU82" i="9" s="1"/>
  <c r="AU139" i="9" s="1"/>
  <c r="AU85" i="9"/>
  <c r="AU87" i="9" s="1"/>
  <c r="AU583" i="1"/>
  <c r="AU596" i="1" s="1"/>
  <c r="AU377" i="1"/>
  <c r="AV543" i="1"/>
  <c r="AU546" i="1"/>
  <c r="AU105" i="9" l="1"/>
  <c r="AU106" i="9" s="1"/>
  <c r="AU627" i="1"/>
  <c r="AU93" i="9"/>
  <c r="AU92" i="9"/>
  <c r="AU91" i="9"/>
  <c r="AU7" i="9"/>
  <c r="AU11" i="9" s="1"/>
  <c r="AU632" i="1"/>
  <c r="AV386" i="1"/>
  <c r="AU382" i="1"/>
  <c r="AU129" i="9" l="1"/>
  <c r="AU128" i="9"/>
  <c r="AU132" i="9"/>
  <c r="AV325" i="1"/>
  <c r="AV388" i="1"/>
  <c r="AU393" i="1"/>
  <c r="AU398" i="1"/>
  <c r="AU392" i="1"/>
  <c r="AU116" i="9"/>
  <c r="AU117" i="9" s="1"/>
  <c r="AU107" i="9"/>
  <c r="AU402" i="1" l="1"/>
  <c r="AU401" i="1"/>
  <c r="AU405" i="1"/>
  <c r="AV48" i="9"/>
  <c r="AV50" i="9" s="1"/>
  <c r="AV328" i="1"/>
  <c r="AV389" i="1"/>
  <c r="AV391" i="1"/>
  <c r="AV331" i="1" l="1"/>
  <c r="AV494" i="1" s="1"/>
  <c r="AV588" i="1" s="1"/>
  <c r="AV268" i="1"/>
  <c r="AV280" i="1" s="1"/>
  <c r="AV330" i="1"/>
  <c r="AV51" i="9" l="1"/>
  <c r="AV55" i="9" s="1"/>
  <c r="AV103" i="9" s="1"/>
  <c r="AV104" i="9" s="1"/>
  <c r="AV332" i="1"/>
  <c r="AV336" i="1" s="1"/>
  <c r="AV281" i="1"/>
  <c r="AV282" i="1" s="1"/>
  <c r="AV341" i="1" s="1"/>
  <c r="AV595" i="1"/>
  <c r="AV484" i="1" l="1"/>
  <c r="AV622" i="1" s="1"/>
  <c r="AV56" i="9"/>
  <c r="AV60" i="9"/>
  <c r="AV348" i="1"/>
  <c r="AV339" i="1"/>
  <c r="AV346" i="1"/>
  <c r="AV338" i="1"/>
  <c r="AV347" i="1" s="1"/>
  <c r="AV138" i="9"/>
  <c r="AV500" i="1" l="1"/>
  <c r="AV516" i="1" s="1"/>
  <c r="AV61" i="9"/>
  <c r="AV400" i="1"/>
  <c r="AV623" i="1"/>
  <c r="AV137" i="9"/>
  <c r="AV122" i="9"/>
  <c r="AV98" i="9"/>
  <c r="AV99" i="9" s="1"/>
  <c r="AV356" i="1" l="1"/>
  <c r="AV371" i="1" s="1"/>
  <c r="AV88" i="9"/>
  <c r="AV127" i="9"/>
  <c r="AV100" i="9"/>
  <c r="AV101" i="9" s="1"/>
  <c r="AV625" i="1"/>
  <c r="AV286" i="1"/>
  <c r="AV288" i="1" s="1"/>
  <c r="AV541" i="1"/>
  <c r="AV71" i="9" l="1"/>
  <c r="AV95" i="9" s="1"/>
  <c r="AV357" i="1"/>
  <c r="AV403" i="1" s="1"/>
  <c r="AV102" i="9"/>
  <c r="AV110" i="9"/>
  <c r="AV111" i="9" s="1"/>
  <c r="AV404" i="1"/>
  <c r="AV372" i="1"/>
  <c r="AV373" i="1" s="1"/>
  <c r="AV374" i="1" s="1"/>
  <c r="AV575" i="1"/>
  <c r="AV544" i="1"/>
  <c r="AV123" i="9" l="1"/>
  <c r="AV84" i="9"/>
  <c r="AV130" i="9" s="1"/>
  <c r="AV73" i="9"/>
  <c r="AV131" i="9" s="1"/>
  <c r="AW543" i="1"/>
  <c r="AV546" i="1"/>
  <c r="AV583" i="1"/>
  <c r="AV596" i="1" s="1"/>
  <c r="AV377" i="1"/>
  <c r="AV75" i="9" l="1"/>
  <c r="AV82" i="9" s="1"/>
  <c r="AV139" i="9" s="1"/>
  <c r="AV124" i="9"/>
  <c r="AV85" i="9"/>
  <c r="AV87" i="9" s="1"/>
  <c r="AV93" i="9"/>
  <c r="AV92" i="9"/>
  <c r="AV91" i="9"/>
  <c r="AV7" i="9"/>
  <c r="AV11" i="9" s="1"/>
  <c r="AV632" i="1"/>
  <c r="AW386" i="1"/>
  <c r="AV382" i="1"/>
  <c r="AV105" i="9"/>
  <c r="AV106" i="9" s="1"/>
  <c r="AV627" i="1"/>
  <c r="AV398" i="1" l="1"/>
  <c r="AV392" i="1"/>
  <c r="AV393" i="1"/>
  <c r="AW325" i="1"/>
  <c r="AW388" i="1"/>
  <c r="AV129" i="9"/>
  <c r="AV128" i="9"/>
  <c r="AV132" i="9"/>
  <c r="AV116" i="9"/>
  <c r="AV117" i="9" s="1"/>
  <c r="AV107" i="9"/>
  <c r="AW48" i="9" l="1"/>
  <c r="AW50" i="9" s="1"/>
  <c r="AW328" i="1"/>
  <c r="AW389" i="1"/>
  <c r="AW391" i="1"/>
  <c r="AV402" i="1"/>
  <c r="AV401" i="1"/>
  <c r="AV405" i="1"/>
  <c r="AW330" i="1" l="1"/>
  <c r="AW331" i="1"/>
  <c r="AW494" i="1" s="1"/>
  <c r="AW588" i="1" s="1"/>
  <c r="AW595" i="1" s="1"/>
  <c r="AW268" i="1"/>
  <c r="AW280" i="1" s="1"/>
  <c r="AW51" i="9" l="1"/>
  <c r="AW55" i="9" s="1"/>
  <c r="AW56" i="9" s="1"/>
  <c r="AW281" i="1"/>
  <c r="AW282" i="1" s="1"/>
  <c r="AW341" i="1" s="1"/>
  <c r="AW332" i="1"/>
  <c r="AW103" i="9" l="1"/>
  <c r="AW104" i="9" s="1"/>
  <c r="AW60" i="9"/>
  <c r="AW348" i="1"/>
  <c r="AW339" i="1"/>
  <c r="AW484" i="1"/>
  <c r="AW336" i="1"/>
  <c r="AW346" i="1" l="1"/>
  <c r="AW338" i="1"/>
  <c r="AW347" i="1" s="1"/>
  <c r="AW138" i="9"/>
  <c r="AW500" i="1"/>
  <c r="AW622" i="1"/>
  <c r="AW623" i="1" s="1"/>
  <c r="AW61" i="9"/>
  <c r="AW400" i="1"/>
  <c r="AW122" i="9"/>
  <c r="AW137" i="9"/>
  <c r="AW98" i="9"/>
  <c r="AW99" i="9" s="1"/>
  <c r="AW516" i="1" l="1"/>
  <c r="AW356" i="1"/>
  <c r="AW88" i="9"/>
  <c r="AW127" i="9"/>
  <c r="AW100" i="9"/>
  <c r="AW101" i="9" s="1"/>
  <c r="AW625" i="1"/>
  <c r="AW71" i="9" l="1"/>
  <c r="AW371" i="1"/>
  <c r="AW357" i="1"/>
  <c r="AW403" i="1" s="1"/>
  <c r="AW102" i="9"/>
  <c r="AW110" i="9"/>
  <c r="AW111" i="9" s="1"/>
  <c r="AW286" i="1"/>
  <c r="AW288" i="1" s="1"/>
  <c r="AW541" i="1"/>
  <c r="AW404" i="1" l="1"/>
  <c r="AW372" i="1"/>
  <c r="AW373" i="1" s="1"/>
  <c r="AW374" i="1" s="1"/>
  <c r="AW575" i="1"/>
  <c r="AW544" i="1"/>
  <c r="AW95" i="9"/>
  <c r="AW84" i="9"/>
  <c r="AW130" i="9" s="1"/>
  <c r="AW123" i="9"/>
  <c r="AW73" i="9"/>
  <c r="AW546" i="1" l="1"/>
  <c r="AW583" i="1"/>
  <c r="AW596" i="1" s="1"/>
  <c r="AW377" i="1"/>
  <c r="AW131" i="9"/>
  <c r="AW124" i="9"/>
  <c r="AW85" i="9"/>
  <c r="AW87" i="9" s="1"/>
  <c r="AW75" i="9"/>
  <c r="AW82" i="9" s="1"/>
  <c r="AW139" i="9" s="1"/>
  <c r="AW93" i="9" l="1"/>
  <c r="AW92" i="9"/>
  <c r="AW91" i="9"/>
  <c r="AW7" i="9"/>
  <c r="AW11" i="9" s="1"/>
  <c r="AW632" i="1"/>
  <c r="AW382" i="1"/>
  <c r="AW105" i="9"/>
  <c r="AW106" i="9" s="1"/>
  <c r="AW627" i="1"/>
  <c r="AW129" i="9" l="1"/>
  <c r="AW128" i="9"/>
  <c r="AW132" i="9"/>
  <c r="AW116" i="9"/>
  <c r="AW117" i="9" s="1"/>
  <c r="AW107" i="9"/>
  <c r="AW393" i="1"/>
  <c r="AW398" i="1"/>
  <c r="AW392" i="1"/>
  <c r="AW402" i="1" l="1"/>
  <c r="AW401" i="1"/>
  <c r="AW40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Canalyst (JoR)</author>
    <author>Canalyst (AH)</author>
    <author>Canalyst (SC)</author>
    <author>Canalyst (AsM)</author>
    <author>Canalyst (JW)</author>
  </authors>
  <commentList>
    <comment ref="AA2" authorId="0" shapeId="0" xr:uid="{BDF07623-9D4F-49D8-9E96-09443E8EDA1D}">
      <text>
        <r>
          <rPr>
            <b/>
            <sz val="9"/>
            <rFont val="Tahoma"/>
            <family val="2"/>
          </rPr>
          <t>Canalyst (JoR):</t>
        </r>
        <r>
          <rPr>
            <sz val="9"/>
            <rFont val="Tahoma"/>
            <family val="2"/>
          </rPr>
          <t xml:space="preserve">
The Company adopted ASC 606 April 1, 2018 changing its standards for revenue recognition</t>
        </r>
      </text>
    </comment>
    <comment ref="AB2" authorId="0" shapeId="0" xr:uid="{97AFBBF8-0C31-45D5-B90E-E7882AD80016}">
      <text>
        <r>
          <rPr>
            <b/>
            <sz val="9"/>
            <rFont val="Tahoma"/>
            <family val="2"/>
          </rPr>
          <t>Canalyst (JoR):</t>
        </r>
        <r>
          <rPr>
            <sz val="9"/>
            <rFont val="Tahoma"/>
            <family val="2"/>
          </rPr>
          <t xml:space="preserve">
The Company adopted ASC 606 April 1, 2018 changing revenue recognition</t>
        </r>
      </text>
    </comment>
    <comment ref="AC2" authorId="0" shapeId="0" xr:uid="{26FE63A5-E1A1-4FE5-8110-49580D734975}">
      <text>
        <r>
          <rPr>
            <b/>
            <sz val="9"/>
            <rFont val="Tahoma"/>
            <family val="2"/>
          </rPr>
          <t>Canalyst (JoR):</t>
        </r>
        <r>
          <rPr>
            <sz val="9"/>
            <rFont val="Tahoma"/>
            <family val="2"/>
          </rPr>
          <t xml:space="preserve">
The Company adopted ASC 606 April 1, 2018 changing revenue recognition</t>
        </r>
      </text>
    </comment>
    <comment ref="AD2" authorId="0" shapeId="0" xr:uid="{6EF4D811-B684-47C8-A2BB-842475FD1AF9}">
      <text>
        <r>
          <rPr>
            <b/>
            <sz val="9"/>
            <rFont val="Tahoma"/>
            <family val="2"/>
          </rPr>
          <t>Canalyst (JoR):</t>
        </r>
        <r>
          <rPr>
            <sz val="9"/>
            <rFont val="Tahoma"/>
            <family val="2"/>
          </rPr>
          <t xml:space="preserve">
The Company adopted ASC 606 April 1, 2018 changing revenue recognition</t>
        </r>
      </text>
    </comment>
    <comment ref="AE2" authorId="0" shapeId="0" xr:uid="{D29E45C5-F037-4FB6-9947-B6211801E58A}">
      <text>
        <r>
          <rPr>
            <b/>
            <sz val="9"/>
            <rFont val="Tahoma"/>
            <family val="2"/>
          </rPr>
          <t>Canalyst (JoR):</t>
        </r>
        <r>
          <rPr>
            <sz val="9"/>
            <rFont val="Tahoma"/>
            <family val="2"/>
          </rPr>
          <t xml:space="preserve">
The Company adopted ASC 606 April 1, 2018 changing revenue recognition</t>
        </r>
      </text>
    </comment>
    <comment ref="C28" authorId="1" shapeId="0" xr:uid="{CDA63DBF-7B4D-4A1D-A9EF-DE4CD9EBDE42}">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D28" authorId="1" shapeId="0" xr:uid="{09C9AA79-A775-43BF-9677-6283F5169750}">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E28" authorId="1" shapeId="0" xr:uid="{4E18D6F3-7DED-453C-A8BD-6B0B9EFEBC20}">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F28" authorId="1" shapeId="0" xr:uid="{BAA55F90-6F80-4437-82CE-4220F3F3375A}">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G28" authorId="1" shapeId="0" xr:uid="{568DAF13-C506-4B5C-929E-ACD547C352D5}">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H28" authorId="1" shapeId="0" xr:uid="{C6184BF4-E15F-4749-85A0-D60FB11FB8B0}">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I28" authorId="1" shapeId="0" xr:uid="{DA9203FA-C7B4-4130-8943-FB4316D04642}">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J28" authorId="1" shapeId="0" xr:uid="{2935F288-9F49-4A3C-A1E8-4920F5B3E96A}">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K28" authorId="1" shapeId="0" xr:uid="{88E54111-10A5-4525-8859-920FFEEFA131}">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L28" authorId="1" shapeId="0" xr:uid="{5E6A92F9-DD53-493E-B04F-B833E0748DBF}">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M28" authorId="1" shapeId="0" xr:uid="{835FDD1E-BA74-4AA1-AC7C-85EBDD10FC94}">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N28" authorId="1" shapeId="0" xr:uid="{4A49F4A1-DE7D-4DF9-A813-1E4D2ED402C1}">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O28" authorId="1" shapeId="0" xr:uid="{FA638B0C-6D46-4B7C-9B7C-2814FA2A7671}">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P28" authorId="1" shapeId="0" xr:uid="{9DF9BF5E-C39E-48F7-A600-E61A3F64D3B5}">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Q28" authorId="1" shapeId="0" xr:uid="{22C3EC0B-3A94-4769-BF4C-804537BF3FDC}">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R28" authorId="1" shapeId="0" xr:uid="{92303C33-E919-488B-A140-C49694722201}">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S28" authorId="1" shapeId="0" xr:uid="{5892DA6E-6C52-49EA-998D-2F50572350F1}">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T28" authorId="1" shapeId="0" xr:uid="{A71F215F-CD92-4D4F-A9B9-37FE69F81EA8}">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U28" authorId="1" shapeId="0" xr:uid="{EA69F7DE-CB4E-4348-84AC-58BA551A4DE8}">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V28" authorId="1" shapeId="0" xr:uid="{1F9F173B-5532-4DA2-B3C0-EAF8CAFB645B}">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W28" authorId="1" shapeId="0" xr:uid="{9DF05408-9868-494E-8634-A8FBC804FF6F}">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X28" authorId="1" shapeId="0" xr:uid="{2F5DE22B-8D30-4F37-9B1A-CF28E84926B7}">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Y28" authorId="1" shapeId="0" xr:uid="{BF38841C-5167-45FC-8C0B-2920B44F7A9F}">
      <text>
        <r>
          <rPr>
            <b/>
            <sz val="9"/>
            <rFont val="Tahoma"/>
            <family val="2"/>
            <charset val="1"/>
          </rPr>
          <t>Canalyst (AH):</t>
        </r>
        <r>
          <rPr>
            <sz val="9"/>
            <rFont val="Tahoma"/>
            <family val="2"/>
            <charset val="1"/>
          </rPr>
          <t xml:space="preserve">
The Company reported that Recurring Revenue included Software Related Subscription Services, Support and Maintenance, RCM and Related Services, and EDI and Data Services</t>
        </r>
      </text>
    </comment>
    <comment ref="A118" authorId="1" shapeId="0" xr:uid="{E5159A92-9A6E-4571-AFDB-E1660628DFB5}">
      <text>
        <r>
          <rPr>
            <b/>
            <sz val="9"/>
            <rFont val="Tahoma"/>
            <family val="2"/>
          </rPr>
          <t>Canalyst (AH):</t>
        </r>
        <r>
          <rPr>
            <sz val="9"/>
            <rFont val="Tahoma"/>
            <family val="2"/>
          </rPr>
          <t xml:space="preserve">
Originally known as Practice Solutions Division</t>
        </r>
      </text>
    </comment>
    <comment ref="A120" authorId="1" shapeId="0" xr:uid="{B7A6CCBD-B5B7-4319-860F-FC6315F5106E}">
      <text>
        <r>
          <rPr>
            <b/>
            <sz val="9"/>
            <rFont val="Tahoma"/>
            <family val="2"/>
          </rPr>
          <t>Canalyst (AH):</t>
        </r>
        <r>
          <rPr>
            <sz val="9"/>
            <rFont val="Tahoma"/>
            <family val="2"/>
          </rPr>
          <t xml:space="preserve">
Originally known as Inpatient Solutions Division</t>
        </r>
      </text>
    </comment>
    <comment ref="A123" authorId="1" shapeId="0" xr:uid="{DCA9D7F9-9230-4214-A2B3-856CBDDBED5C}">
      <text>
        <r>
          <rPr>
            <b/>
            <sz val="9"/>
            <rFont val="Tahoma"/>
            <family val="2"/>
          </rPr>
          <t>Canalyst (AH):</t>
        </r>
        <r>
          <rPr>
            <sz val="9"/>
            <rFont val="Tahoma"/>
            <family val="2"/>
          </rPr>
          <t xml:space="preserve">
Originally known as Practice Solutions Division</t>
        </r>
      </text>
    </comment>
    <comment ref="A125" authorId="1" shapeId="0" xr:uid="{B6A7A9B7-D310-497D-B222-B42A11773EFF}">
      <text>
        <r>
          <rPr>
            <b/>
            <sz val="9"/>
            <rFont val="Tahoma"/>
            <family val="2"/>
          </rPr>
          <t>Canalyst (AH):</t>
        </r>
        <r>
          <rPr>
            <sz val="9"/>
            <rFont val="Tahoma"/>
            <family val="2"/>
          </rPr>
          <t xml:space="preserve">
Originally known as Inpatient Solutions Division</t>
        </r>
      </text>
    </comment>
    <comment ref="A128" authorId="1" shapeId="0" xr:uid="{C5364A6A-8C56-48CC-8098-EECC060329DE}">
      <text>
        <r>
          <rPr>
            <b/>
            <sz val="9"/>
            <rFont val="Tahoma"/>
            <family val="2"/>
          </rPr>
          <t>Canalyst (AH):</t>
        </r>
        <r>
          <rPr>
            <sz val="9"/>
            <rFont val="Tahoma"/>
            <family val="2"/>
          </rPr>
          <t xml:space="preserve">
Originally known as Practice Solutions Division</t>
        </r>
      </text>
    </comment>
    <comment ref="A130" authorId="1" shapeId="0" xr:uid="{E8BA3257-0490-4169-A659-9BADB95A7A19}">
      <text>
        <r>
          <rPr>
            <b/>
            <sz val="9"/>
            <rFont val="Tahoma"/>
            <family val="2"/>
          </rPr>
          <t>Canalyst (AH):</t>
        </r>
        <r>
          <rPr>
            <sz val="9"/>
            <rFont val="Tahoma"/>
            <family val="2"/>
          </rPr>
          <t xml:space="preserve">
Originally known as Inpatient Solutions Division</t>
        </r>
      </text>
    </comment>
    <comment ref="A133" authorId="1" shapeId="0" xr:uid="{D4DD7447-7489-459D-9257-169043C7CF3D}">
      <text>
        <r>
          <rPr>
            <b/>
            <sz val="9"/>
            <rFont val="Tahoma"/>
            <family val="2"/>
          </rPr>
          <t>Canalyst (AH):</t>
        </r>
        <r>
          <rPr>
            <sz val="9"/>
            <rFont val="Tahoma"/>
            <family val="2"/>
          </rPr>
          <t xml:space="preserve">
Originally known as Practice Solutions Division</t>
        </r>
      </text>
    </comment>
    <comment ref="A135" authorId="1" shapeId="0" xr:uid="{BAC2595A-F787-4BA3-B10F-17292D79B1EC}">
      <text>
        <r>
          <rPr>
            <b/>
            <sz val="9"/>
            <rFont val="Tahoma"/>
            <family val="2"/>
          </rPr>
          <t>Canalyst (AH):</t>
        </r>
        <r>
          <rPr>
            <sz val="9"/>
            <rFont val="Tahoma"/>
            <family val="2"/>
          </rPr>
          <t xml:space="preserve">
Originally known as Inpatient Solutions Division</t>
        </r>
      </text>
    </comment>
    <comment ref="A139" authorId="1" shapeId="0" xr:uid="{6C295F4B-46B2-4937-A689-D5DE07A4252D}">
      <text>
        <r>
          <rPr>
            <b/>
            <sz val="9"/>
            <rFont val="Tahoma"/>
            <family val="2"/>
          </rPr>
          <t>Canalyst (AH):</t>
        </r>
        <r>
          <rPr>
            <sz val="9"/>
            <rFont val="Tahoma"/>
            <family val="2"/>
          </rPr>
          <t xml:space="preserve">
Originally known as Practice Solutions Division</t>
        </r>
      </text>
    </comment>
    <comment ref="A141" authorId="1" shapeId="0" xr:uid="{DB2CAC40-9F79-40F4-B25D-7D5ACEB6F4EA}">
      <text>
        <r>
          <rPr>
            <b/>
            <sz val="9"/>
            <rFont val="Tahoma"/>
            <family val="2"/>
          </rPr>
          <t>Canalyst (AH):</t>
        </r>
        <r>
          <rPr>
            <sz val="9"/>
            <rFont val="Tahoma"/>
            <family val="2"/>
          </rPr>
          <t xml:space="preserve">
Originally known as Inpatient Solutions Division</t>
        </r>
      </text>
    </comment>
    <comment ref="A144" authorId="1" shapeId="0" xr:uid="{54BE0233-68C5-438B-B8CF-FDF2AADB3AB4}">
      <text>
        <r>
          <rPr>
            <b/>
            <sz val="9"/>
            <rFont val="Tahoma"/>
            <family val="2"/>
          </rPr>
          <t>Canalyst (AH):</t>
        </r>
        <r>
          <rPr>
            <sz val="9"/>
            <rFont val="Tahoma"/>
            <family val="2"/>
          </rPr>
          <t xml:space="preserve">
Originally known as Practice Solutions Division</t>
        </r>
      </text>
    </comment>
    <comment ref="A146" authorId="1" shapeId="0" xr:uid="{3E413C25-6DBD-4D6B-8A7A-F139D79BAF79}">
      <text>
        <r>
          <rPr>
            <b/>
            <sz val="9"/>
            <rFont val="Tahoma"/>
            <family val="2"/>
          </rPr>
          <t>Canalyst (AH):</t>
        </r>
        <r>
          <rPr>
            <sz val="9"/>
            <rFont val="Tahoma"/>
            <family val="2"/>
          </rPr>
          <t xml:space="preserve">
Originally known as Inpatient Solutions Division</t>
        </r>
      </text>
    </comment>
    <comment ref="A149" authorId="1" shapeId="0" xr:uid="{159F131B-BBBA-486C-A1A0-0DDA029D0A1D}">
      <text>
        <r>
          <rPr>
            <b/>
            <sz val="9"/>
            <rFont val="Tahoma"/>
            <family val="2"/>
          </rPr>
          <t>Canalyst (AH):</t>
        </r>
        <r>
          <rPr>
            <sz val="9"/>
            <rFont val="Tahoma"/>
            <family val="2"/>
          </rPr>
          <t xml:space="preserve">
Originally known as Practice Solutions Division</t>
        </r>
      </text>
    </comment>
    <comment ref="A151" authorId="1" shapeId="0" xr:uid="{A46811A9-497D-4B40-A7AD-4B1BC6C368E3}">
      <text>
        <r>
          <rPr>
            <b/>
            <sz val="9"/>
            <rFont val="Tahoma"/>
            <family val="2"/>
          </rPr>
          <t>Canalyst (AH):</t>
        </r>
        <r>
          <rPr>
            <sz val="9"/>
            <rFont val="Tahoma"/>
            <family val="2"/>
          </rPr>
          <t xml:space="preserve">
Originally known as Inpatient Solutions Division</t>
        </r>
      </text>
    </comment>
    <comment ref="A154" authorId="1" shapeId="0" xr:uid="{57736ADE-FD13-4172-B82E-EC7E1856D1A7}">
      <text>
        <r>
          <rPr>
            <b/>
            <sz val="9"/>
            <rFont val="Tahoma"/>
            <family val="2"/>
          </rPr>
          <t>Canalyst (AH):</t>
        </r>
        <r>
          <rPr>
            <sz val="9"/>
            <rFont val="Tahoma"/>
            <family val="2"/>
          </rPr>
          <t xml:space="preserve">
Originally known as Practice Solutions Division</t>
        </r>
      </text>
    </comment>
    <comment ref="A156" authorId="1" shapeId="0" xr:uid="{FCC09648-A7A5-4B1A-A16B-92469B5D8117}">
      <text>
        <r>
          <rPr>
            <b/>
            <sz val="9"/>
            <rFont val="Tahoma"/>
            <family val="2"/>
          </rPr>
          <t>Canalyst (AH):</t>
        </r>
        <r>
          <rPr>
            <sz val="9"/>
            <rFont val="Tahoma"/>
            <family val="2"/>
          </rPr>
          <t xml:space="preserve">
Originally known as Inpatient Solutions Division</t>
        </r>
      </text>
    </comment>
    <comment ref="A159" authorId="1" shapeId="0" xr:uid="{2DB1899B-3B35-428D-8661-E01B1BECED68}">
      <text>
        <r>
          <rPr>
            <b/>
            <sz val="9"/>
            <rFont val="Tahoma"/>
            <family val="2"/>
          </rPr>
          <t>Canalyst (AH):</t>
        </r>
        <r>
          <rPr>
            <sz val="9"/>
            <rFont val="Tahoma"/>
            <family val="2"/>
          </rPr>
          <t xml:space="preserve">
Originally known as Practice Solutions Division</t>
        </r>
      </text>
    </comment>
    <comment ref="A161" authorId="1" shapeId="0" xr:uid="{037EDB3B-5666-4C7D-8D3E-29515FD91246}">
      <text>
        <r>
          <rPr>
            <b/>
            <sz val="9"/>
            <rFont val="Tahoma"/>
            <family val="2"/>
          </rPr>
          <t>Canalyst (AH):</t>
        </r>
        <r>
          <rPr>
            <sz val="9"/>
            <rFont val="Tahoma"/>
            <family val="2"/>
          </rPr>
          <t xml:space="preserve">
Originally known as Inpatient Solutions Division</t>
        </r>
      </text>
    </comment>
    <comment ref="A165" authorId="1" shapeId="0" xr:uid="{FE7DAE9C-4183-44B6-BEFF-3B6F1B4D44DE}">
      <text>
        <r>
          <rPr>
            <b/>
            <sz val="9"/>
            <rFont val="Tahoma"/>
            <family val="2"/>
          </rPr>
          <t>Canalyst (AH):</t>
        </r>
        <r>
          <rPr>
            <sz val="9"/>
            <rFont val="Tahoma"/>
            <family val="2"/>
          </rPr>
          <t xml:space="preserve">
Originally known as Practice Solutions Division</t>
        </r>
      </text>
    </comment>
    <comment ref="A167" authorId="1" shapeId="0" xr:uid="{1D3E6917-B95A-49FA-B694-603BB0B88274}">
      <text>
        <r>
          <rPr>
            <b/>
            <sz val="9"/>
            <rFont val="Tahoma"/>
            <family val="2"/>
          </rPr>
          <t>Canalyst (AH):</t>
        </r>
        <r>
          <rPr>
            <sz val="9"/>
            <rFont val="Tahoma"/>
            <family val="2"/>
          </rPr>
          <t xml:space="preserve">
Originally known as Inpatient Solutions Division</t>
        </r>
      </text>
    </comment>
    <comment ref="A176" authorId="1" shapeId="0" xr:uid="{A2E669C0-2BD5-4C2F-815E-75BEAC0D3D56}">
      <text>
        <r>
          <rPr>
            <b/>
            <sz val="9"/>
            <rFont val="Tahoma"/>
            <family val="2"/>
          </rPr>
          <t>Canalyst (AH):</t>
        </r>
        <r>
          <rPr>
            <sz val="9"/>
            <rFont val="Tahoma"/>
            <family val="2"/>
          </rPr>
          <t xml:space="preserve">
Originally known as Practice Solutions Division</t>
        </r>
      </text>
    </comment>
    <comment ref="A178" authorId="1" shapeId="0" xr:uid="{12A5AC1D-015B-4500-A155-6B684446C59A}">
      <text>
        <r>
          <rPr>
            <b/>
            <sz val="9"/>
            <rFont val="Tahoma"/>
            <family val="2"/>
          </rPr>
          <t>Canalyst (AH):</t>
        </r>
        <r>
          <rPr>
            <sz val="9"/>
            <rFont val="Tahoma"/>
            <family val="2"/>
          </rPr>
          <t xml:space="preserve">
Originally known as Inpatient Solutions Division</t>
        </r>
      </text>
    </comment>
    <comment ref="T180" authorId="1" shapeId="0" xr:uid="{9E54F793-7725-4AE9-BD94-36C78D0498B7}">
      <text>
        <r>
          <rPr>
            <b/>
            <sz val="9"/>
            <rFont val="Tahoma"/>
            <family val="2"/>
          </rPr>
          <t>Canalyst (AH):</t>
        </r>
        <r>
          <rPr>
            <sz val="9"/>
            <rFont val="Tahoma"/>
            <family val="2"/>
          </rPr>
          <t xml:space="preserve">
Company did not report</t>
        </r>
      </text>
    </comment>
    <comment ref="U180" authorId="1" shapeId="0" xr:uid="{016244C7-F6B1-4D2D-946F-6E338DFC96EB}">
      <text>
        <r>
          <rPr>
            <b/>
            <sz val="9"/>
            <rFont val="Tahoma"/>
            <family val="2"/>
          </rPr>
          <t>Canalyst (AH):</t>
        </r>
        <r>
          <rPr>
            <sz val="9"/>
            <rFont val="Tahoma"/>
            <family val="2"/>
          </rPr>
          <t xml:space="preserve">
Company did not report</t>
        </r>
      </text>
    </comment>
    <comment ref="A183" authorId="1" shapeId="0" xr:uid="{38C61BE3-1459-46C5-851B-92C95DD9C1B9}">
      <text>
        <r>
          <rPr>
            <b/>
            <sz val="9"/>
            <rFont val="Tahoma"/>
            <family val="2"/>
          </rPr>
          <t>Canalyst (AH):</t>
        </r>
        <r>
          <rPr>
            <sz val="9"/>
            <rFont val="Tahoma"/>
            <family val="2"/>
          </rPr>
          <t xml:space="preserve">
Originally known as Practice Solutions Division</t>
        </r>
      </text>
    </comment>
    <comment ref="A185" authorId="1" shapeId="0" xr:uid="{94BA159C-BAA8-42BE-955D-550BB07C578C}">
      <text>
        <r>
          <rPr>
            <b/>
            <sz val="9"/>
            <rFont val="Tahoma"/>
            <family val="2"/>
          </rPr>
          <t>Canalyst (AH):</t>
        </r>
        <r>
          <rPr>
            <sz val="9"/>
            <rFont val="Tahoma"/>
            <family val="2"/>
          </rPr>
          <t xml:space="preserve">
Originally known as Inpatient Solutions Division</t>
        </r>
      </text>
    </comment>
    <comment ref="A195" authorId="1" shapeId="0" xr:uid="{B4DE507B-F396-4181-8F99-A8B2819AFB09}">
      <text>
        <r>
          <rPr>
            <b/>
            <sz val="9"/>
            <rFont val="Tahoma"/>
            <family val="2"/>
          </rPr>
          <t>Canalyst (AH):</t>
        </r>
        <r>
          <rPr>
            <sz val="9"/>
            <rFont val="Tahoma"/>
            <family val="2"/>
          </rPr>
          <t xml:space="preserve">
Originally known as Practice Solutions Division</t>
        </r>
      </text>
    </comment>
    <comment ref="A197" authorId="1" shapeId="0" xr:uid="{F4D3EAB3-1748-4F3C-9795-5E70DF2EA8AB}">
      <text>
        <r>
          <rPr>
            <b/>
            <sz val="9"/>
            <rFont val="Tahoma"/>
            <family val="2"/>
          </rPr>
          <t>Canalyst (AH):</t>
        </r>
        <r>
          <rPr>
            <sz val="9"/>
            <rFont val="Tahoma"/>
            <family val="2"/>
          </rPr>
          <t xml:space="preserve">
Originally known as Inpatient Solutions Division</t>
        </r>
      </text>
    </comment>
    <comment ref="C258" authorId="1" shapeId="0" xr:uid="{9ECB9140-4207-4B55-BBD7-118879884D6F}">
      <text>
        <r>
          <rPr>
            <b/>
            <sz val="9"/>
            <rFont val="Tahoma"/>
            <family val="2"/>
            <charset val="1"/>
          </rPr>
          <t>Canalyst (AH):</t>
        </r>
        <r>
          <rPr>
            <sz val="9"/>
            <rFont val="Tahoma"/>
            <family val="2"/>
            <charset val="1"/>
          </rPr>
          <t xml:space="preserve">
Interest Income, net</t>
        </r>
      </text>
    </comment>
    <comment ref="D258" authorId="1" shapeId="0" xr:uid="{9DD5581B-0FB5-43A4-A8F8-2D62245D0C37}">
      <text>
        <r>
          <rPr>
            <b/>
            <sz val="9"/>
            <rFont val="Tahoma"/>
            <family val="2"/>
            <charset val="1"/>
          </rPr>
          <t>Canalyst (AH):</t>
        </r>
        <r>
          <rPr>
            <sz val="9"/>
            <rFont val="Tahoma"/>
            <family val="2"/>
            <charset val="1"/>
          </rPr>
          <t xml:space="preserve">
Interest Income, net</t>
        </r>
      </text>
    </comment>
    <comment ref="E258" authorId="1" shapeId="0" xr:uid="{61B1502E-2E2B-4CC5-B9B7-1E21D495AE38}">
      <text>
        <r>
          <rPr>
            <b/>
            <sz val="9"/>
            <rFont val="Tahoma"/>
            <family val="2"/>
            <charset val="1"/>
          </rPr>
          <t>Canalyst (AH):</t>
        </r>
        <r>
          <rPr>
            <sz val="9"/>
            <rFont val="Tahoma"/>
            <family val="2"/>
            <charset val="1"/>
          </rPr>
          <t xml:space="preserve">
Interest Income, net</t>
        </r>
      </text>
    </comment>
    <comment ref="F258" authorId="1" shapeId="0" xr:uid="{E5A47A80-F8C0-469F-B31A-5A31193F524A}">
      <text>
        <r>
          <rPr>
            <b/>
            <sz val="9"/>
            <rFont val="Tahoma"/>
            <family val="2"/>
            <charset val="1"/>
          </rPr>
          <t>Canalyst (AH):</t>
        </r>
        <r>
          <rPr>
            <sz val="9"/>
            <rFont val="Tahoma"/>
            <family val="2"/>
            <charset val="1"/>
          </rPr>
          <t xml:space="preserve">
Interest Income, net</t>
        </r>
      </text>
    </comment>
    <comment ref="G258" authorId="1" shapeId="0" xr:uid="{79D59E6E-50DF-4FFD-85CC-1B236A385EAE}">
      <text>
        <r>
          <rPr>
            <b/>
            <sz val="9"/>
            <rFont val="Tahoma"/>
            <family val="2"/>
            <charset val="1"/>
          </rPr>
          <t>Canalyst (AH):</t>
        </r>
        <r>
          <rPr>
            <sz val="9"/>
            <rFont val="Tahoma"/>
            <family val="2"/>
            <charset val="1"/>
          </rPr>
          <t xml:space="preserve">
Interest Income, net</t>
        </r>
      </text>
    </comment>
    <comment ref="H258" authorId="1" shapeId="0" xr:uid="{7F97067D-368A-4E26-B462-48FD6306B5F9}">
      <text>
        <r>
          <rPr>
            <b/>
            <sz val="9"/>
            <rFont val="Tahoma"/>
            <family val="2"/>
            <charset val="1"/>
          </rPr>
          <t>Canalyst (AH):</t>
        </r>
        <r>
          <rPr>
            <sz val="9"/>
            <rFont val="Tahoma"/>
            <family val="2"/>
            <charset val="1"/>
          </rPr>
          <t xml:space="preserve">
Interest Income, net</t>
        </r>
      </text>
    </comment>
    <comment ref="I258" authorId="1" shapeId="0" xr:uid="{1E60BD2B-0886-4864-8B76-C39958D226C4}">
      <text>
        <r>
          <rPr>
            <b/>
            <sz val="9"/>
            <rFont val="Tahoma"/>
            <family val="2"/>
            <charset val="1"/>
          </rPr>
          <t>Canalyst (AH):</t>
        </r>
        <r>
          <rPr>
            <sz val="9"/>
            <rFont val="Tahoma"/>
            <family val="2"/>
            <charset val="1"/>
          </rPr>
          <t xml:space="preserve">
Interest Income, net</t>
        </r>
      </text>
    </comment>
    <comment ref="J258" authorId="1" shapeId="0" xr:uid="{2450DC0A-55A8-4518-9876-9C98AE61B26B}">
      <text>
        <r>
          <rPr>
            <b/>
            <sz val="9"/>
            <rFont val="Tahoma"/>
            <family val="2"/>
            <charset val="1"/>
          </rPr>
          <t>Canalyst (AH):</t>
        </r>
        <r>
          <rPr>
            <sz val="9"/>
            <rFont val="Tahoma"/>
            <family val="2"/>
            <charset val="1"/>
          </rPr>
          <t xml:space="preserve">
Interest Income, net</t>
        </r>
      </text>
    </comment>
    <comment ref="K258" authorId="1" shapeId="0" xr:uid="{34A3F1C0-6B61-435A-B3CA-B78756FA7260}">
      <text>
        <r>
          <rPr>
            <b/>
            <sz val="9"/>
            <rFont val="Tahoma"/>
            <family val="2"/>
            <charset val="1"/>
          </rPr>
          <t>Canalyst (AH):</t>
        </r>
        <r>
          <rPr>
            <sz val="9"/>
            <rFont val="Tahoma"/>
            <family val="2"/>
            <charset val="1"/>
          </rPr>
          <t xml:space="preserve">
Interest Income, net</t>
        </r>
      </text>
    </comment>
    <comment ref="L258" authorId="1" shapeId="0" xr:uid="{9874ADC0-E7B9-4032-94EF-043AE599807A}">
      <text>
        <r>
          <rPr>
            <b/>
            <sz val="9"/>
            <rFont val="Tahoma"/>
            <family val="2"/>
            <charset val="1"/>
          </rPr>
          <t>Canalyst (AH):</t>
        </r>
        <r>
          <rPr>
            <sz val="9"/>
            <rFont val="Tahoma"/>
            <family val="2"/>
            <charset val="1"/>
          </rPr>
          <t xml:space="preserve">
Interest Income, net</t>
        </r>
      </text>
    </comment>
    <comment ref="M258" authorId="1" shapeId="0" xr:uid="{9D9EF208-7C4B-4B3A-8577-45D461D7F964}">
      <text>
        <r>
          <rPr>
            <b/>
            <sz val="9"/>
            <rFont val="Tahoma"/>
            <family val="2"/>
            <charset val="1"/>
          </rPr>
          <t>Canalyst (AH):</t>
        </r>
        <r>
          <rPr>
            <sz val="9"/>
            <rFont val="Tahoma"/>
            <family val="2"/>
            <charset val="1"/>
          </rPr>
          <t xml:space="preserve">
Interest Income, net</t>
        </r>
      </text>
    </comment>
    <comment ref="N258" authorId="1" shapeId="0" xr:uid="{DBC006D9-3971-4B72-8219-061CB2A39D9F}">
      <text>
        <r>
          <rPr>
            <b/>
            <sz val="9"/>
            <rFont val="Tahoma"/>
            <family val="2"/>
            <charset val="1"/>
          </rPr>
          <t>Canalyst (AH):</t>
        </r>
        <r>
          <rPr>
            <sz val="9"/>
            <rFont val="Tahoma"/>
            <family val="2"/>
            <charset val="1"/>
          </rPr>
          <t xml:space="preserve">
Interest Income, net</t>
        </r>
      </text>
    </comment>
    <comment ref="O258" authorId="1" shapeId="0" xr:uid="{B540C27A-3625-4A09-B1CB-9EDC87508226}">
      <text>
        <r>
          <rPr>
            <b/>
            <sz val="9"/>
            <rFont val="Tahoma"/>
            <family val="2"/>
            <charset val="1"/>
          </rPr>
          <t>Canalyst (AH):</t>
        </r>
        <r>
          <rPr>
            <sz val="9"/>
            <rFont val="Tahoma"/>
            <family val="2"/>
            <charset val="1"/>
          </rPr>
          <t xml:space="preserve">
Interest Income, net</t>
        </r>
      </text>
    </comment>
    <comment ref="P258" authorId="1" shapeId="0" xr:uid="{2C80D3B6-1E6A-458F-B9C0-271F1531A9B9}">
      <text>
        <r>
          <rPr>
            <b/>
            <sz val="9"/>
            <rFont val="Tahoma"/>
            <family val="2"/>
            <charset val="1"/>
          </rPr>
          <t>Canalyst (AH):</t>
        </r>
        <r>
          <rPr>
            <sz val="9"/>
            <rFont val="Tahoma"/>
            <family val="2"/>
            <charset val="1"/>
          </rPr>
          <t xml:space="preserve">
Interest Income, net</t>
        </r>
      </text>
    </comment>
    <comment ref="Q258" authorId="1" shapeId="0" xr:uid="{6A95A902-69A9-48A9-A092-A589181D4EC2}">
      <text>
        <r>
          <rPr>
            <b/>
            <sz val="9"/>
            <rFont val="Tahoma"/>
            <family val="2"/>
            <charset val="1"/>
          </rPr>
          <t>Canalyst (AH):</t>
        </r>
        <r>
          <rPr>
            <sz val="9"/>
            <rFont val="Tahoma"/>
            <family val="2"/>
            <charset val="1"/>
          </rPr>
          <t xml:space="preserve">
Interest Income, net</t>
        </r>
      </text>
    </comment>
    <comment ref="R258" authorId="1" shapeId="0" xr:uid="{8F6D31C8-BC2E-4897-B0A6-5484E4355C58}">
      <text>
        <r>
          <rPr>
            <b/>
            <sz val="9"/>
            <rFont val="Tahoma"/>
            <family val="2"/>
            <charset val="1"/>
          </rPr>
          <t>Canalyst (AH):</t>
        </r>
        <r>
          <rPr>
            <sz val="9"/>
            <rFont val="Tahoma"/>
            <family val="2"/>
            <charset val="1"/>
          </rPr>
          <t xml:space="preserve">
Interest Income, net</t>
        </r>
      </text>
    </comment>
    <comment ref="S258" authorId="1" shapeId="0" xr:uid="{C2732C3D-22D8-456C-8500-0DA425303180}">
      <text>
        <r>
          <rPr>
            <b/>
            <sz val="9"/>
            <rFont val="Tahoma"/>
            <family val="2"/>
            <charset val="1"/>
          </rPr>
          <t>Canalyst (AH):</t>
        </r>
        <r>
          <rPr>
            <sz val="9"/>
            <rFont val="Tahoma"/>
            <family val="2"/>
            <charset val="1"/>
          </rPr>
          <t xml:space="preserve">
Interest Income, net</t>
        </r>
      </text>
    </comment>
    <comment ref="C282" authorId="1" shapeId="0" xr:uid="{9D39ECDD-343C-45CB-B697-5F7C4574785D}">
      <text>
        <r>
          <rPr>
            <b/>
            <sz val="9"/>
            <rFont val="Tahoma"/>
            <family val="2"/>
            <charset val="1"/>
          </rPr>
          <t>Canalyst (AH):</t>
        </r>
        <r>
          <rPr>
            <sz val="9"/>
            <rFont val="Tahoma"/>
            <family val="2"/>
            <charset val="1"/>
          </rPr>
          <t xml:space="preserve">
Company did not report Non-GAAP adjustments for this period</t>
        </r>
      </text>
    </comment>
    <comment ref="D282" authorId="1" shapeId="0" xr:uid="{F77AE045-7B5E-46A3-9B01-F60882017174}">
      <text>
        <r>
          <rPr>
            <b/>
            <sz val="9"/>
            <rFont val="Tahoma"/>
            <family val="2"/>
            <charset val="1"/>
          </rPr>
          <t>Canalyst (AH):</t>
        </r>
        <r>
          <rPr>
            <sz val="9"/>
            <rFont val="Tahoma"/>
            <family val="2"/>
            <charset val="1"/>
          </rPr>
          <t xml:space="preserve">
Company did not report Non-GAAP adjustments for this period</t>
        </r>
      </text>
    </comment>
    <comment ref="E282" authorId="1" shapeId="0" xr:uid="{6D816B78-A080-47F4-A8C7-7CD008138B17}">
      <text>
        <r>
          <rPr>
            <b/>
            <sz val="9"/>
            <rFont val="Tahoma"/>
            <family val="2"/>
            <charset val="1"/>
          </rPr>
          <t>Canalyst (AH):</t>
        </r>
        <r>
          <rPr>
            <sz val="9"/>
            <rFont val="Tahoma"/>
            <family val="2"/>
            <charset val="1"/>
          </rPr>
          <t xml:space="preserve">
Company did not report Non-GAAP adjustments for this period</t>
        </r>
      </text>
    </comment>
    <comment ref="F282" authorId="1" shapeId="0" xr:uid="{92DF53C5-301A-4AEB-A33A-ACF58EDE3DDB}">
      <text>
        <r>
          <rPr>
            <b/>
            <sz val="9"/>
            <rFont val="Tahoma"/>
            <family val="2"/>
            <charset val="1"/>
          </rPr>
          <t>Canalyst (AH):</t>
        </r>
        <r>
          <rPr>
            <sz val="9"/>
            <rFont val="Tahoma"/>
            <family val="2"/>
            <charset val="1"/>
          </rPr>
          <t xml:space="preserve">
Company did not report Non-GAAP adjustments for this period</t>
        </r>
      </text>
    </comment>
    <comment ref="AF288" authorId="2" shapeId="0" xr:uid="{CD93BC87-7F88-4E92-B4B6-143B0A4C6D38}">
      <text>
        <r>
          <rPr>
            <b/>
            <sz val="9"/>
            <rFont val="Tahoma"/>
            <family val="2"/>
          </rPr>
          <t>Canalyst (SC):</t>
        </r>
        <r>
          <rPr>
            <sz val="9"/>
            <rFont val="Tahoma"/>
            <family val="2"/>
          </rPr>
          <t xml:space="preserve">
Reported as $(3.9)mm</t>
        </r>
      </text>
    </comment>
    <comment ref="C295" authorId="1" shapeId="0" xr:uid="{130CD461-D5E2-430B-B912-C3EAA9507CF6}">
      <text>
        <r>
          <rPr>
            <b/>
            <sz val="9"/>
            <rFont val="Tahoma"/>
            <family val="2"/>
          </rPr>
          <t>Canalyst (AH):</t>
        </r>
        <r>
          <rPr>
            <sz val="9"/>
            <rFont val="Tahoma"/>
            <family val="2"/>
          </rPr>
          <t xml:space="preserve">
Formula is adjusted as the numbers provided could not be reconciled.</t>
        </r>
      </text>
    </comment>
    <comment ref="F295" authorId="1" shapeId="0" xr:uid="{B54075B0-0B97-4147-8B0F-0AE150B6BEFB}">
      <text>
        <r>
          <rPr>
            <b/>
            <sz val="9"/>
            <rFont val="Tahoma"/>
            <family val="2"/>
          </rPr>
          <t>Canalyst (AH):</t>
        </r>
        <r>
          <rPr>
            <sz val="9"/>
            <rFont val="Tahoma"/>
            <family val="2"/>
          </rPr>
          <t xml:space="preserve">
Formula is adjusted as the numbers provided could not be reconciled.</t>
        </r>
      </text>
    </comment>
    <comment ref="G295" authorId="1" shapeId="0" xr:uid="{5AEAF873-E98C-4A22-9D87-7C45756490A4}">
      <text>
        <r>
          <rPr>
            <b/>
            <sz val="9"/>
            <rFont val="Tahoma"/>
            <family val="2"/>
          </rPr>
          <t>Canalyst (AH):</t>
        </r>
        <r>
          <rPr>
            <sz val="9"/>
            <rFont val="Tahoma"/>
            <family val="2"/>
          </rPr>
          <t xml:space="preserve">
Formula is adjusted as the numbers provided could not be reconciled.</t>
        </r>
      </text>
    </comment>
    <comment ref="H295" authorId="1" shapeId="0" xr:uid="{BD8726FE-3A25-4618-A7B2-CD0255948A55}">
      <text>
        <r>
          <rPr>
            <b/>
            <sz val="9"/>
            <rFont val="Tahoma"/>
            <family val="2"/>
          </rPr>
          <t>Canalyst (AH):</t>
        </r>
        <r>
          <rPr>
            <sz val="9"/>
            <rFont val="Tahoma"/>
            <family val="2"/>
          </rPr>
          <t xml:space="preserve">
Formula is adjusted as the numbers provided could not be reconciled.</t>
        </r>
      </text>
    </comment>
    <comment ref="I295" authorId="1" shapeId="0" xr:uid="{6A5C4204-9E0B-46B7-9450-1AFC2562077E}">
      <text>
        <r>
          <rPr>
            <b/>
            <sz val="9"/>
            <rFont val="Tahoma"/>
            <family val="2"/>
          </rPr>
          <t>Canalyst (AH):</t>
        </r>
        <r>
          <rPr>
            <sz val="9"/>
            <rFont val="Tahoma"/>
            <family val="2"/>
          </rPr>
          <t xml:space="preserve">
Formula is adjusted as the numbers provided could not be reconciled.</t>
        </r>
      </text>
    </comment>
    <comment ref="J295" authorId="1" shapeId="0" xr:uid="{21B6B7B9-9A0B-4852-85AE-DC6BFA6FF420}">
      <text>
        <r>
          <rPr>
            <b/>
            <sz val="9"/>
            <rFont val="Tahoma"/>
            <family val="2"/>
          </rPr>
          <t>Canalyst (AH):</t>
        </r>
        <r>
          <rPr>
            <sz val="9"/>
            <rFont val="Tahoma"/>
            <family val="2"/>
          </rPr>
          <t xml:space="preserve">
Formula is adjusted as the numbers provided could not be reconciled.</t>
        </r>
      </text>
    </comment>
    <comment ref="K295" authorId="1" shapeId="0" xr:uid="{5917CD72-FF4E-4935-86C4-846AB7450632}">
      <text>
        <r>
          <rPr>
            <b/>
            <sz val="9"/>
            <rFont val="Tahoma"/>
            <family val="2"/>
          </rPr>
          <t>Canalyst (AH):</t>
        </r>
        <r>
          <rPr>
            <sz val="9"/>
            <rFont val="Tahoma"/>
            <family val="2"/>
          </rPr>
          <t xml:space="preserve">
Formula is adjusted as the numbers provided could not be reconciled.</t>
        </r>
      </text>
    </comment>
    <comment ref="L295" authorId="1" shapeId="0" xr:uid="{2282FD12-90E3-4E5F-A552-DD51B5C0272D}">
      <text>
        <r>
          <rPr>
            <b/>
            <sz val="9"/>
            <rFont val="Tahoma"/>
            <family val="2"/>
          </rPr>
          <t>Canalyst (AH):</t>
        </r>
        <r>
          <rPr>
            <sz val="9"/>
            <rFont val="Tahoma"/>
            <family val="2"/>
          </rPr>
          <t xml:space="preserve">
Formula is adjusted as the numbers provided could not be reconciled.</t>
        </r>
      </text>
    </comment>
    <comment ref="M295" authorId="1" shapeId="0" xr:uid="{E791E799-6E80-49D5-A2E7-F74E44A59D86}">
      <text>
        <r>
          <rPr>
            <b/>
            <sz val="9"/>
            <rFont val="Tahoma"/>
            <family val="2"/>
          </rPr>
          <t>Canalyst (AH):</t>
        </r>
        <r>
          <rPr>
            <sz val="9"/>
            <rFont val="Tahoma"/>
            <family val="2"/>
          </rPr>
          <t xml:space="preserve">
Formula is adjusted as the numbers provided could not be reconciled.</t>
        </r>
      </text>
    </comment>
    <comment ref="N295" authorId="1" shapeId="0" xr:uid="{1440C272-4525-4F0E-90F3-D470E2670329}">
      <text>
        <r>
          <rPr>
            <b/>
            <sz val="9"/>
            <rFont val="Tahoma"/>
            <family val="2"/>
          </rPr>
          <t>Canalyst (AH):</t>
        </r>
        <r>
          <rPr>
            <sz val="9"/>
            <rFont val="Tahoma"/>
            <family val="2"/>
          </rPr>
          <t xml:space="preserve">
Formula is adjusted as the numbers provided could not be reconciled.</t>
        </r>
      </text>
    </comment>
    <comment ref="O295" authorId="1" shapeId="0" xr:uid="{7226E7E6-9E3F-4CF9-B0AE-E8553A6E66A2}">
      <text>
        <r>
          <rPr>
            <b/>
            <sz val="9"/>
            <rFont val="Tahoma"/>
            <family val="2"/>
          </rPr>
          <t>Canalyst (AH):</t>
        </r>
        <r>
          <rPr>
            <sz val="9"/>
            <rFont val="Tahoma"/>
            <family val="2"/>
          </rPr>
          <t xml:space="preserve">
Formula is adjusted as the numbers provided could not be reconciled.</t>
        </r>
      </text>
    </comment>
    <comment ref="P295" authorId="1" shapeId="0" xr:uid="{B10A9886-3696-403A-803D-0D11125EDD9B}">
      <text>
        <r>
          <rPr>
            <b/>
            <sz val="9"/>
            <rFont val="Tahoma"/>
            <family val="2"/>
          </rPr>
          <t>Canalyst (AH):</t>
        </r>
        <r>
          <rPr>
            <sz val="9"/>
            <rFont val="Tahoma"/>
            <family val="2"/>
          </rPr>
          <t xml:space="preserve">
Formula is adjusted as the numbers provided could not be reconciled.</t>
        </r>
      </text>
    </comment>
    <comment ref="C296" authorId="1" shapeId="0" xr:uid="{F4EF884E-8B84-4BA0-84AB-E1FA374CB0D7}">
      <text>
        <r>
          <rPr>
            <b/>
            <sz val="9"/>
            <rFont val="Tahoma"/>
            <family val="2"/>
          </rPr>
          <t>Canalyst (AH):</t>
        </r>
        <r>
          <rPr>
            <sz val="9"/>
            <rFont val="Tahoma"/>
            <family val="2"/>
          </rPr>
          <t xml:space="preserve">
Formula is adjusted as the numbers provided could not be reconciled.</t>
        </r>
      </text>
    </comment>
    <comment ref="F296" authorId="1" shapeId="0" xr:uid="{FC15BD3D-8278-43B7-A4CB-469323DBC1CF}">
      <text>
        <r>
          <rPr>
            <b/>
            <sz val="9"/>
            <rFont val="Tahoma"/>
            <family val="2"/>
          </rPr>
          <t>Canalyst (AH):</t>
        </r>
        <r>
          <rPr>
            <sz val="9"/>
            <rFont val="Tahoma"/>
            <family val="2"/>
          </rPr>
          <t xml:space="preserve">
Formula is adjusted as the numbers provided could not be reconciled.</t>
        </r>
      </text>
    </comment>
    <comment ref="G296" authorId="1" shapeId="0" xr:uid="{CBC9B036-5DBA-403F-9710-2E6EB123F00A}">
      <text>
        <r>
          <rPr>
            <b/>
            <sz val="9"/>
            <rFont val="Tahoma"/>
            <family val="2"/>
          </rPr>
          <t>Canalyst (AH):</t>
        </r>
        <r>
          <rPr>
            <sz val="9"/>
            <rFont val="Tahoma"/>
            <family val="2"/>
          </rPr>
          <t xml:space="preserve">
Formula is adjusted as the numbers provided could not be reconciled.</t>
        </r>
      </text>
    </comment>
    <comment ref="H296" authorId="1" shapeId="0" xr:uid="{C4B07FAC-516B-41BC-A952-F88BE8F1AB76}">
      <text>
        <r>
          <rPr>
            <b/>
            <sz val="9"/>
            <rFont val="Tahoma"/>
            <family val="2"/>
          </rPr>
          <t>Canalyst (AH):</t>
        </r>
        <r>
          <rPr>
            <sz val="9"/>
            <rFont val="Tahoma"/>
            <family val="2"/>
          </rPr>
          <t xml:space="preserve">
Formula is adjusted as the numbers provided could not be reconciled.</t>
        </r>
      </text>
    </comment>
    <comment ref="I296" authorId="1" shapeId="0" xr:uid="{01DFA04C-134C-478B-99FF-1BEB6FE013D5}">
      <text>
        <r>
          <rPr>
            <b/>
            <sz val="9"/>
            <rFont val="Tahoma"/>
            <family val="2"/>
          </rPr>
          <t>Canalyst (AH):</t>
        </r>
        <r>
          <rPr>
            <sz val="9"/>
            <rFont val="Tahoma"/>
            <family val="2"/>
          </rPr>
          <t xml:space="preserve">
Formula is adjusted as the numbers provided could not be reconciled.</t>
        </r>
      </text>
    </comment>
    <comment ref="J296" authorId="1" shapeId="0" xr:uid="{66230847-FA68-41C7-8D13-9C3A5C9698D1}">
      <text>
        <r>
          <rPr>
            <b/>
            <sz val="9"/>
            <rFont val="Tahoma"/>
            <family val="2"/>
          </rPr>
          <t>Canalyst (AH):</t>
        </r>
        <r>
          <rPr>
            <sz val="9"/>
            <rFont val="Tahoma"/>
            <family val="2"/>
          </rPr>
          <t xml:space="preserve">
Formula is adjusted as the numbers provided could not be reconciled.</t>
        </r>
      </text>
    </comment>
    <comment ref="K296" authorId="1" shapeId="0" xr:uid="{0C7BE4BD-E02E-4B44-90D3-1ACB465F67C3}">
      <text>
        <r>
          <rPr>
            <b/>
            <sz val="9"/>
            <rFont val="Tahoma"/>
            <family val="2"/>
          </rPr>
          <t>Canalyst (AH):</t>
        </r>
        <r>
          <rPr>
            <sz val="9"/>
            <rFont val="Tahoma"/>
            <family val="2"/>
          </rPr>
          <t xml:space="preserve">
Formula is adjusted as the numbers provided could not be reconciled.</t>
        </r>
      </text>
    </comment>
    <comment ref="L296" authorId="1" shapeId="0" xr:uid="{D2BBCEB0-A780-4977-9369-01A98FD6B543}">
      <text>
        <r>
          <rPr>
            <b/>
            <sz val="9"/>
            <rFont val="Tahoma"/>
            <family val="2"/>
          </rPr>
          <t>Canalyst (AH):</t>
        </r>
        <r>
          <rPr>
            <sz val="9"/>
            <rFont val="Tahoma"/>
            <family val="2"/>
          </rPr>
          <t xml:space="preserve">
Formula is adjusted as the numbers provided could not be reconciled.</t>
        </r>
      </text>
    </comment>
    <comment ref="M296" authorId="1" shapeId="0" xr:uid="{AB789464-F61D-4459-8C9C-67F4EEFF30F9}">
      <text>
        <r>
          <rPr>
            <b/>
            <sz val="9"/>
            <rFont val="Tahoma"/>
            <family val="2"/>
          </rPr>
          <t>Canalyst (AH):</t>
        </r>
        <r>
          <rPr>
            <sz val="9"/>
            <rFont val="Tahoma"/>
            <family val="2"/>
          </rPr>
          <t xml:space="preserve">
Formula is adjusted as the numbers provided could not be reconciled.</t>
        </r>
      </text>
    </comment>
    <comment ref="N296" authorId="1" shapeId="0" xr:uid="{97E76F7B-101C-4983-97BD-807608FBE780}">
      <text>
        <r>
          <rPr>
            <b/>
            <sz val="9"/>
            <rFont val="Tahoma"/>
            <family val="2"/>
          </rPr>
          <t>Canalyst (AH):</t>
        </r>
        <r>
          <rPr>
            <sz val="9"/>
            <rFont val="Tahoma"/>
            <family val="2"/>
          </rPr>
          <t xml:space="preserve">
Formula is adjusted as the numbers provided could not be reconciled.</t>
        </r>
      </text>
    </comment>
    <comment ref="O296" authorId="1" shapeId="0" xr:uid="{F2972ACA-98E0-4D2D-A927-7CBCD3268F2A}">
      <text>
        <r>
          <rPr>
            <b/>
            <sz val="9"/>
            <rFont val="Tahoma"/>
            <family val="2"/>
          </rPr>
          <t>Canalyst (AH):</t>
        </r>
        <r>
          <rPr>
            <sz val="9"/>
            <rFont val="Tahoma"/>
            <family val="2"/>
          </rPr>
          <t xml:space="preserve">
Formula is adjusted as the numbers provided could not be reconciled.</t>
        </r>
      </text>
    </comment>
    <comment ref="P296" authorId="1" shapeId="0" xr:uid="{404E81A3-484E-472F-BB91-02DFFFCC16DD}">
      <text>
        <r>
          <rPr>
            <b/>
            <sz val="9"/>
            <rFont val="Tahoma"/>
            <family val="2"/>
          </rPr>
          <t>Canalyst (AH):</t>
        </r>
        <r>
          <rPr>
            <sz val="9"/>
            <rFont val="Tahoma"/>
            <family val="2"/>
          </rPr>
          <t xml:space="preserve">
Formula is adjusted as the numbers provided could not be reconciled.</t>
        </r>
      </text>
    </comment>
    <comment ref="C297" authorId="1" shapeId="0" xr:uid="{949D4F6C-A47A-42F8-9CCF-F9B55992B596}">
      <text>
        <r>
          <rPr>
            <b/>
            <sz val="9"/>
            <rFont val="Tahoma"/>
            <family val="2"/>
          </rPr>
          <t>Canalyst (AH):</t>
        </r>
        <r>
          <rPr>
            <sz val="9"/>
            <rFont val="Tahoma"/>
            <family val="2"/>
          </rPr>
          <t xml:space="preserve">
Formula is adjusted as the numbers provided could not be reconciled.</t>
        </r>
      </text>
    </comment>
    <comment ref="F297" authorId="1" shapeId="0" xr:uid="{78342E56-4595-4EE5-B573-08FB365CC18C}">
      <text>
        <r>
          <rPr>
            <b/>
            <sz val="9"/>
            <rFont val="Tahoma"/>
            <family val="2"/>
          </rPr>
          <t>Canalyst (AH):</t>
        </r>
        <r>
          <rPr>
            <sz val="9"/>
            <rFont val="Tahoma"/>
            <family val="2"/>
          </rPr>
          <t xml:space="preserve">
Formula is adjusted as the numbers provided could not be reconciled.</t>
        </r>
      </text>
    </comment>
    <comment ref="G297" authorId="1" shapeId="0" xr:uid="{FA695A63-DEF5-4CC3-94F9-B1B65B55406F}">
      <text>
        <r>
          <rPr>
            <b/>
            <sz val="9"/>
            <rFont val="Tahoma"/>
            <family val="2"/>
          </rPr>
          <t>Canalyst (AH):</t>
        </r>
        <r>
          <rPr>
            <sz val="9"/>
            <rFont val="Tahoma"/>
            <family val="2"/>
          </rPr>
          <t xml:space="preserve">
Formula is adjusted as the numbers provided could not be reconciled.</t>
        </r>
      </text>
    </comment>
    <comment ref="H297" authorId="1" shapeId="0" xr:uid="{C6D54F7E-C6E3-4533-9259-73D2A59F966B}">
      <text>
        <r>
          <rPr>
            <b/>
            <sz val="9"/>
            <rFont val="Tahoma"/>
            <family val="2"/>
          </rPr>
          <t>Canalyst (AH):</t>
        </r>
        <r>
          <rPr>
            <sz val="9"/>
            <rFont val="Tahoma"/>
            <family val="2"/>
          </rPr>
          <t xml:space="preserve">
Formula is adjusted as the numbers provided could not be reconciled.</t>
        </r>
      </text>
    </comment>
    <comment ref="I297" authorId="1" shapeId="0" xr:uid="{EB1D164B-8725-4DF2-999C-649A466ADA5B}">
      <text>
        <r>
          <rPr>
            <b/>
            <sz val="9"/>
            <rFont val="Tahoma"/>
            <family val="2"/>
          </rPr>
          <t>Canalyst (AH):</t>
        </r>
        <r>
          <rPr>
            <sz val="9"/>
            <rFont val="Tahoma"/>
            <family val="2"/>
          </rPr>
          <t xml:space="preserve">
Formula is adjusted as the numbers provided could not be reconciled.</t>
        </r>
      </text>
    </comment>
    <comment ref="J297" authorId="1" shapeId="0" xr:uid="{A8BF5EEE-5702-45B8-A8D1-B9755AD6C86B}">
      <text>
        <r>
          <rPr>
            <b/>
            <sz val="9"/>
            <rFont val="Tahoma"/>
            <family val="2"/>
          </rPr>
          <t>Canalyst (AH):</t>
        </r>
        <r>
          <rPr>
            <sz val="9"/>
            <rFont val="Tahoma"/>
            <family val="2"/>
          </rPr>
          <t xml:space="preserve">
Formula is adjusted as the numbers provided could not be reconciled.</t>
        </r>
      </text>
    </comment>
    <comment ref="K297" authorId="1" shapeId="0" xr:uid="{BE5E26D4-5648-4CB4-8712-2D721430EE59}">
      <text>
        <r>
          <rPr>
            <b/>
            <sz val="9"/>
            <rFont val="Tahoma"/>
            <family val="2"/>
          </rPr>
          <t>Canalyst (AH):</t>
        </r>
        <r>
          <rPr>
            <sz val="9"/>
            <rFont val="Tahoma"/>
            <family val="2"/>
          </rPr>
          <t xml:space="preserve">
Formula is adjusted as the numbers provided could not be reconciled.</t>
        </r>
      </text>
    </comment>
    <comment ref="L297" authorId="1" shapeId="0" xr:uid="{030DC66E-33C3-4DEC-8DCD-7A27FF91989B}">
      <text>
        <r>
          <rPr>
            <b/>
            <sz val="9"/>
            <rFont val="Tahoma"/>
            <family val="2"/>
          </rPr>
          <t>Canalyst (AH):</t>
        </r>
        <r>
          <rPr>
            <sz val="9"/>
            <rFont val="Tahoma"/>
            <family val="2"/>
          </rPr>
          <t xml:space="preserve">
Formula is adjusted as the numbers provided could not be reconciled.</t>
        </r>
      </text>
    </comment>
    <comment ref="M297" authorId="1" shapeId="0" xr:uid="{3A0085DB-690A-45F7-80A0-ABBB36A9E5CF}">
      <text>
        <r>
          <rPr>
            <b/>
            <sz val="9"/>
            <rFont val="Tahoma"/>
            <family val="2"/>
          </rPr>
          <t>Canalyst (AH):</t>
        </r>
        <r>
          <rPr>
            <sz val="9"/>
            <rFont val="Tahoma"/>
            <family val="2"/>
          </rPr>
          <t xml:space="preserve">
Formula is adjusted as the numbers provided could not be reconciled.</t>
        </r>
      </text>
    </comment>
    <comment ref="N297" authorId="1" shapeId="0" xr:uid="{BD512374-A319-417B-9E65-2D82C77E46E1}">
      <text>
        <r>
          <rPr>
            <b/>
            <sz val="9"/>
            <rFont val="Tahoma"/>
            <family val="2"/>
          </rPr>
          <t>Canalyst (AH):</t>
        </r>
        <r>
          <rPr>
            <sz val="9"/>
            <rFont val="Tahoma"/>
            <family val="2"/>
          </rPr>
          <t xml:space="preserve">
Formula is adjusted as the numbers provided could not be reconciled.</t>
        </r>
      </text>
    </comment>
    <comment ref="O297" authorId="1" shapeId="0" xr:uid="{4F8BE073-570D-409A-A21E-8757ADBE7185}">
      <text>
        <r>
          <rPr>
            <b/>
            <sz val="9"/>
            <rFont val="Tahoma"/>
            <family val="2"/>
          </rPr>
          <t>Canalyst (AH):</t>
        </r>
        <r>
          <rPr>
            <sz val="9"/>
            <rFont val="Tahoma"/>
            <family val="2"/>
          </rPr>
          <t xml:space="preserve">
Formula is adjusted as the numbers provided could not be reconciled.</t>
        </r>
      </text>
    </comment>
    <comment ref="P297" authorId="1" shapeId="0" xr:uid="{823C9906-3DA6-4D41-9BB9-62DDEF1C18F9}">
      <text>
        <r>
          <rPr>
            <b/>
            <sz val="9"/>
            <rFont val="Tahoma"/>
            <family val="2"/>
          </rPr>
          <t>Canalyst (AH):</t>
        </r>
        <r>
          <rPr>
            <sz val="9"/>
            <rFont val="Tahoma"/>
            <family val="2"/>
          </rPr>
          <t xml:space="preserve">
Formula is adjusted as the numbers provided could not be reconciled.</t>
        </r>
      </text>
    </comment>
    <comment ref="H299" authorId="1" shapeId="0" xr:uid="{C7E2BE52-E285-4F86-BA54-91159240EC9D}">
      <text>
        <r>
          <rPr>
            <b/>
            <sz val="9"/>
            <rFont val="Tahoma"/>
            <family val="2"/>
          </rPr>
          <t>Canalyst (AH):</t>
        </r>
        <r>
          <rPr>
            <sz val="9"/>
            <rFont val="Tahoma"/>
            <family val="2"/>
          </rPr>
          <t xml:space="preserve">
Backed out using 6- and 3-month data</t>
        </r>
      </text>
    </comment>
    <comment ref="C321" authorId="1" shapeId="0" xr:uid="{5A2B725F-392E-408D-B64F-3E472647DFDE}">
      <text>
        <r>
          <rPr>
            <b/>
            <sz val="9"/>
            <rFont val="Tahoma"/>
            <family val="2"/>
          </rPr>
          <t>Canalyst (AH):</t>
        </r>
        <r>
          <rPr>
            <sz val="9"/>
            <rFont val="Tahoma"/>
            <family val="2"/>
          </rPr>
          <t xml:space="preserve">
Adjusted for Amortization of Intangible Assets, SBC, and One-time Items</t>
        </r>
      </text>
    </comment>
    <comment ref="D321" authorId="1" shapeId="0" xr:uid="{F282DAF5-8539-4D63-A9D6-9A6DA7524364}">
      <text>
        <r>
          <rPr>
            <b/>
            <sz val="9"/>
            <rFont val="Tahoma"/>
            <family val="2"/>
          </rPr>
          <t>Canalyst (AH):</t>
        </r>
        <r>
          <rPr>
            <sz val="9"/>
            <rFont val="Tahoma"/>
            <family val="2"/>
          </rPr>
          <t xml:space="preserve">
Adjusted for Amortization of Intangible Assets, SBC, and One-time Items</t>
        </r>
      </text>
    </comment>
    <comment ref="E321" authorId="1" shapeId="0" xr:uid="{7B0725A3-A042-4FE7-B402-212E2396560C}">
      <text>
        <r>
          <rPr>
            <b/>
            <sz val="9"/>
            <rFont val="Tahoma"/>
            <family val="2"/>
          </rPr>
          <t>Canalyst (AH):</t>
        </r>
        <r>
          <rPr>
            <sz val="9"/>
            <rFont val="Tahoma"/>
            <family val="2"/>
          </rPr>
          <t xml:space="preserve">
Adjusted for Amortization of Intangible Assets, SBC, and One-time Items</t>
        </r>
      </text>
    </comment>
    <comment ref="F321" authorId="1" shapeId="0" xr:uid="{6194641B-5BAF-4D7A-B85F-FAAAFD3DA09F}">
      <text>
        <r>
          <rPr>
            <b/>
            <sz val="9"/>
            <rFont val="Tahoma"/>
            <family val="2"/>
          </rPr>
          <t>Canalyst (AH):</t>
        </r>
        <r>
          <rPr>
            <sz val="9"/>
            <rFont val="Tahoma"/>
            <family val="2"/>
          </rPr>
          <t xml:space="preserve">
Adjusted for Amortization of Intangible Assets, SBC, and One-time Items</t>
        </r>
      </text>
    </comment>
    <comment ref="G321" authorId="1" shapeId="0" xr:uid="{1BF94FD0-F630-415B-B036-7A255368707A}">
      <text>
        <r>
          <rPr>
            <b/>
            <sz val="9"/>
            <rFont val="Tahoma"/>
            <family val="2"/>
          </rPr>
          <t>Canalyst (AH):</t>
        </r>
        <r>
          <rPr>
            <sz val="9"/>
            <rFont val="Tahoma"/>
            <family val="2"/>
          </rPr>
          <t xml:space="preserve">
Adjusted for Amortization of Intangible Assets, SBC, and One-time Items</t>
        </r>
      </text>
    </comment>
    <comment ref="H321" authorId="1" shapeId="0" xr:uid="{05BBC0D3-372C-4413-BEA4-DA0FDB58C415}">
      <text>
        <r>
          <rPr>
            <b/>
            <sz val="9"/>
            <rFont val="Tahoma"/>
            <family val="2"/>
          </rPr>
          <t>Canalyst (AH):</t>
        </r>
        <r>
          <rPr>
            <sz val="9"/>
            <rFont val="Tahoma"/>
            <family val="2"/>
          </rPr>
          <t xml:space="preserve">
Adjusted for Amortization of Intangible Assets, SBC, and One-time Items</t>
        </r>
      </text>
    </comment>
    <comment ref="I321" authorId="1" shapeId="0" xr:uid="{C236706B-B7AF-42DD-8731-332241BEC9AF}">
      <text>
        <r>
          <rPr>
            <b/>
            <sz val="9"/>
            <rFont val="Tahoma"/>
            <family val="2"/>
          </rPr>
          <t>Canalyst (AH):</t>
        </r>
        <r>
          <rPr>
            <sz val="9"/>
            <rFont val="Tahoma"/>
            <family val="2"/>
          </rPr>
          <t xml:space="preserve">
Adjusted for Amortization of Intangible Assets, SBC, and One-time Items</t>
        </r>
      </text>
    </comment>
    <comment ref="J321" authorId="1" shapeId="0" xr:uid="{B98AA80B-297B-455D-A7A3-DDDAD0FC3AFB}">
      <text>
        <r>
          <rPr>
            <b/>
            <sz val="9"/>
            <rFont val="Tahoma"/>
            <family val="2"/>
          </rPr>
          <t>Canalyst (AH):</t>
        </r>
        <r>
          <rPr>
            <sz val="9"/>
            <rFont val="Tahoma"/>
            <family val="2"/>
          </rPr>
          <t xml:space="preserve">
Adjusted for Amortization of Intangible Assets, SBC, and One-time Items</t>
        </r>
      </text>
    </comment>
    <comment ref="K321" authorId="1" shapeId="0" xr:uid="{E1EEF92D-B6C9-4918-AB76-716D1D7A1EBF}">
      <text>
        <r>
          <rPr>
            <b/>
            <sz val="9"/>
            <rFont val="Tahoma"/>
            <family val="2"/>
          </rPr>
          <t>Canalyst (AH):</t>
        </r>
        <r>
          <rPr>
            <sz val="9"/>
            <rFont val="Tahoma"/>
            <family val="2"/>
          </rPr>
          <t xml:space="preserve">
Adjusted for Amortization of Intangible Assets, SBC, and One-time Items</t>
        </r>
      </text>
    </comment>
    <comment ref="L321" authorId="1" shapeId="0" xr:uid="{929EEF5B-54C4-4084-BDB1-5CCA9091CF4F}">
      <text>
        <r>
          <rPr>
            <b/>
            <sz val="9"/>
            <rFont val="Tahoma"/>
            <family val="2"/>
          </rPr>
          <t>Canalyst (AH):</t>
        </r>
        <r>
          <rPr>
            <sz val="9"/>
            <rFont val="Tahoma"/>
            <family val="2"/>
          </rPr>
          <t xml:space="preserve">
Adjusted for Amortization of Intangible Assets, SBC, and One-time Items</t>
        </r>
      </text>
    </comment>
    <comment ref="M321" authorId="1" shapeId="0" xr:uid="{0954022F-6EE0-478E-8853-90F43A5B1FB1}">
      <text>
        <r>
          <rPr>
            <b/>
            <sz val="9"/>
            <rFont val="Tahoma"/>
            <family val="2"/>
          </rPr>
          <t>Canalyst (AH):</t>
        </r>
        <r>
          <rPr>
            <sz val="9"/>
            <rFont val="Tahoma"/>
            <family val="2"/>
          </rPr>
          <t xml:space="preserve">
Adjusted for Amortization of Intangible Assets, SBC, and One-time Items</t>
        </r>
      </text>
    </comment>
    <comment ref="N321" authorId="1" shapeId="0" xr:uid="{F375CD50-66F8-40A1-9C8B-117D2E443D8F}">
      <text>
        <r>
          <rPr>
            <b/>
            <sz val="9"/>
            <rFont val="Tahoma"/>
            <family val="2"/>
          </rPr>
          <t>Canalyst (AH):</t>
        </r>
        <r>
          <rPr>
            <sz val="9"/>
            <rFont val="Tahoma"/>
            <family val="2"/>
          </rPr>
          <t xml:space="preserve">
Adjusted for Amortization of Intangible Assets, SBC, and One-time Items</t>
        </r>
      </text>
    </comment>
    <comment ref="O321" authorId="1" shapeId="0" xr:uid="{24B13F4E-93A9-4466-A60C-6C1D0BC55B14}">
      <text>
        <r>
          <rPr>
            <b/>
            <sz val="9"/>
            <rFont val="Tahoma"/>
            <family val="2"/>
          </rPr>
          <t>Canalyst (AH):</t>
        </r>
        <r>
          <rPr>
            <sz val="9"/>
            <rFont val="Tahoma"/>
            <family val="2"/>
          </rPr>
          <t xml:space="preserve">
Adjusted for Amortization of Intangible Assets, SBC, and One-time Items</t>
        </r>
      </text>
    </comment>
    <comment ref="P321" authorId="1" shapeId="0" xr:uid="{80C79959-C5F7-4B52-AD6A-AC62B95B2703}">
      <text>
        <r>
          <rPr>
            <b/>
            <sz val="9"/>
            <rFont val="Tahoma"/>
            <family val="2"/>
          </rPr>
          <t>Canalyst (AH):</t>
        </r>
        <r>
          <rPr>
            <sz val="9"/>
            <rFont val="Tahoma"/>
            <family val="2"/>
          </rPr>
          <t xml:space="preserve">
Adjusted for Amortization of Intangible Assets, SBC, and One-time Items</t>
        </r>
      </text>
    </comment>
    <comment ref="Q321" authorId="1" shapeId="0" xr:uid="{C31BD9F7-AB49-441B-884D-A02F2C9A5A20}">
      <text>
        <r>
          <rPr>
            <b/>
            <sz val="9"/>
            <rFont val="Tahoma"/>
            <family val="2"/>
          </rPr>
          <t>Canalyst (AH):</t>
        </r>
        <r>
          <rPr>
            <sz val="9"/>
            <rFont val="Tahoma"/>
            <family val="2"/>
          </rPr>
          <t xml:space="preserve">
Adjusted for Amortization of Intangible Assets, SBC, and One-time Items</t>
        </r>
      </text>
    </comment>
    <comment ref="R321" authorId="1" shapeId="0" xr:uid="{EEDE6A31-A391-4BC3-9AC0-644B2ADB1156}">
      <text>
        <r>
          <rPr>
            <b/>
            <sz val="9"/>
            <rFont val="Tahoma"/>
            <family val="2"/>
          </rPr>
          <t>Canalyst (AH):</t>
        </r>
        <r>
          <rPr>
            <sz val="9"/>
            <rFont val="Tahoma"/>
            <family val="2"/>
          </rPr>
          <t xml:space="preserve">
Adjusted for Amortization of Intangible Assets, SBC, and One-time Items</t>
        </r>
      </text>
    </comment>
    <comment ref="S321" authorId="1" shapeId="0" xr:uid="{C5C9435B-584E-472B-B9DA-ECFA26E2E73B}">
      <text>
        <r>
          <rPr>
            <b/>
            <sz val="9"/>
            <rFont val="Tahoma"/>
            <family val="2"/>
          </rPr>
          <t>Canalyst (AH):</t>
        </r>
        <r>
          <rPr>
            <sz val="9"/>
            <rFont val="Tahoma"/>
            <family val="2"/>
          </rPr>
          <t xml:space="preserve">
Adjusted for Amortization of Intangible Assets, SBC, and One-time Items</t>
        </r>
      </text>
    </comment>
    <comment ref="T321" authorId="1" shapeId="0" xr:uid="{7DF306D5-3F88-4538-8F03-F6B22728EBC6}">
      <text>
        <r>
          <rPr>
            <b/>
            <sz val="9"/>
            <rFont val="Tahoma"/>
            <family val="2"/>
          </rPr>
          <t>Canalyst (AH):</t>
        </r>
        <r>
          <rPr>
            <sz val="9"/>
            <rFont val="Tahoma"/>
            <family val="2"/>
          </rPr>
          <t xml:space="preserve">
Adjusted for Amortization of Intangible Assets, SBC, and One-time Items</t>
        </r>
      </text>
    </comment>
    <comment ref="U321" authorId="1" shapeId="0" xr:uid="{FA1D3CAE-5662-4F58-A9B4-D3B7B616C02A}">
      <text>
        <r>
          <rPr>
            <b/>
            <sz val="9"/>
            <rFont val="Tahoma"/>
            <family val="2"/>
          </rPr>
          <t>Canalyst (AH):</t>
        </r>
        <r>
          <rPr>
            <sz val="9"/>
            <rFont val="Tahoma"/>
            <family val="2"/>
          </rPr>
          <t xml:space="preserve">
Adjusted for Amortization of Intangible Assets, SBC, and One-time Items</t>
        </r>
      </text>
    </comment>
    <comment ref="V321" authorId="1" shapeId="0" xr:uid="{AE1EA226-2528-4AE3-8F46-F85CA194DE41}">
      <text>
        <r>
          <rPr>
            <b/>
            <sz val="9"/>
            <rFont val="Tahoma"/>
            <family val="2"/>
          </rPr>
          <t>Canalyst (AH):</t>
        </r>
        <r>
          <rPr>
            <sz val="9"/>
            <rFont val="Tahoma"/>
            <family val="2"/>
          </rPr>
          <t xml:space="preserve">
Adjusted for Amortization of Intangible Assets, SBC, and One-time Items</t>
        </r>
      </text>
    </comment>
    <comment ref="W321" authorId="1" shapeId="0" xr:uid="{6D976669-9768-4F67-B8AE-69AE849510D7}">
      <text>
        <r>
          <rPr>
            <b/>
            <sz val="9"/>
            <rFont val="Tahoma"/>
            <family val="2"/>
          </rPr>
          <t>Canalyst (AH):</t>
        </r>
        <r>
          <rPr>
            <sz val="9"/>
            <rFont val="Tahoma"/>
            <family val="2"/>
          </rPr>
          <t xml:space="preserve">
Adjusted for Amortization of Intangible Assets, SBC, and One-time Items</t>
        </r>
      </text>
    </comment>
    <comment ref="X321" authorId="1" shapeId="0" xr:uid="{EAEECCE0-2918-416B-BDE8-F3852ED0C3F2}">
      <text>
        <r>
          <rPr>
            <b/>
            <sz val="9"/>
            <rFont val="Tahoma"/>
            <family val="2"/>
          </rPr>
          <t>Canalyst (AH):</t>
        </r>
        <r>
          <rPr>
            <sz val="9"/>
            <rFont val="Tahoma"/>
            <family val="2"/>
          </rPr>
          <t xml:space="preserve">
Adjusted for Amortization of Intangible Assets, SBC, and One-time Items</t>
        </r>
      </text>
    </comment>
    <comment ref="Y321" authorId="1" shapeId="0" xr:uid="{2EA3F3D8-148E-4F6A-9F58-1900845F15C3}">
      <text>
        <r>
          <rPr>
            <b/>
            <sz val="9"/>
            <rFont val="Tahoma"/>
            <family val="2"/>
          </rPr>
          <t>Canalyst (AH):</t>
        </r>
        <r>
          <rPr>
            <sz val="9"/>
            <rFont val="Tahoma"/>
            <family val="2"/>
          </rPr>
          <t xml:space="preserve">
Adjusted for Amortization of Intangible Assets, SBC, and One-time Items</t>
        </r>
      </text>
    </comment>
    <comment ref="Z321" authorId="1" shapeId="0" xr:uid="{D0DFCF9B-7CFC-4E47-A193-D44421424BC3}">
      <text>
        <r>
          <rPr>
            <b/>
            <sz val="9"/>
            <rFont val="Tahoma"/>
            <family val="2"/>
          </rPr>
          <t>Canalyst (AH):</t>
        </r>
        <r>
          <rPr>
            <sz val="9"/>
            <rFont val="Tahoma"/>
            <family val="2"/>
          </rPr>
          <t xml:space="preserve">
Adjusted for Amortization of Intangible Assets, SBC, and One-time Items</t>
        </r>
      </text>
    </comment>
    <comment ref="AA321" authorId="1" shapeId="0" xr:uid="{A390E912-C0DF-4548-B7BF-2625AA8D4069}">
      <text>
        <r>
          <rPr>
            <b/>
            <sz val="9"/>
            <rFont val="Tahoma"/>
            <family val="2"/>
          </rPr>
          <t>Canalyst (AH):</t>
        </r>
        <r>
          <rPr>
            <sz val="9"/>
            <rFont val="Tahoma"/>
            <family val="2"/>
          </rPr>
          <t xml:space="preserve">
Adjusted for Amortization of Intangible Assets, SBC, and One-time Items</t>
        </r>
      </text>
    </comment>
    <comment ref="AB321" authorId="1" shapeId="0" xr:uid="{DFA5833F-DC3D-4F47-AE0A-A7C5B3CCB5BD}">
      <text>
        <r>
          <rPr>
            <b/>
            <sz val="9"/>
            <rFont val="Tahoma"/>
            <family val="2"/>
          </rPr>
          <t>Canalyst (AH):</t>
        </r>
        <r>
          <rPr>
            <sz val="9"/>
            <rFont val="Tahoma"/>
            <family val="2"/>
          </rPr>
          <t xml:space="preserve">
Adjusted for Amortization of Intangible Assets, SBC, and One-time Items</t>
        </r>
      </text>
    </comment>
    <comment ref="AC321" authorId="1" shapeId="0" xr:uid="{ECC2B811-6441-429B-920E-610BE0B94CDE}">
      <text>
        <r>
          <rPr>
            <b/>
            <sz val="9"/>
            <rFont val="Tahoma"/>
            <family val="2"/>
          </rPr>
          <t>Canalyst (AH):</t>
        </r>
        <r>
          <rPr>
            <sz val="9"/>
            <rFont val="Tahoma"/>
            <family val="2"/>
          </rPr>
          <t xml:space="preserve">
Adjusted for Amortization of Intangible Assets, SBC, and One-time Items</t>
        </r>
      </text>
    </comment>
    <comment ref="AD321" authorId="1" shapeId="0" xr:uid="{EAB3E5FA-A890-41DC-8520-C2C0593DB9E0}">
      <text>
        <r>
          <rPr>
            <b/>
            <sz val="9"/>
            <rFont val="Tahoma"/>
            <family val="2"/>
          </rPr>
          <t>Canalyst (AH):</t>
        </r>
        <r>
          <rPr>
            <sz val="9"/>
            <rFont val="Tahoma"/>
            <family val="2"/>
          </rPr>
          <t xml:space="preserve">
Adjusted for Amortization of Intangible Assets, SBC, and One-time Items</t>
        </r>
      </text>
    </comment>
    <comment ref="AE321" authorId="1" shapeId="0" xr:uid="{F226BE58-9196-42EA-894E-5F02D431AF61}">
      <text>
        <r>
          <rPr>
            <b/>
            <sz val="9"/>
            <rFont val="Tahoma"/>
            <family val="2"/>
          </rPr>
          <t>Canalyst (AH):</t>
        </r>
        <r>
          <rPr>
            <sz val="9"/>
            <rFont val="Tahoma"/>
            <family val="2"/>
          </rPr>
          <t xml:space="preserve">
Adjusted for Amortization of Intangible Assets, SBC, and One-time Items</t>
        </r>
      </text>
    </comment>
    <comment ref="AF321" authorId="1" shapeId="0" xr:uid="{EFF73E4B-DC09-4422-B783-D22C2C1A49F9}">
      <text>
        <r>
          <rPr>
            <b/>
            <sz val="9"/>
            <rFont val="Tahoma"/>
            <family val="2"/>
          </rPr>
          <t>Canalyst (AH):</t>
        </r>
        <r>
          <rPr>
            <sz val="9"/>
            <rFont val="Tahoma"/>
            <family val="2"/>
          </rPr>
          <t xml:space="preserve">
Adjusted for Amortization of Intangible Assets, SBC, and One-time Items</t>
        </r>
      </text>
    </comment>
    <comment ref="AG321" authorId="1" shapeId="0" xr:uid="{BA20F88E-88D7-4DEF-956F-85FD0C47C8A9}">
      <text>
        <r>
          <rPr>
            <b/>
            <sz val="9"/>
            <rFont val="Tahoma"/>
            <family val="2"/>
          </rPr>
          <t>Canalyst (AH):</t>
        </r>
        <r>
          <rPr>
            <sz val="9"/>
            <rFont val="Tahoma"/>
            <family val="2"/>
          </rPr>
          <t xml:space="preserve">
Adjusted for Amortization of Intangible Assets, SBC, and One-time Items</t>
        </r>
      </text>
    </comment>
    <comment ref="AH321" authorId="1" shapeId="0" xr:uid="{9DE03AFB-2A78-474D-BB63-0C6560A6A354}">
      <text>
        <r>
          <rPr>
            <b/>
            <sz val="9"/>
            <rFont val="Tahoma"/>
            <family val="2"/>
          </rPr>
          <t>Canalyst (AH):</t>
        </r>
        <r>
          <rPr>
            <sz val="9"/>
            <rFont val="Tahoma"/>
            <family val="2"/>
          </rPr>
          <t xml:space="preserve">
Adjusted for Amortization of Intangible Assets, SBC, and One-time Items</t>
        </r>
      </text>
    </comment>
    <comment ref="AI321" authorId="1" shapeId="0" xr:uid="{AA9F61F7-C39D-4DD4-8253-EB1F61EA29CB}">
      <text>
        <r>
          <rPr>
            <b/>
            <sz val="9"/>
            <rFont val="Tahoma"/>
            <family val="2"/>
          </rPr>
          <t>Canalyst (AH):</t>
        </r>
        <r>
          <rPr>
            <sz val="9"/>
            <rFont val="Tahoma"/>
            <family val="2"/>
          </rPr>
          <t xml:space="preserve">
Adjusted for Amortization of Intangible Assets, SBC, and One-time Items</t>
        </r>
      </text>
    </comment>
    <comment ref="AJ321" authorId="1" shapeId="0" xr:uid="{73C1F5AF-84C1-4AFB-B2CE-11E4FC78D7E2}">
      <text>
        <r>
          <rPr>
            <b/>
            <sz val="9"/>
            <rFont val="Tahoma"/>
            <family val="2"/>
          </rPr>
          <t>Canalyst (AH):</t>
        </r>
        <r>
          <rPr>
            <sz val="9"/>
            <rFont val="Tahoma"/>
            <family val="2"/>
          </rPr>
          <t xml:space="preserve">
Adjusted for Amortization of Intangible Assets, SBC, and One-time Items</t>
        </r>
      </text>
    </comment>
    <comment ref="AK321" authorId="1" shapeId="0" xr:uid="{E5D17202-03CD-4621-A43F-7F8B4D0B02EF}">
      <text>
        <r>
          <rPr>
            <b/>
            <sz val="9"/>
            <rFont val="Tahoma"/>
            <family val="2"/>
          </rPr>
          <t>Canalyst (AH):</t>
        </r>
        <r>
          <rPr>
            <sz val="9"/>
            <rFont val="Tahoma"/>
            <family val="2"/>
          </rPr>
          <t xml:space="preserve">
Adjusted for Amortization of Intangible Assets, SBC, and One-time Items</t>
        </r>
      </text>
    </comment>
    <comment ref="AL321" authorId="1" shapeId="0" xr:uid="{04AA8359-2DDC-480A-8A33-867A9ED23917}">
      <text>
        <r>
          <rPr>
            <b/>
            <sz val="9"/>
            <rFont val="Tahoma"/>
            <family val="2"/>
          </rPr>
          <t>Canalyst (AH):</t>
        </r>
        <r>
          <rPr>
            <sz val="9"/>
            <rFont val="Tahoma"/>
            <family val="2"/>
          </rPr>
          <t xml:space="preserve">
Adjusted for Amortization of Intangible Assets, SBC, and One-time Items</t>
        </r>
      </text>
    </comment>
    <comment ref="AM321" authorId="1" shapeId="0" xr:uid="{A5C401CF-E7DA-4654-8310-F0098DD3CC7D}">
      <text>
        <r>
          <rPr>
            <b/>
            <sz val="9"/>
            <rFont val="Tahoma"/>
            <family val="2"/>
          </rPr>
          <t>Canalyst (AH):</t>
        </r>
        <r>
          <rPr>
            <sz val="9"/>
            <rFont val="Tahoma"/>
            <family val="2"/>
          </rPr>
          <t xml:space="preserve">
Adjusted for Amortization of Intangible Assets, SBC, and One-time Items</t>
        </r>
      </text>
    </comment>
    <comment ref="AN321" authorId="1" shapeId="0" xr:uid="{A5E6B44E-CBBE-4417-8473-3BE961670C19}">
      <text>
        <r>
          <rPr>
            <b/>
            <sz val="9"/>
            <rFont val="Tahoma"/>
            <family val="2"/>
          </rPr>
          <t>Canalyst (AH):</t>
        </r>
        <r>
          <rPr>
            <sz val="9"/>
            <rFont val="Tahoma"/>
            <family val="2"/>
          </rPr>
          <t xml:space="preserve">
Adjusted for Amortization of Intangible Assets, SBC, and One-time Items</t>
        </r>
      </text>
    </comment>
    <comment ref="AO321" authorId="1" shapeId="0" xr:uid="{23D61596-D656-4D68-BCAA-D01817431C02}">
      <text>
        <r>
          <rPr>
            <b/>
            <sz val="9"/>
            <rFont val="Tahoma"/>
            <family val="2"/>
          </rPr>
          <t>Canalyst (AH):</t>
        </r>
        <r>
          <rPr>
            <sz val="9"/>
            <rFont val="Tahoma"/>
            <family val="2"/>
          </rPr>
          <t xml:space="preserve">
Adjusted for Amortization of Intangible Assets, SBC, and One-time Items</t>
        </r>
      </text>
    </comment>
    <comment ref="AP321" authorId="1" shapeId="0" xr:uid="{27DDBB70-57C4-4DBE-B463-5B8269EE87F6}">
      <text>
        <r>
          <rPr>
            <b/>
            <sz val="9"/>
            <rFont val="Tahoma"/>
            <family val="2"/>
          </rPr>
          <t>Canalyst (AH):</t>
        </r>
        <r>
          <rPr>
            <sz val="9"/>
            <rFont val="Tahoma"/>
            <family val="2"/>
          </rPr>
          <t xml:space="preserve">
Adjusted for Amortization of Intangible Assets, SBC, and One-time Items</t>
        </r>
      </text>
    </comment>
    <comment ref="AQ321" authorId="1" shapeId="0" xr:uid="{14D9C514-63AC-4B96-9B69-256146503B81}">
      <text>
        <r>
          <rPr>
            <b/>
            <sz val="9"/>
            <rFont val="Tahoma"/>
            <family val="2"/>
          </rPr>
          <t>Canalyst (AH):</t>
        </r>
        <r>
          <rPr>
            <sz val="9"/>
            <rFont val="Tahoma"/>
            <family val="2"/>
          </rPr>
          <t xml:space="preserve">
Adjusted for Amortization of Intangible Assets, SBC, and One-time Items</t>
        </r>
      </text>
    </comment>
    <comment ref="AR321" authorId="1" shapeId="0" xr:uid="{152E126C-F734-4A14-9E2A-C0BC0B6C49C3}">
      <text>
        <r>
          <rPr>
            <b/>
            <sz val="9"/>
            <rFont val="Tahoma"/>
            <family val="2"/>
          </rPr>
          <t>Canalyst (AH):</t>
        </r>
        <r>
          <rPr>
            <sz val="9"/>
            <rFont val="Tahoma"/>
            <family val="2"/>
          </rPr>
          <t xml:space="preserve">
Adjusted for Amortization of Intangible Assets, SBC, and One-time Items</t>
        </r>
      </text>
    </comment>
    <comment ref="AS321" authorId="1" shapeId="0" xr:uid="{44A4EAF2-BDDA-48C4-A7FD-CAD68A9B585B}">
      <text>
        <r>
          <rPr>
            <b/>
            <sz val="9"/>
            <rFont val="Tahoma"/>
            <family val="2"/>
          </rPr>
          <t>Canalyst (AH):</t>
        </r>
        <r>
          <rPr>
            <sz val="9"/>
            <rFont val="Tahoma"/>
            <family val="2"/>
          </rPr>
          <t xml:space="preserve">
Adjusted for Amortization of Intangible Assets, SBC, and One-time Items</t>
        </r>
      </text>
    </comment>
    <comment ref="AT321" authorId="1" shapeId="0" xr:uid="{EB6D01BB-146A-4BF8-B804-2BEBDB9EE993}">
      <text>
        <r>
          <rPr>
            <b/>
            <sz val="9"/>
            <rFont val="Tahoma"/>
            <family val="2"/>
          </rPr>
          <t>Canalyst (AH):</t>
        </r>
        <r>
          <rPr>
            <sz val="9"/>
            <rFont val="Tahoma"/>
            <family val="2"/>
          </rPr>
          <t xml:space="preserve">
Adjusted for Amortization of Intangible Assets, SBC, and One-time Items</t>
        </r>
      </text>
    </comment>
    <comment ref="AU321" authorId="1" shapeId="0" xr:uid="{C6185CBC-95A2-40AC-87D6-325187B6CFF0}">
      <text>
        <r>
          <rPr>
            <b/>
            <sz val="9"/>
            <rFont val="Tahoma"/>
            <family val="2"/>
          </rPr>
          <t>Canalyst (AH):</t>
        </r>
        <r>
          <rPr>
            <sz val="9"/>
            <rFont val="Tahoma"/>
            <family val="2"/>
          </rPr>
          <t xml:space="preserve">
Adjusted for Amortization of Intangible Assets, SBC, and One-time Items</t>
        </r>
      </text>
    </comment>
    <comment ref="AV321" authorId="1" shapeId="0" xr:uid="{03390F5F-C540-4F2D-9D78-ADC30523ACF4}">
      <text>
        <r>
          <rPr>
            <b/>
            <sz val="9"/>
            <rFont val="Tahoma"/>
            <family val="2"/>
          </rPr>
          <t>Canalyst (AH):</t>
        </r>
        <r>
          <rPr>
            <sz val="9"/>
            <rFont val="Tahoma"/>
            <family val="2"/>
          </rPr>
          <t xml:space="preserve">
Adjusted for Amortization of Intangible Assets, SBC, and One-time Items</t>
        </r>
      </text>
    </comment>
    <comment ref="AW321" authorId="1" shapeId="0" xr:uid="{4A035E77-E812-403D-823C-0F6BF054FFF4}">
      <text>
        <r>
          <rPr>
            <b/>
            <sz val="9"/>
            <rFont val="Tahoma"/>
            <family val="2"/>
          </rPr>
          <t>Canalyst (AH):</t>
        </r>
        <r>
          <rPr>
            <sz val="9"/>
            <rFont val="Tahoma"/>
            <family val="2"/>
          </rPr>
          <t xml:space="preserve">
Adjusted for Amortization of Intangible Assets, SBC, and One-time Items</t>
        </r>
      </text>
    </comment>
    <comment ref="Y348" authorId="1" shapeId="0" xr:uid="{AAFFE861-1DFF-4C28-A252-2CE946C59C14}">
      <text>
        <r>
          <rPr>
            <b/>
            <sz val="9"/>
            <rFont val="Tahoma"/>
            <family val="2"/>
          </rPr>
          <t>Canalyst (SC):</t>
        </r>
        <r>
          <rPr>
            <sz val="9"/>
            <rFont val="Tahoma"/>
            <family val="2"/>
          </rPr>
          <t xml:space="preserve">
Company reported 
$0.21</t>
        </r>
      </text>
    </comment>
    <comment ref="C351" authorId="2" shapeId="0" xr:uid="{0F5FD7E7-E304-4AB6-A432-9DC076183808}">
      <text>
        <r>
          <rPr>
            <b/>
            <sz val="9"/>
            <rFont val="Tahoma"/>
            <family val="2"/>
            <charset val="1"/>
          </rPr>
          <t>Canalyst (SC):</t>
        </r>
        <r>
          <rPr>
            <sz val="9"/>
            <rFont val="Tahoma"/>
            <family val="2"/>
            <charset val="1"/>
          </rPr>
          <t xml:space="preserve">
Adjusted for 2:1 stock split that was effective July 27, 2011</t>
        </r>
      </text>
    </comment>
    <comment ref="C352" authorId="2" shapeId="0" xr:uid="{7C883C01-A6FB-4844-8BC8-E9B247F566D2}">
      <text>
        <r>
          <rPr>
            <b/>
            <sz val="9"/>
            <rFont val="Tahoma"/>
            <family val="2"/>
            <charset val="1"/>
          </rPr>
          <t>Canalyst (SC):</t>
        </r>
        <r>
          <rPr>
            <sz val="9"/>
            <rFont val="Tahoma"/>
            <family val="2"/>
            <charset val="1"/>
          </rPr>
          <t xml:space="preserve">
Adjusted for 2:1 stock split that was effective July 27, 2011</t>
        </r>
      </text>
    </comment>
    <comment ref="C353" authorId="2" shapeId="0" xr:uid="{B69A9FE4-1B7F-4E62-9B12-A8993F513EE5}">
      <text>
        <r>
          <rPr>
            <b/>
            <sz val="9"/>
            <rFont val="Tahoma"/>
            <family val="2"/>
            <charset val="1"/>
          </rPr>
          <t>Canalyst (SC):</t>
        </r>
        <r>
          <rPr>
            <sz val="9"/>
            <rFont val="Tahoma"/>
            <family val="2"/>
            <charset val="1"/>
          </rPr>
          <t xml:space="preserve">
Adjusted for 2:1 stock split that was effective July 27, 2011</t>
        </r>
      </text>
    </comment>
    <comment ref="H362" authorId="2" shapeId="0" xr:uid="{DF77DD91-E25B-45AE-97F5-7C9D5EC0C8B2}">
      <text>
        <r>
          <rPr>
            <b/>
            <sz val="9"/>
            <rFont val="Tahoma"/>
            <family val="2"/>
            <charset val="1"/>
          </rPr>
          <t>Canalyst (SC):</t>
        </r>
        <r>
          <rPr>
            <sz val="9"/>
            <rFont val="Tahoma"/>
            <family val="2"/>
            <charset val="1"/>
          </rPr>
          <t xml:space="preserve">
Acquisition of Mirth. </t>
        </r>
      </text>
    </comment>
    <comment ref="T362" authorId="2" shapeId="0" xr:uid="{58C00BEE-764C-4165-B2DE-8E0BAB74B34D}">
      <text>
        <r>
          <rPr>
            <b/>
            <sz val="9"/>
            <rFont val="Tahoma"/>
            <family val="2"/>
          </rPr>
          <t>Canalyst (SC):</t>
        </r>
        <r>
          <rPr>
            <sz val="9"/>
            <rFont val="Tahoma"/>
            <family val="2"/>
          </rPr>
          <t xml:space="preserve">
Includes acquisition of HealthFusion Holdings</t>
        </r>
      </text>
    </comment>
    <comment ref="AA362" authorId="1" shapeId="0" xr:uid="{00000000-0006-0000-0100-000014000000}">
      <text>
        <r>
          <rPr>
            <b/>
            <sz val="9"/>
            <rFont val="Tahoma"/>
            <family val="2"/>
          </rPr>
          <t>Canalyst (AH):</t>
        </r>
        <r>
          <rPr>
            <sz val="9"/>
            <rFont val="Tahoma"/>
            <family val="2"/>
          </rPr>
          <t xml:space="preserve">
Acquisition of Entrada</t>
        </r>
      </text>
    </comment>
    <comment ref="AB362" authorId="1" shapeId="0" xr:uid="{00000000-0006-0000-0100-000015000000}">
      <text>
        <r>
          <rPr>
            <b/>
            <sz val="9"/>
            <rFont val="Tahoma"/>
            <family val="2"/>
          </rPr>
          <t>Canalyst (AH):</t>
        </r>
        <r>
          <rPr>
            <sz val="9"/>
            <rFont val="Tahoma"/>
            <family val="2"/>
          </rPr>
          <t xml:space="preserve">
Acquisition of EagleDream Health</t>
        </r>
      </text>
    </comment>
    <comment ref="AM362" authorId="1" shapeId="0" xr:uid="{4B9A480F-8AD6-4A05-97FA-8D47FD437969}">
      <text>
        <r>
          <rPr>
            <b/>
            <sz val="9"/>
            <rFont val="Tahoma"/>
            <family val="2"/>
          </rPr>
          <t>Canalyst (AH):</t>
        </r>
        <r>
          <rPr>
            <sz val="9"/>
            <rFont val="Tahoma"/>
            <family val="2"/>
          </rPr>
          <t xml:space="preserve">
Acquisitions of Topaz Information Systems, Medfusion and OTTO Health</t>
        </r>
      </text>
    </comment>
    <comment ref="AA479" authorId="1" shapeId="0" xr:uid="{B2E2A1B0-BDA0-4EBC-8CC0-4C5F539F4E42}">
      <text>
        <r>
          <rPr>
            <b/>
            <sz val="9"/>
            <rFont val="Tahoma"/>
            <family val="2"/>
            <charset val="1"/>
          </rPr>
          <t>Canalyst (AH):</t>
        </r>
        <r>
          <rPr>
            <sz val="9"/>
            <rFont val="Tahoma"/>
            <family val="2"/>
            <charset val="1"/>
          </rPr>
          <t xml:space="preserve">
Hardcode as reported</t>
        </r>
      </text>
    </comment>
    <comment ref="AB479" authorId="1" shapeId="0" xr:uid="{86F96B93-F1D2-47D5-8E90-623C441FA946}">
      <text>
        <r>
          <rPr>
            <b/>
            <sz val="9"/>
            <rFont val="Tahoma"/>
            <family val="2"/>
            <charset val="1"/>
          </rPr>
          <t>Canalyst (AH):</t>
        </r>
        <r>
          <rPr>
            <sz val="9"/>
            <rFont val="Tahoma"/>
            <family val="2"/>
            <charset val="1"/>
          </rPr>
          <t xml:space="preserve">
Hardcode as reported</t>
        </r>
      </text>
    </comment>
    <comment ref="AA543" authorId="1" shapeId="0" xr:uid="{5FAA83C5-60DE-41F9-AC1B-B973E96B396D}">
      <text>
        <r>
          <rPr>
            <b/>
            <sz val="9"/>
            <rFont val="Tahoma"/>
            <family val="2"/>
            <charset val="1"/>
          </rPr>
          <t>Canalyst (AH):</t>
        </r>
        <r>
          <rPr>
            <sz val="9"/>
            <rFont val="Tahoma"/>
            <family val="2"/>
            <charset val="1"/>
          </rPr>
          <t xml:space="preserve">
Cash Balance is as reported</t>
        </r>
      </text>
    </comment>
    <comment ref="AB543" authorId="1" shapeId="0" xr:uid="{F4A1144D-37DB-45A8-B706-1C781D42FDBB}">
      <text>
        <r>
          <rPr>
            <b/>
            <sz val="9"/>
            <rFont val="Tahoma"/>
            <family val="2"/>
            <charset val="1"/>
          </rPr>
          <t>Canalyst (AH):</t>
        </r>
        <r>
          <rPr>
            <sz val="9"/>
            <rFont val="Tahoma"/>
            <family val="2"/>
            <charset val="1"/>
          </rPr>
          <t xml:space="preserve">
Cash Balance is as reported</t>
        </r>
      </text>
    </comment>
    <comment ref="AC543" authorId="1" shapeId="0" xr:uid="{828C2F87-2C5A-4BCB-96EB-15FCABC51ADE}">
      <text>
        <r>
          <rPr>
            <b/>
            <sz val="9"/>
            <rFont val="Tahoma"/>
            <family val="2"/>
            <charset val="1"/>
          </rPr>
          <t>Canalyst (AH):</t>
        </r>
        <r>
          <rPr>
            <sz val="9"/>
            <rFont val="Tahoma"/>
            <family val="2"/>
            <charset val="1"/>
          </rPr>
          <t xml:space="preserve">
Cash Balance is as reported</t>
        </r>
      </text>
    </comment>
    <comment ref="AA546" authorId="3" shapeId="0" xr:uid="{74564996-BEE1-4F89-99E5-E3D086469256}">
      <text>
        <r>
          <rPr>
            <b/>
            <sz val="9"/>
            <rFont val="Tahoma"/>
            <family val="2"/>
          </rPr>
          <t>Canalyst (SC):</t>
        </r>
        <r>
          <rPr>
            <sz val="9"/>
            <rFont val="Tahoma"/>
            <family val="2"/>
          </rPr>
          <t xml:space="preserve">
Formula adjusted for restricted cash.</t>
        </r>
      </text>
    </comment>
    <comment ref="AB546" authorId="3" shapeId="0" xr:uid="{C8EE7206-DADE-4C19-8226-42ADFD439016}">
      <text>
        <r>
          <rPr>
            <b/>
            <sz val="9"/>
            <rFont val="Tahoma"/>
            <family val="2"/>
          </rPr>
          <t>Canalyst (SC):</t>
        </r>
        <r>
          <rPr>
            <sz val="9"/>
            <rFont val="Tahoma"/>
            <family val="2"/>
          </rPr>
          <t xml:space="preserve">
Formula adjusted for restricted cash.</t>
        </r>
      </text>
    </comment>
    <comment ref="AC546" authorId="3" shapeId="0" xr:uid="{58B00E5D-BD6A-4216-8A30-D818C7B6D6FD}">
      <text>
        <r>
          <rPr>
            <b/>
            <sz val="9"/>
            <rFont val="Tahoma"/>
            <family val="2"/>
          </rPr>
          <t>Canalyst (SC):</t>
        </r>
        <r>
          <rPr>
            <sz val="9"/>
            <rFont val="Tahoma"/>
            <family val="2"/>
          </rPr>
          <t xml:space="preserve">
Formula adjusted for restricted cash.</t>
        </r>
      </text>
    </comment>
    <comment ref="AD546" authorId="3" shapeId="0" xr:uid="{75F4054A-C355-4470-9277-661BDCF25B02}">
      <text>
        <r>
          <rPr>
            <b/>
            <sz val="9"/>
            <rFont val="Tahoma"/>
            <family val="2"/>
          </rPr>
          <t>Canalyst (SC):</t>
        </r>
        <r>
          <rPr>
            <sz val="9"/>
            <rFont val="Tahoma"/>
            <family val="2"/>
          </rPr>
          <t xml:space="preserve">
Formula adjusted for restricted cash.</t>
        </r>
      </text>
    </comment>
    <comment ref="AE546" authorId="3" shapeId="0" xr:uid="{B0F8F858-F91E-4A97-A78F-D48A0CD18E9B}">
      <text>
        <r>
          <rPr>
            <b/>
            <sz val="9"/>
            <rFont val="Tahoma"/>
            <family val="2"/>
          </rPr>
          <t>Canalyst (SC):</t>
        </r>
        <r>
          <rPr>
            <sz val="9"/>
            <rFont val="Tahoma"/>
            <family val="2"/>
          </rPr>
          <t xml:space="preserve">
Formula adjusted for restricted cash.</t>
        </r>
      </text>
    </comment>
    <comment ref="R630" authorId="1" shapeId="0" xr:uid="{9516642D-ABDB-4876-B47E-E0E229F0F17F}">
      <text>
        <r>
          <rPr>
            <b/>
            <sz val="9"/>
            <rFont val="Tahoma"/>
            <family val="2"/>
          </rPr>
          <t>Canalyst (AH):</t>
        </r>
        <r>
          <rPr>
            <sz val="9"/>
            <rFont val="Tahoma"/>
            <family val="2"/>
          </rPr>
          <t xml:space="preserve">
Due to rounding error</t>
        </r>
      </text>
    </comment>
    <comment ref="S630" authorId="1" shapeId="0" xr:uid="{9C7F7860-B7B3-4B79-80B3-5942F06BA60B}">
      <text>
        <r>
          <rPr>
            <b/>
            <sz val="9"/>
            <rFont val="Tahoma"/>
            <family val="2"/>
          </rPr>
          <t>Canalyst (AH):</t>
        </r>
        <r>
          <rPr>
            <sz val="9"/>
            <rFont val="Tahoma"/>
            <family val="2"/>
          </rPr>
          <t xml:space="preserve">
Due to rounding error</t>
        </r>
      </text>
    </comment>
    <comment ref="T630" authorId="1" shapeId="0" xr:uid="{FA6C7CE5-0D7B-49D1-9909-565DE5D76B5B}">
      <text>
        <r>
          <rPr>
            <b/>
            <sz val="9"/>
            <rFont val="Tahoma"/>
            <family val="2"/>
          </rPr>
          <t>Canalyst (AH):</t>
        </r>
        <r>
          <rPr>
            <sz val="9"/>
            <rFont val="Tahoma"/>
            <family val="2"/>
          </rPr>
          <t xml:space="preserve">
Due to rounding error</t>
        </r>
      </text>
    </comment>
    <comment ref="U630" authorId="1" shapeId="0" xr:uid="{8E514155-F522-494A-BBCF-839211AAF5EE}">
      <text>
        <r>
          <rPr>
            <b/>
            <sz val="9"/>
            <rFont val="Tahoma"/>
            <family val="2"/>
          </rPr>
          <t>Canalyst (AH):</t>
        </r>
        <r>
          <rPr>
            <sz val="9"/>
            <rFont val="Tahoma"/>
            <family val="2"/>
          </rPr>
          <t xml:space="preserve">
Due to rounding error</t>
        </r>
      </text>
    </comment>
    <comment ref="AH630" authorId="1" shapeId="0" xr:uid="{3D963485-66A8-4C5C-8399-E6E7D0CC1D24}">
      <text>
        <r>
          <rPr>
            <b/>
            <sz val="9"/>
            <rFont val="Tahoma"/>
            <family val="2"/>
          </rPr>
          <t>Canalyst (AH):</t>
        </r>
        <r>
          <rPr>
            <sz val="9"/>
            <rFont val="Tahoma"/>
            <family val="2"/>
          </rPr>
          <t xml:space="preserve">
Due to rounding error</t>
        </r>
      </text>
    </comment>
    <comment ref="AI630" authorId="1" shapeId="0" xr:uid="{70BA5B77-6E37-4003-9C4C-274397B0EAA6}">
      <text>
        <r>
          <rPr>
            <b/>
            <sz val="9"/>
            <rFont val="Tahoma"/>
            <family val="2"/>
          </rPr>
          <t>Canalyst (AH):</t>
        </r>
        <r>
          <rPr>
            <sz val="9"/>
            <rFont val="Tahoma"/>
            <family val="2"/>
          </rPr>
          <t xml:space="preserve">
Due to rounding error</t>
        </r>
      </text>
    </comment>
    <comment ref="AL630" authorId="1" shapeId="0" xr:uid="{F9D2C1C6-2C4F-48F6-9E1C-DF0248333541}">
      <text>
        <r>
          <rPr>
            <b/>
            <sz val="9"/>
            <rFont val="Tahoma"/>
            <family val="2"/>
          </rPr>
          <t>Canalyst (AH):</t>
        </r>
        <r>
          <rPr>
            <sz val="9"/>
            <rFont val="Tahoma"/>
            <family val="2"/>
          </rPr>
          <t xml:space="preserve">
Due to rounding error</t>
        </r>
      </text>
    </comment>
    <comment ref="R631" authorId="1" shapeId="0" xr:uid="{0824A6F2-6072-4DA0-9435-32FAFE3A0B52}">
      <text>
        <r>
          <rPr>
            <b/>
            <sz val="9"/>
            <rFont val="Tahoma"/>
            <family val="2"/>
          </rPr>
          <t>Canalyst (AH):</t>
        </r>
        <r>
          <rPr>
            <sz val="9"/>
            <rFont val="Tahoma"/>
            <family val="2"/>
          </rPr>
          <t xml:space="preserve">
Due to rounding error</t>
        </r>
      </text>
    </comment>
    <comment ref="S631" authorId="1" shapeId="0" xr:uid="{CE3748F7-6F49-49AE-BCBA-4F0B40EE4641}">
      <text>
        <r>
          <rPr>
            <b/>
            <sz val="9"/>
            <rFont val="Tahoma"/>
            <family val="2"/>
          </rPr>
          <t>Canalyst (AH):</t>
        </r>
        <r>
          <rPr>
            <sz val="9"/>
            <rFont val="Tahoma"/>
            <family val="2"/>
          </rPr>
          <t xml:space="preserve">
Due to rounding error</t>
        </r>
      </text>
    </comment>
    <comment ref="T631" authorId="1" shapeId="0" xr:uid="{CCC33C79-480A-4020-85F1-3B091D393CD8}">
      <text>
        <r>
          <rPr>
            <b/>
            <sz val="9"/>
            <rFont val="Tahoma"/>
            <family val="2"/>
          </rPr>
          <t>Canalyst (AH):</t>
        </r>
        <r>
          <rPr>
            <sz val="9"/>
            <rFont val="Tahoma"/>
            <family val="2"/>
          </rPr>
          <t xml:space="preserve">
Due to rounding error</t>
        </r>
      </text>
    </comment>
    <comment ref="U631" authorId="1" shapeId="0" xr:uid="{BE587773-E0E9-48B7-BC2F-9DA0732F32ED}">
      <text>
        <r>
          <rPr>
            <b/>
            <sz val="9"/>
            <rFont val="Tahoma"/>
            <family val="2"/>
          </rPr>
          <t>Canalyst (AH):</t>
        </r>
        <r>
          <rPr>
            <sz val="9"/>
            <rFont val="Tahoma"/>
            <family val="2"/>
          </rPr>
          <t xml:space="preserve">
Due to rounding error</t>
        </r>
      </text>
    </comment>
    <comment ref="AH631" authorId="1" shapeId="0" xr:uid="{B6DA0EDD-C633-41FF-AB3D-132E34DDF84A}">
      <text>
        <r>
          <rPr>
            <b/>
            <sz val="9"/>
            <rFont val="Tahoma"/>
            <family val="2"/>
          </rPr>
          <t>Canalyst (AH):</t>
        </r>
        <r>
          <rPr>
            <sz val="9"/>
            <rFont val="Tahoma"/>
            <family val="2"/>
          </rPr>
          <t xml:space="preserve">
Due to rounding error</t>
        </r>
      </text>
    </comment>
    <comment ref="AI631" authorId="1" shapeId="0" xr:uid="{DD2E3854-9601-47D0-AA25-45F2A0392314}">
      <text>
        <r>
          <rPr>
            <b/>
            <sz val="9"/>
            <rFont val="Tahoma"/>
            <family val="2"/>
          </rPr>
          <t>Canalyst (AH):</t>
        </r>
        <r>
          <rPr>
            <sz val="9"/>
            <rFont val="Tahoma"/>
            <family val="2"/>
          </rPr>
          <t xml:space="preserve">
Due to rounding error</t>
        </r>
      </text>
    </comment>
    <comment ref="AL631" authorId="1" shapeId="0" xr:uid="{129316FC-C251-4BBF-82C5-C9475CB9D7C9}">
      <text>
        <r>
          <rPr>
            <b/>
            <sz val="9"/>
            <rFont val="Tahoma"/>
            <family val="2"/>
          </rPr>
          <t>Canalyst (AH):</t>
        </r>
        <r>
          <rPr>
            <sz val="9"/>
            <rFont val="Tahoma"/>
            <family val="2"/>
          </rPr>
          <t xml:space="preserve">
Due to rounding error</t>
        </r>
      </text>
    </comment>
    <comment ref="K641" authorId="1" shapeId="0" xr:uid="{29E1E80A-0866-4291-969F-1CBCE5018815}">
      <text>
        <r>
          <rPr>
            <b/>
            <sz val="9"/>
            <rFont val="Tahoma"/>
            <family val="2"/>
          </rPr>
          <t>Canalyst (AH):</t>
        </r>
        <r>
          <rPr>
            <sz val="9"/>
            <rFont val="Tahoma"/>
            <family val="2"/>
          </rPr>
          <t xml:space="preserve">
Adjusted numbers are as reported</t>
        </r>
      </text>
    </comment>
    <comment ref="P641" authorId="4" shapeId="0" xr:uid="{00000000-0006-0000-0100-000028000000}">
      <text>
        <r>
          <rPr>
            <b/>
            <sz val="9"/>
            <rFont val="Tahoma"/>
            <family val="2"/>
          </rPr>
          <t>Canalyst (JW):</t>
        </r>
        <r>
          <rPr>
            <sz val="9"/>
            <rFont val="Tahoma"/>
            <family val="2"/>
          </rPr>
          <t xml:space="preserve">
Company rounding errors.</t>
        </r>
      </text>
    </comment>
    <comment ref="U641" authorId="4" shapeId="0" xr:uid="{00000000-0006-0000-0100-000029000000}">
      <text>
        <r>
          <rPr>
            <b/>
            <sz val="9"/>
            <rFont val="Tahoma"/>
            <family val="2"/>
          </rPr>
          <t>Canalyst (JW):</t>
        </r>
        <r>
          <rPr>
            <sz val="9"/>
            <rFont val="Tahoma"/>
            <family val="2"/>
          </rPr>
          <t xml:space="preserve">
Company rounding errors.</t>
        </r>
      </text>
    </comment>
    <comment ref="K646" authorId="1" shapeId="0" xr:uid="{253261D8-7829-4B03-A33A-2C75167352A3}">
      <text>
        <r>
          <rPr>
            <b/>
            <sz val="9"/>
            <rFont val="Tahoma"/>
            <family val="2"/>
          </rPr>
          <t>Canalyst (AH):</t>
        </r>
        <r>
          <rPr>
            <sz val="9"/>
            <rFont val="Tahoma"/>
            <family val="2"/>
          </rPr>
          <t xml:space="preserve">
Adjusted numbers are as reported</t>
        </r>
      </text>
    </comment>
    <comment ref="P646" authorId="4" shapeId="0" xr:uid="{00000000-0006-0000-0100-00002C000000}">
      <text>
        <r>
          <rPr>
            <b/>
            <sz val="9"/>
            <rFont val="Tahoma"/>
            <family val="2"/>
          </rPr>
          <t>Canalyst (JW):</t>
        </r>
        <r>
          <rPr>
            <sz val="9"/>
            <rFont val="Tahoma"/>
            <family val="2"/>
          </rPr>
          <t xml:space="preserve">
Company rounding errors.</t>
        </r>
      </text>
    </comment>
    <comment ref="U646" authorId="4" shapeId="0" xr:uid="{00000000-0006-0000-0100-00002D000000}">
      <text>
        <r>
          <rPr>
            <b/>
            <sz val="9"/>
            <rFont val="Tahoma"/>
            <family val="2"/>
          </rPr>
          <t>Canalyst (JW):</t>
        </r>
        <r>
          <rPr>
            <sz val="9"/>
            <rFont val="Tahoma"/>
            <family val="2"/>
          </rPr>
          <t xml:space="preserve">
Company rounding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Canalyst (CC)</author>
  </authors>
  <commentList>
    <comment ref="A4" authorId="0" shapeId="0" xr:uid="{00000000-0006-0000-0200-000001000000}">
      <text>
        <r>
          <rPr>
            <b/>
            <sz val="9"/>
            <rFont val="Tahoma"/>
            <family val="2"/>
          </rPr>
          <t>Canalyst:</t>
        </r>
        <r>
          <rPr>
            <sz val="9"/>
            <rFont val="Tahoma"/>
            <family val="2"/>
          </rPr>
          <t xml:space="preserve">
Sort Largest to Smallest to return to default.</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4"/>
        </ext>
      </extLst>
    </bk>
  </futureMetadata>
  <cellMetadata count="1">
    <bk>
      <rc t="1" v="0"/>
    </bk>
  </cellMetadata>
  <valueMetadata count="2">
    <bk>
      <rc t="2" v="0"/>
    </bk>
    <bk>
      <rc t="2" v="1"/>
    </bk>
  </valueMetadata>
</metadata>
</file>

<file path=xl/sharedStrings.xml><?xml version="1.0" encoding="utf-8"?>
<sst xmlns="http://schemas.openxmlformats.org/spreadsheetml/2006/main" count="1133" uniqueCount="929">
  <si>
    <t xml:space="preserve">Please contact this email for any model-specific questions: </t>
  </si>
  <si>
    <t>support@canalyst.com</t>
  </si>
  <si>
    <t>Company Model:</t>
  </si>
  <si>
    <t>Comments on Model:</t>
  </si>
  <si>
    <t xml:space="preserve">Updated: </t>
  </si>
  <si>
    <t>For:</t>
  </si>
  <si>
    <t>Consensus Data and Real-Time Stock Price:</t>
  </si>
  <si>
    <t>Bloomberg</t>
  </si>
  <si>
    <t>Real-Time Stock Price:</t>
  </si>
  <si>
    <t>Stock Price Override:</t>
  </si>
  <si>
    <t>NextGen Healthcare</t>
  </si>
  <si>
    <t>USD</t>
  </si>
  <si>
    <t>FY2010</t>
  </si>
  <si>
    <t>Growth Analysis</t>
  </si>
  <si>
    <t>Margin Analysis</t>
  </si>
  <si>
    <t>R&amp;D Margin, %</t>
  </si>
  <si>
    <t>EBITDA Margin, %</t>
  </si>
  <si>
    <t>Income Statement - As Reported</t>
  </si>
  <si>
    <t>Software license and hardware</t>
  </si>
  <si>
    <t>Software related subscription services</t>
  </si>
  <si>
    <t>Total software, hardware and related revenues</t>
  </si>
  <si>
    <t>Support and maintenance</t>
  </si>
  <si>
    <t>Revenue cycle management and related services</t>
  </si>
  <si>
    <t>Electronic data interchange and data services</t>
  </si>
  <si>
    <t>Professional services</t>
  </si>
  <si>
    <t>Total maintenance, EDI, RCM and other services revenues</t>
  </si>
  <si>
    <t>Recurring</t>
  </si>
  <si>
    <t>Software, hardware, and other non-recurring</t>
  </si>
  <si>
    <t>Total revenue</t>
  </si>
  <si>
    <t>Total software, hardware and related cost of revenues</t>
  </si>
  <si>
    <t>Total cost of maintenance, EDI, RCM and other services</t>
  </si>
  <si>
    <t>Amortization of capitalized software costs and acquired intangible assets</t>
  </si>
  <si>
    <t>Total cost of revenue</t>
  </si>
  <si>
    <t>Gross Profit</t>
  </si>
  <si>
    <t>Selling, general and administrative</t>
  </si>
  <si>
    <t>Research and development costs, net</t>
  </si>
  <si>
    <t>Amortization of acquired intangible assets</t>
  </si>
  <si>
    <t>Impairment of assets</t>
  </si>
  <si>
    <t>Restructuring costs</t>
  </si>
  <si>
    <t>Total Operating Expenses</t>
  </si>
  <si>
    <t>Income from operations</t>
  </si>
  <si>
    <t>Interest income</t>
  </si>
  <si>
    <t>Interest expense</t>
  </si>
  <si>
    <t>Other expense, net</t>
  </si>
  <si>
    <t>Income (loss) before provision for (benefit of) income taxes</t>
  </si>
  <si>
    <t>Provision for (benefit of) income taxes</t>
  </si>
  <si>
    <t>Net income (loss)</t>
  </si>
  <si>
    <t>IS Check</t>
  </si>
  <si>
    <t>Adjusted Numbers - As Reported</t>
  </si>
  <si>
    <t>Income before provision for income taxes - GAAP</t>
  </si>
  <si>
    <t>Impairment of other assets</t>
  </si>
  <si>
    <t>Share-based compensation</t>
  </si>
  <si>
    <t>Acquisition and disposition costs, net</t>
  </si>
  <si>
    <t>Amortization of deferred debt issuance costs</t>
  </si>
  <si>
    <t>Loss on disposition of Hospital Solutions Division and related costs</t>
  </si>
  <si>
    <t>Impairment of assets and related wind-down costs</t>
  </si>
  <si>
    <t>Securities litigation defense costs, net of insurance</t>
  </si>
  <si>
    <t>Other non-run-rate expenses</t>
  </si>
  <si>
    <t>Proxy contest expense</t>
  </si>
  <si>
    <t>Income before provision for income taxes - Non-GAAP</t>
  </si>
  <si>
    <t>Provision for income taxes</t>
  </si>
  <si>
    <t>Net Income - Non-GAAP</t>
  </si>
  <si>
    <t>Revised Income Statement</t>
  </si>
  <si>
    <t>Net Revenue</t>
  </si>
  <si>
    <t>EBITDA</t>
  </si>
  <si>
    <t>SBC</t>
  </si>
  <si>
    <t>EBIT</t>
  </si>
  <si>
    <t>Other items</t>
  </si>
  <si>
    <t>One-time item</t>
  </si>
  <si>
    <t>EBT</t>
  </si>
  <si>
    <t>Current tax</t>
  </si>
  <si>
    <t>Deferred tax</t>
  </si>
  <si>
    <t>Net Income from Continued Operation</t>
  </si>
  <si>
    <t>Discontinued Operations</t>
  </si>
  <si>
    <t>Net Income to NCI</t>
  </si>
  <si>
    <t>Earnings to Preferred and Other Securities</t>
  </si>
  <si>
    <t>Net Income to Common Shareholders</t>
  </si>
  <si>
    <t>Adjustments for Convertible Securities</t>
  </si>
  <si>
    <t>Diluted Net Income to Common Shareholders</t>
  </si>
  <si>
    <t>Non-GAAP Adjustments</t>
  </si>
  <si>
    <t>Non-GAAP Adjustments for Dilutive Securities</t>
  </si>
  <si>
    <t>Adjusted Net Income</t>
  </si>
  <si>
    <t>Current tax rate</t>
  </si>
  <si>
    <t>Deferred tax rate</t>
  </si>
  <si>
    <t>Earnings Per Share - WAB</t>
  </si>
  <si>
    <t>Earnings Per Share - WAD</t>
  </si>
  <si>
    <t>Adjusted Earnings Per Share - WAD</t>
  </si>
  <si>
    <t>Shares Outstanding - WAB</t>
  </si>
  <si>
    <t>Shares Outstanding - WAD</t>
  </si>
  <si>
    <t>Adjusted Shares Outstanding - WAD</t>
  </si>
  <si>
    <t>Cash Flow Summary</t>
  </si>
  <si>
    <t>Operating Cash Flow before WC</t>
  </si>
  <si>
    <t>Cash Flow Per Diluted Share</t>
  </si>
  <si>
    <t>Capex</t>
  </si>
  <si>
    <t>Acquisitions</t>
  </si>
  <si>
    <t>Divestiture</t>
  </si>
  <si>
    <t>Dividend Paid</t>
  </si>
  <si>
    <t>Dividend Per Share</t>
  </si>
  <si>
    <t>FCF, Pre Div</t>
  </si>
  <si>
    <t>FCF, Post Div Pre A/D</t>
  </si>
  <si>
    <t>FCF, Post Div Post A/D</t>
  </si>
  <si>
    <t>Balance Sheet Summary</t>
  </si>
  <si>
    <t>Cash</t>
  </si>
  <si>
    <t>Debt</t>
  </si>
  <si>
    <t>Net Debt</t>
  </si>
  <si>
    <t>Net Debt / EBITDA</t>
  </si>
  <si>
    <t>Net Debt / Cash Flow</t>
  </si>
  <si>
    <t>Valuation</t>
  </si>
  <si>
    <t>Avg</t>
  </si>
  <si>
    <t>Enterprise Value Components</t>
  </si>
  <si>
    <t>Noncontrolling Interest</t>
  </si>
  <si>
    <t>Preferred Shares</t>
  </si>
  <si>
    <t>Other EV Components</t>
  </si>
  <si>
    <t>Cumulative Cash Flow Statement</t>
  </si>
  <si>
    <t>CFO</t>
  </si>
  <si>
    <t>Depreciation</t>
  </si>
  <si>
    <t>Amortization of capitalized software costs</t>
  </si>
  <si>
    <t>Amortization of other intangibles</t>
  </si>
  <si>
    <t>Amortization of debt issuance costs</t>
  </si>
  <si>
    <t>Loss on disposal of equipment and improvements</t>
  </si>
  <si>
    <t>Provision for bad debts</t>
  </si>
  <si>
    <t>Provision for inventory obsolescence</t>
  </si>
  <si>
    <t>Deferred income taxes</t>
  </si>
  <si>
    <t>Excess tax benefit from share-based compensation</t>
  </si>
  <si>
    <t>Change in fair value of contingent consideration</t>
  </si>
  <si>
    <t>Loss on disposition of Hospital Solutions Division</t>
  </si>
  <si>
    <t>Restructuring costs, net of amounts paid</t>
  </si>
  <si>
    <t>CFO before WC</t>
  </si>
  <si>
    <t>Accounts receivable</t>
  </si>
  <si>
    <t>Inventories</t>
  </si>
  <si>
    <t>Income taxes receivable</t>
  </si>
  <si>
    <t>Other current assets</t>
  </si>
  <si>
    <t>Other assets</t>
  </si>
  <si>
    <t>Accounts payable</t>
  </si>
  <si>
    <t>Deferred revenue</t>
  </si>
  <si>
    <t>Accrued compensation and related benefits</t>
  </si>
  <si>
    <t>Income taxes</t>
  </si>
  <si>
    <t>Other current liabilities</t>
  </si>
  <si>
    <t>Deferred compensation</t>
  </si>
  <si>
    <t>Contract assets</t>
  </si>
  <si>
    <t>Contract liabilities</t>
  </si>
  <si>
    <t>Other assets and liabilities</t>
  </si>
  <si>
    <t>Net CFO</t>
  </si>
  <si>
    <t>CFI</t>
  </si>
  <si>
    <t>Additions to capitalized software costs</t>
  </si>
  <si>
    <t>Proceeds from sales and maturities of marketable securities</t>
  </si>
  <si>
    <t>Additions to equipment and improvements</t>
  </si>
  <si>
    <t>Proceeds for disposal of equipment and improvements</t>
  </si>
  <si>
    <t>Purchases of marketable securities</t>
  </si>
  <si>
    <t>Payments for acquisitions, net of cash acquired</t>
  </si>
  <si>
    <t>HealthFusion working capital adjustment payment</t>
  </si>
  <si>
    <t>Net CFI</t>
  </si>
  <si>
    <t>CFF</t>
  </si>
  <si>
    <t>Proceeds from line of credit</t>
  </si>
  <si>
    <t>Principal repayments on line of credit</t>
  </si>
  <si>
    <t>Proceeds from issuance of shares under employee plans</t>
  </si>
  <si>
    <t>Dividends paid</t>
  </si>
  <si>
    <t>Payment of debt issuance costs</t>
  </si>
  <si>
    <t>Payment of contingent consideration related to acquisitions</t>
  </si>
  <si>
    <t>Cancellation of shares related to tax withholdings for vesting of equity awards</t>
  </si>
  <si>
    <t>Net CFF</t>
  </si>
  <si>
    <t>FX</t>
  </si>
  <si>
    <t>Net Change in Cash Balance</t>
  </si>
  <si>
    <t>Beginning Cash Balance</t>
  </si>
  <si>
    <t>Ending Cash Balance</t>
  </si>
  <si>
    <t>Cash Flow Statement</t>
  </si>
  <si>
    <t>CF Check</t>
  </si>
  <si>
    <t>Balance Sheet</t>
  </si>
  <si>
    <t>Current Assets</t>
  </si>
  <si>
    <t>Cash and cash equivalents</t>
  </si>
  <si>
    <t>Restricted cash and cash equivalents</t>
  </si>
  <si>
    <t>Marketable securities</t>
  </si>
  <si>
    <t>Accounts receivable, net</t>
  </si>
  <si>
    <t>Prepaid expenses and other current assets</t>
  </si>
  <si>
    <t>Total Current Assets</t>
  </si>
  <si>
    <t>Non-Current Assets</t>
  </si>
  <si>
    <t>Equipment and improvements, net</t>
  </si>
  <si>
    <t>Capitalized software costs, net</t>
  </si>
  <si>
    <t>Deferred income taxes, net</t>
  </si>
  <si>
    <t>Goodwill</t>
  </si>
  <si>
    <t>Contract assets, net of current</t>
  </si>
  <si>
    <t>Total Non-Current Assets</t>
  </si>
  <si>
    <t>Total Assets</t>
  </si>
  <si>
    <t>Current Liabilities</t>
  </si>
  <si>
    <t>Income taxes payable</t>
  </si>
  <si>
    <t>Dividends payable</t>
  </si>
  <si>
    <t>Total Current Liabilities</t>
  </si>
  <si>
    <t>Non-Current Liabilities</t>
  </si>
  <si>
    <t>Deferred revenue, net of current</t>
  </si>
  <si>
    <t>Line of credit</t>
  </si>
  <si>
    <t>Other noncurrent liabilities</t>
  </si>
  <si>
    <t>Total Non-Current liabilities</t>
  </si>
  <si>
    <t>Total Liabilities</t>
  </si>
  <si>
    <t>Shareholders' Equity</t>
  </si>
  <si>
    <t>Common stock</t>
  </si>
  <si>
    <t>Additional paid-in capital</t>
  </si>
  <si>
    <t>Accumulated other comprehensive loss</t>
  </si>
  <si>
    <t>Retained earnings</t>
  </si>
  <si>
    <t>Total SE</t>
  </si>
  <si>
    <t>NCI</t>
  </si>
  <si>
    <t>Total Liabilities &amp; SE</t>
  </si>
  <si>
    <t>BS Check</t>
  </si>
  <si>
    <t>Model Checks</t>
  </si>
  <si>
    <t>Net Income on Revised IS = NI on CF statement</t>
  </si>
  <si>
    <t>Net Income on Reported IS = NI on Revised</t>
  </si>
  <si>
    <t>Segmented Revenue = Revenue</t>
  </si>
  <si>
    <t>Cash Flow is not Repeated</t>
  </si>
  <si>
    <t>Income Statement is not Repeated</t>
  </si>
  <si>
    <t>Balance Sheet is not Repeated</t>
  </si>
  <si>
    <t>Ending CF = Ending Cumulative CF</t>
  </si>
  <si>
    <t>Capex is Updated</t>
  </si>
  <si>
    <t>Margin is Updated</t>
  </si>
  <si>
    <t>Adjusted Numbers FY = Sum of Qs</t>
  </si>
  <si>
    <t>*Share Count is Updated</t>
  </si>
  <si>
    <t>*Margin adds up to 100%</t>
  </si>
  <si>
    <t>*Cash Flow Summary Signs are Correct</t>
  </si>
  <si>
    <t>*RIS NI FY = Sum of Qs</t>
  </si>
  <si>
    <t>*RIS Adjusted NI FY = Sum of Qs</t>
  </si>
  <si>
    <t>*CFO Before WC subtotal FY = Sum of Qs</t>
  </si>
  <si>
    <t>*CFO subtotal FY = Sum of Qs</t>
  </si>
  <si>
    <t>*CFI subtotal FY = Sum of Qs</t>
  </si>
  <si>
    <t>*CFF subtotal FY = Sum of Qs</t>
  </si>
  <si>
    <t>*CF Summary FY = Sum of Qs</t>
  </si>
  <si>
    <t>Other Tables</t>
  </si>
  <si>
    <t>Ticker Symbol</t>
  </si>
  <si>
    <t>NXGN US</t>
  </si>
  <si>
    <t>NASDAQ:NXGN</t>
  </si>
  <si>
    <t>NXGN-US</t>
  </si>
  <si>
    <t>NXGN.OQ</t>
  </si>
  <si>
    <t>Valuation Toggle Table</t>
  </si>
  <si>
    <t>High</t>
  </si>
  <si>
    <t>Low</t>
  </si>
  <si>
    <t>Consensus Estimate Table</t>
  </si>
  <si>
    <t>FY or FQ</t>
  </si>
  <si>
    <t>Period</t>
  </si>
  <si>
    <t>Stock Price Table</t>
  </si>
  <si>
    <t>Fiscal Period Start Date</t>
  </si>
  <si>
    <t>Real-Time Off Source</t>
  </si>
  <si>
    <t>Capital IQ</t>
  </si>
  <si>
    <t>FactSet</t>
  </si>
  <si>
    <t>Thomson</t>
  </si>
  <si>
    <t>General Table</t>
  </si>
  <si>
    <t>Last Price</t>
  </si>
  <si>
    <t>Last Price Date</t>
  </si>
  <si>
    <t>Real-Time Stock Price</t>
  </si>
  <si>
    <t>Last Price Formula</t>
  </si>
  <si>
    <t>Trade Currency</t>
  </si>
  <si>
    <t>Trade Currency Hardcoded</t>
  </si>
  <si>
    <t>Model Sheet Currency Hardcoded</t>
  </si>
  <si>
    <t>Most Recent FX</t>
  </si>
  <si>
    <t>Most Recent FX Hardcoded</t>
  </si>
  <si>
    <t>MRFP Column Number</t>
  </si>
  <si>
    <t>Most Recent Fiscal Period (MRFP)</t>
  </si>
  <si>
    <t>Current Fiscal Year</t>
  </si>
  <si>
    <t>Data Source Index</t>
  </si>
  <si>
    <t>Guidance</t>
  </si>
  <si>
    <t>Model</t>
  </si>
  <si>
    <t>Difference vs. Mid</t>
  </si>
  <si>
    <t>Update Log</t>
  </si>
  <si>
    <t>Type</t>
  </si>
  <si>
    <t>Item</t>
  </si>
  <si>
    <t>Item Name</t>
  </si>
  <si>
    <t>Fiscal Period</t>
  </si>
  <si>
    <t>Mid</t>
  </si>
  <si>
    <t>Output</t>
  </si>
  <si>
    <t>Absolute</t>
  </si>
  <si>
    <t>Relative</t>
  </si>
  <si>
    <t>Date</t>
  </si>
  <si>
    <t>Link</t>
  </si>
  <si>
    <t>MO_RIS_REV</t>
  </si>
  <si>
    <t>FY2019</t>
  </si>
  <si>
    <t>Press Release</t>
  </si>
  <si>
    <t>MO_RIS_EPS_WAD_Adj</t>
  </si>
  <si>
    <t>FY2018</t>
  </si>
  <si>
    <t>Reports</t>
  </si>
  <si>
    <t>Capitalization Summary</t>
  </si>
  <si>
    <t>Company-Specific Operational Data</t>
  </si>
  <si>
    <t>GAAP Financials</t>
  </si>
  <si>
    <t>Other Items</t>
  </si>
  <si>
    <t>Tax</t>
  </si>
  <si>
    <t>GAAP EPS</t>
  </si>
  <si>
    <t>Non-GAAP Financials</t>
  </si>
  <si>
    <t>Cash Flow Analysis</t>
  </si>
  <si>
    <t>Core FCF, Pre Div</t>
  </si>
  <si>
    <t>Core FCF, Post Div</t>
  </si>
  <si>
    <t>Change in WC</t>
  </si>
  <si>
    <t>New Equity Issuance</t>
  </si>
  <si>
    <t>New Debt Issuance</t>
  </si>
  <si>
    <t>Change in Cash Position</t>
  </si>
  <si>
    <t>Operating Cash Flow Per Share</t>
  </si>
  <si>
    <t>Core Free Cash Flow Per Share, Pre Div</t>
  </si>
  <si>
    <t>Dividend Payout Ratio vs Core FCF, Pre Div</t>
  </si>
  <si>
    <t>Dividend Payout Ratio vs Earnings Per Share</t>
  </si>
  <si>
    <t>Balance Sheet Ratios</t>
  </si>
  <si>
    <t>Net Debt / Capital</t>
  </si>
  <si>
    <t>LTM EBITDA</t>
  </si>
  <si>
    <t>LTM Cash Flow</t>
  </si>
  <si>
    <t>Profitability Ratios</t>
  </si>
  <si>
    <t>Net Income</t>
  </si>
  <si>
    <t>LTM Net Income</t>
  </si>
  <si>
    <t>Shareholder's Equity</t>
  </si>
  <si>
    <t>Average Shareholder's Equity</t>
  </si>
  <si>
    <t>ROE</t>
  </si>
  <si>
    <t>LTM Net Operating Profit</t>
  </si>
  <si>
    <t>Average Total Assets</t>
  </si>
  <si>
    <t>Book Value of Debt</t>
  </si>
  <si>
    <t>Average Book Value of Debt</t>
  </si>
  <si>
    <t>Average Invested Capital</t>
  </si>
  <si>
    <t>ROIC</t>
  </si>
  <si>
    <t>LTM EBIT</t>
  </si>
  <si>
    <t>Average Current Liabilities</t>
  </si>
  <si>
    <t>Average Capital Employed</t>
  </si>
  <si>
    <t>ROCE</t>
  </si>
  <si>
    <t>Per-Share Growth Metrics</t>
  </si>
  <si>
    <t>Revenue Per Share Growth</t>
  </si>
  <si>
    <t>Adj. EBITDA Per Share Growth</t>
  </si>
  <si>
    <t>Adj. Earnings Per Share Growth</t>
  </si>
  <si>
    <t>Operating Cash Flow Per Share Growth</t>
  </si>
  <si>
    <t>Free Cash Flow Per Share Growth</t>
  </si>
  <si>
    <t>Valuation Metrics</t>
  </si>
  <si>
    <t>Check</t>
  </si>
  <si>
    <t>Adjusted EBITDA</t>
  </si>
  <si>
    <t>Non GAAP NI</t>
  </si>
  <si>
    <t>GAAP NI</t>
  </si>
  <si>
    <t>Change in Cash Summary = Change in Cash Model</t>
  </si>
  <si>
    <t>Update Date</t>
  </si>
  <si>
    <t>Updated By (Initials)</t>
  </si>
  <si>
    <t>Update Type</t>
  </si>
  <si>
    <t>Special Comments</t>
  </si>
  <si>
    <t>Link to Press Release / News Item</t>
  </si>
  <si>
    <t>AN YM</t>
  </si>
  <si>
    <t>Q3-2019</t>
  </si>
  <si>
    <t>Earnings Press Release</t>
  </si>
  <si>
    <t>MP JN</t>
  </si>
  <si>
    <t>Q2-2019</t>
  </si>
  <si>
    <t>AsM AH</t>
  </si>
  <si>
    <t>Q1-2019</t>
  </si>
  <si>
    <t>AH</t>
  </si>
  <si>
    <t>DC AsM</t>
  </si>
  <si>
    <t>Q3-2018</t>
  </si>
  <si>
    <t>PV MV</t>
  </si>
  <si>
    <t>Q2-2018</t>
  </si>
  <si>
    <t>PV AH</t>
  </si>
  <si>
    <t>Q1-2018</t>
  </si>
  <si>
    <t>AS AH</t>
  </si>
  <si>
    <t>FY2017</t>
  </si>
  <si>
    <t>Q3-2017</t>
  </si>
  <si>
    <t>CD</t>
  </si>
  <si>
    <t>Q2-2017</t>
  </si>
  <si>
    <t>JW</t>
  </si>
  <si>
    <t>New Build</t>
  </si>
  <si>
    <t>Stock Price (Reporting Cur.) - Avg, USD</t>
  </si>
  <si>
    <r>
      <rPr>
        <sz val="8"/>
        <color rgb="FF000000"/>
        <rFont val="Calibri"/>
        <family val="2"/>
        <scheme val="minor"/>
      </rPr>
      <t>D</t>
    </r>
    <r>
      <rPr>
        <b/>
        <sz val="8"/>
        <color rgb="FF000000"/>
        <rFont val="Calibri"/>
        <family val="2"/>
        <scheme val="minor"/>
      </rPr>
      <t xml:space="preserve">isclaimer: </t>
    </r>
    <r>
      <rPr>
        <sz val="8"/>
        <color rgb="FF000000"/>
        <rFont val="Calibri"/>
        <family val="2"/>
        <scheme val="minor"/>
      </rPr>
      <t>None of the Data contained in this Model constitutes a recommendation by Canalyst or a solicitation, or recommendation, to buy or sell any security or other investment product. Canalyst is not providing any investment advice to Subscriber, Subscriber is solely responsible for any investment decisions based on the software or data, and Canalyst shall not have any liability with respect to Subscriber's investments or trading decisions. Subscriber must evaluate the suitability of any investment based on Subscriber's financial situation and risk tolerance. T</t>
    </r>
    <r>
      <rPr>
        <b/>
        <sz val="8"/>
        <color rgb="FF000000"/>
        <rFont val="Calibri"/>
        <family val="2"/>
        <scheme val="minor"/>
      </rPr>
      <t xml:space="preserve">he numbers contained in the "Forecast" period for each model are for illustrative purposes only, and are not meant to express any view on what might actually transpire. Canalyst has not performed company-specific research on the forecast period, and it is </t>
    </r>
    <r>
      <rPr>
        <b/>
        <sz val="8"/>
        <color rgb="FF000000"/>
        <rFont val="Calibri"/>
        <family val="2"/>
        <scheme val="minor"/>
      </rPr>
      <t xml:space="preserve">the responsibility of the Subscriber to express their own views on future results. </t>
    </r>
    <r>
      <rPr>
        <sz val="8"/>
        <color rgb="FF000000"/>
        <rFont val="Calibri"/>
        <family val="2"/>
        <scheme val="minor"/>
      </rPr>
      <t>Additionally, as Canalyst is only providing a quantitative tool with no investment views, the respective directors, officers, employees, agents, contractors, and affiliates may hold long or short positions in any securities mentioned, based on their personal views, and may initiate or close out any positions in any securities at any time without any notice._x000D_
_x000D_
Canalyst does not  guarantee the accuracy, timeliness, or completeness of the Data.  THE MODEL AND DATA ARE BEING PROVIDED "AS IS" WITH NO WARRANTY OF ANY KIND. SUBSCRIBER AGREES THAT CANALYST DOES NOT MAKE ANY REPRESENTATIONS OR WARRANTIES, EXPRESS OR IMPLIED, WITH RESPECT TO THE DATA, OR THE TRANSMISSION, TIMELINESS, ACCURACY OR COMPLETENESS THEREOF, INCLUDING, WITHOUT LIMITATION, ANY IMPLIED WARRANTIES OR ANY WARRANTIES OF MERCHANTABILITY, QUALITY OR FITNESS FOR A PARTICULAR PURPOSE, AND THOSE ARISING BY STATUTE OR OTHERWISE IN LAW OR FROM ANY COURSE OF DEALING OR USAGE OF TRADE. CANALYST SHALL NOT BE LIABLE TO SUBSCRIBER OR ANY THIRD PARTY FOR ANY INACCURATE OR INCOMPLETE DATA OR OTHER MARKET INFORMATION SUPPLIED TO SUBSCRIBER, NOR FOR ANY ERRORS, OR OMISSIONS IN THE FURNISHING THEREOF, NOR FOR ANY DIRECT, INDIRECT, INCIDENTAL OR CONSEQUENTIAL DAMAGES ARISING FROM BY SAID INACCURACIES, DELAYS, INTERRUPTIONS, ERRORS, OR OMISSIONS OR ANY DATA OR SERVICES PROVIDED UNDER OR IN CONNECTION WITH THIS AGREEMENT._x000D_
_x000D_
A portion of the stock price data is powered by Quotemedia.com.  All rights reserved.  View the Terms of Use (http://www.quotemedia.com/termsofuse.php). Data delayed 15 minutes unless otherwise indicated._x000D_
_x000D_
Subscriber shall indemnify and hold harmless Canalyst, and each of their respective directors, officers, employees, agents and affiliates, from and against any claim, damages, loss, liability, cost and/or expense (including, but not limited to, reasonable attorney's fees and costs) that directly or indirectly arise from or are caused by (a) any use by Subscriber of the Model or any of the Data, and/or (b) any breach or violation by Subscriber of any term or condition of this Agreement._x000D_
_x000D_
BY CONTINUING TO ACCESS THIS MODEL, YOU EXPRESSLY AGREE WITH THE ABOVE TERMS AND CONDITIONS.</t>
    </r>
  </si>
  <si>
    <t>Is Historical Period</t>
  </si>
  <si>
    <t>Restated</t>
  </si>
  <si>
    <t>FY2020</t>
  </si>
  <si>
    <t>Most Recent Period:</t>
  </si>
  <si>
    <t>(C) 2020 Canalyst. All rights reserved.</t>
  </si>
  <si>
    <t>Non-cash operating lease costs</t>
  </si>
  <si>
    <t>Operating lease liabilities</t>
  </si>
  <si>
    <t>Operating lease assets</t>
  </si>
  <si>
    <t>Operating lease liabilities, net of current</t>
  </si>
  <si>
    <t>DD MM</t>
  </si>
  <si>
    <t>Q1-2020</t>
  </si>
  <si>
    <t>First Forecast Fiscal Year</t>
  </si>
  <si>
    <t>NOPAT</t>
  </si>
  <si>
    <t>After-tax ROA</t>
  </si>
  <si>
    <t>Q2-2020</t>
  </si>
  <si>
    <t>Proceeds from corporate-owned life insurance policies</t>
  </si>
  <si>
    <t>Operating Lease Liabilities</t>
  </si>
  <si>
    <t>Most Recent Period</t>
  </si>
  <si>
    <t>Quarterly (Earnings Report)</t>
  </si>
  <si>
    <t>Annual (Earnings Report)</t>
  </si>
  <si>
    <t>Q1-2017</t>
  </si>
  <si>
    <t>Q3-2020</t>
  </si>
  <si>
    <t>Segmented Results - Revenue Breakdown (FS)</t>
  </si>
  <si>
    <t>Total SBC</t>
  </si>
  <si>
    <t>Other intangibles, net</t>
  </si>
  <si>
    <t>Total intangibles, net</t>
  </si>
  <si>
    <t>Working Capital Forecasting</t>
  </si>
  <si>
    <t>R&amp;D (adj. for SBC)</t>
  </si>
  <si>
    <t>COGS Margin, %</t>
  </si>
  <si>
    <t>Gross Margin, %</t>
  </si>
  <si>
    <t>R&amp;D Margin (adj. for SBC), %</t>
  </si>
  <si>
    <t>SG&amp;A Margin, %</t>
  </si>
  <si>
    <t>EBIT Margin, %</t>
  </si>
  <si>
    <t>Cash Flow from Operations</t>
  </si>
  <si>
    <t>Capital Expenditures</t>
  </si>
  <si>
    <t>Free Cash Flow</t>
  </si>
  <si>
    <t>Key Outputs</t>
  </si>
  <si>
    <t>ON</t>
  </si>
  <si>
    <t>JoR XfW</t>
  </si>
  <si>
    <t>KZZH JA</t>
  </si>
  <si>
    <t>TW AH</t>
  </si>
  <si>
    <t>COGS - SBC</t>
  </si>
  <si>
    <t>R&amp;D - SBC</t>
  </si>
  <si>
    <t>SG&amp;A - SBC</t>
  </si>
  <si>
    <t>Transaction Price Allocated to Remaining Performance Obligation, mm</t>
  </si>
  <si>
    <t>Amortization Expenses related to Customers Relationships and Trademark (incl. in OPEX), mm</t>
  </si>
  <si>
    <t>Amortization Expense related to Capitalised Software Costs (incl. COGS), mm</t>
  </si>
  <si>
    <t>Amortization Expense related to Software Technology (incl. in COGS), mm</t>
  </si>
  <si>
    <t>Providers Using NextGen's Solutions, # providers</t>
  </si>
  <si>
    <t>Recurring Revenue as % of Total Revenue, %</t>
  </si>
  <si>
    <t>Total Bookings, mm</t>
  </si>
  <si>
    <t>Subscription Services Revenue, mm</t>
  </si>
  <si>
    <t>Support and Maintenance Revenue, mm</t>
  </si>
  <si>
    <t>Managed Services Revenue, mm</t>
  </si>
  <si>
    <t>Electronic Data Interchange and Data Services Revenue, mm</t>
  </si>
  <si>
    <t>Total Recurring Revenue, mm</t>
  </si>
  <si>
    <t>Software License and Hardware Revenue, mm</t>
  </si>
  <si>
    <t>Other Non-recurring Services Revenue, mm</t>
  </si>
  <si>
    <t>Total Software, Hardware and Other Non-recurring Revenue, mm</t>
  </si>
  <si>
    <t>Total Revenue, mm</t>
  </si>
  <si>
    <t>NextGen Division Revenue, mm</t>
  </si>
  <si>
    <t>RCM Services Division Revenue, mm</t>
  </si>
  <si>
    <t>QSI Dental Division Revenue, mm</t>
  </si>
  <si>
    <t>Hospital Solutions Division Revenue, mm</t>
  </si>
  <si>
    <t>Consolidated Revenue, mm</t>
  </si>
  <si>
    <t>NextGen Division Operating Income, mm</t>
  </si>
  <si>
    <t>RCM Services Division Operating Income, mm</t>
  </si>
  <si>
    <t>QSI Dental Division Operating Income, mm</t>
  </si>
  <si>
    <t>Hospital Solutions Division Operating Income, mm</t>
  </si>
  <si>
    <t>Total Segmented Operating Income, mm</t>
  </si>
  <si>
    <t>Corporate and Unallocated Costs, mm</t>
  </si>
  <si>
    <t>Consolidated Operating Income, mm</t>
  </si>
  <si>
    <t>Consolidated Gross Profit, mm</t>
  </si>
  <si>
    <t>Software Related Subscription Services Revenue, mm</t>
  </si>
  <si>
    <t>Total Software, Hardware and Related Revenue, mm</t>
  </si>
  <si>
    <t>Revenue Cycle Management and Related Services Revenue, mm</t>
  </si>
  <si>
    <t>Professional Services Revenue, mm</t>
  </si>
  <si>
    <t>Total Maintenance, EDI, RCM and Other Services Revenue, mm</t>
  </si>
  <si>
    <t>Software License and Hardware Gross Profit, mm</t>
  </si>
  <si>
    <t>Software Related Subscription Services Gross Profit, mm</t>
  </si>
  <si>
    <t>Total Software, Hardware and Related Gross Profit, mm</t>
  </si>
  <si>
    <t>Support and Maintenance Gross Profit, mm</t>
  </si>
  <si>
    <t>Revenue Cycle Management and Related Services Gross Profit, mm</t>
  </si>
  <si>
    <t>Electronic Data Interchange and Data Services Gross Profit, mm</t>
  </si>
  <si>
    <t>Professional Services Gross Profit, mm</t>
  </si>
  <si>
    <t>Total Maintenance, EDI, RCM and Other Services Gross Profit, mm</t>
  </si>
  <si>
    <t>Segmented Results - Historical Revenue Breakdown 2010 - 2017 (FS)</t>
  </si>
  <si>
    <t>Software License and Hardware Gross Margin, %</t>
  </si>
  <si>
    <t>Software Related Subscription Services Gross Margin, %</t>
  </si>
  <si>
    <t>Total Software, Hardware and Related Gross Margin, %</t>
  </si>
  <si>
    <t>Support and Maintenance Gross Margin, %</t>
  </si>
  <si>
    <t>Revenue Cycle Management and Related Services Gross Margin, %</t>
  </si>
  <si>
    <t>Electronic Data Interchange and Data Services Gross Margin, %</t>
  </si>
  <si>
    <t>Professional Services Gross Margin, %</t>
  </si>
  <si>
    <t>Total Maintenance, EDI, RCM and Other Services Gross Margin, %</t>
  </si>
  <si>
    <t>Software License and Hardware Revenue Growth, %</t>
  </si>
  <si>
    <t>Software Related Subscription Services Revenue Growth, %</t>
  </si>
  <si>
    <t>Total Software, Hardware and Related Revenue Growth, %</t>
  </si>
  <si>
    <t>Support and Maintenance Revenue Growth, %</t>
  </si>
  <si>
    <t>Revenue Cycle Management and Related Services Revenue Growth, %</t>
  </si>
  <si>
    <t>Electronic Data Interchange and Data Services Revenue Growth, %</t>
  </si>
  <si>
    <t>Professional Services Revenue Growth, %</t>
  </si>
  <si>
    <t>Total Maintenance, EDI, RCM and Other Services Revenue Growth, %</t>
  </si>
  <si>
    <t>Maintenance, EDI, RCM and Other Services - NextGen Division Revenue, mm</t>
  </si>
  <si>
    <t>Maintenance, EDI, RCM and Other Services - RCM Services Division Revenue, mm</t>
  </si>
  <si>
    <t>Maintenance, EDI, RCM and Other Services - QSI Dental Division Revenue, mm</t>
  </si>
  <si>
    <t>Maintenance, EDI, RCM and Other Services - Hospital Solutions Division Revenue, mm</t>
  </si>
  <si>
    <t>Maintenance, EDI, RCM and Other Services Revenue, mm</t>
  </si>
  <si>
    <t>NextGen Division COGS, mm</t>
  </si>
  <si>
    <t>RCM Services Division COGS, mm</t>
  </si>
  <si>
    <t>QSI Dental Division COGS, mm</t>
  </si>
  <si>
    <t>Hospital Solutions Division COGS, mm</t>
  </si>
  <si>
    <t>Unallocated COGS, mm</t>
  </si>
  <si>
    <t>Consolidated COGS, mm</t>
  </si>
  <si>
    <t>NextGen Division Gross Profit, mm</t>
  </si>
  <si>
    <t>RCM Services Division Gross Profit, mm</t>
  </si>
  <si>
    <t>QSI Dental Division Gross Profit, mm</t>
  </si>
  <si>
    <t>Hospital Solutions Division Gross Profit, mm</t>
  </si>
  <si>
    <t>Software - NextGen Division Revenue, mm</t>
  </si>
  <si>
    <t>Software - RCM Services Division Revenue, mm</t>
  </si>
  <si>
    <t>Software - QSI Dental Division Revenue, mm</t>
  </si>
  <si>
    <t>Software - Hospital Solutions Division Revenue, mm</t>
  </si>
  <si>
    <t>Software Revenue, mm</t>
  </si>
  <si>
    <t>Hardware and Third Party Software - NextGen Division Revenue, mm</t>
  </si>
  <si>
    <t>Hardware and Third Party Software - RCM Services Division Revenue, mm</t>
  </si>
  <si>
    <t>Hardware and Third Party Software - QSI Dental Division Revenue, mm</t>
  </si>
  <si>
    <t>Hardware and Third Party Software - Hospital Solutions Division Revenue, mm</t>
  </si>
  <si>
    <t>Hardware and Third Party Software Revenue, mm</t>
  </si>
  <si>
    <t>Implementation and Training Services - NextGen Division Revenue, mm</t>
  </si>
  <si>
    <t>Implementation and Training Services - RCM Services Division Revenue, mm</t>
  </si>
  <si>
    <t>Implementation and Training Services - QSI Dental Division Revenue, mm</t>
  </si>
  <si>
    <t>Implementation and Training Services - Hospital Solutions Division Revenue, mm</t>
  </si>
  <si>
    <t>Implementation and Training Services Revenue, mm</t>
  </si>
  <si>
    <t>System Sales - NextGen Division Revenue, mm</t>
  </si>
  <si>
    <t>System Sales - RCM Services Division Revenue, mm</t>
  </si>
  <si>
    <t>System Sales - QSI Dental Division Revenue, mm</t>
  </si>
  <si>
    <t>System Sales - Hospital Solutions Division Revenue, mm</t>
  </si>
  <si>
    <t>System Sales Revenue, mm</t>
  </si>
  <si>
    <t>Maintenance - NextGen Division Revenue, mm</t>
  </si>
  <si>
    <t>Maintenance - RCM Services Division Revenue, mm</t>
  </si>
  <si>
    <t>Maintenance - QSI Dental Division Revenue, mm</t>
  </si>
  <si>
    <t>Maintenance - Hospital Solutions Division Revenue, mm</t>
  </si>
  <si>
    <t>Maintenance Revenue, mm</t>
  </si>
  <si>
    <t>RCM - NextGen Division Revenue, mm</t>
  </si>
  <si>
    <t>RCM - RCM Services Division Revenue, mm</t>
  </si>
  <si>
    <t>RCM - QSI Dental Division Revenue, mm</t>
  </si>
  <si>
    <t>RCM - Hospital Solutions Division Revenue, mm</t>
  </si>
  <si>
    <t>RCM Revenue, mm</t>
  </si>
  <si>
    <t>EDI - NextGen Division Revenue, mm</t>
  </si>
  <si>
    <t>EDI - RCM Services Division Revenue, mm</t>
  </si>
  <si>
    <t>EDI - QSI Dental Division Revenue, mm</t>
  </si>
  <si>
    <t>EDI - Hospital Solutions Division Revenue, mm</t>
  </si>
  <si>
    <t>EDI Revenue, mm</t>
  </si>
  <si>
    <t>Other - NextGen Division Revenue, mm</t>
  </si>
  <si>
    <t>Other - RCM Services Division Revenue, mm</t>
  </si>
  <si>
    <t>Other - QSI Dental Division Revenue, mm</t>
  </si>
  <si>
    <t>Other - Hospital Solutions Division Revenue, mm</t>
  </si>
  <si>
    <t>Segmented Results - Historical Revenue Breakdown 2010 - 2015 (MD&amp;A/F&amp;S)</t>
  </si>
  <si>
    <t>NextGen Division Revenue Growth, %</t>
  </si>
  <si>
    <t>QSI Dental Division Revenue Growth, %</t>
  </si>
  <si>
    <t>Hospital Solutions Division Revenue Growth, %</t>
  </si>
  <si>
    <t>NextGen Division Gross Margin, %</t>
  </si>
  <si>
    <t>RCM Services Division Gross Margin, %</t>
  </si>
  <si>
    <t>QSI Dental Division Gross Margin, %</t>
  </si>
  <si>
    <t>Hospital Solutions Division Gross Margin, %</t>
  </si>
  <si>
    <t>NextGen Division Operating Margin, %</t>
  </si>
  <si>
    <t>RCM Services Division Operating Margin, %</t>
  </si>
  <si>
    <t>QSI Dental Division Operating Margin, %</t>
  </si>
  <si>
    <t>Hospital Solutions Division Operating Margin, %</t>
  </si>
  <si>
    <t>Amortization of Intangibles (incl. in COGS)</t>
  </si>
  <si>
    <t>Amortization of intangibles (Incl. in OPEX)</t>
  </si>
  <si>
    <t>Amortization Expense related to Intangible Assets, mm</t>
  </si>
  <si>
    <t>COGS (adj. for SBC and Amortization Expense)</t>
  </si>
  <si>
    <t>SG&amp;A (adj for SBC and Depreciation Expense)</t>
  </si>
  <si>
    <t>Adjusted EBITDA Margin, %</t>
  </si>
  <si>
    <t>COGS Margin (adj. for SBC and Amortization Expense), %</t>
  </si>
  <si>
    <t>Gross Margin (adj. for SBC and Amortization Expense), %</t>
  </si>
  <si>
    <t>SG&amp;A Margin (adj. for SBC and Depreciation Expense), %</t>
  </si>
  <si>
    <t>Amortization of Capitalized Software Costs and Acquired Intangible Assets, mm</t>
  </si>
  <si>
    <t>Total Cost of Revenue, mm</t>
  </si>
  <si>
    <t>Cost of Revenue - Software, Hardware and other Non-recurring Revenue, mm</t>
  </si>
  <si>
    <t>Cost of Revenue - Recurring Revenue, mm</t>
  </si>
  <si>
    <t>Cost of Revenue Margin - Recurring Revenue, %</t>
  </si>
  <si>
    <t>Cost of Revenue Margin - Software, Hardware and other Non-recurring Revenue, %</t>
  </si>
  <si>
    <t>Gross Profit - Recurring Revenue, mm</t>
  </si>
  <si>
    <t>Gross Profit - Software, Hardware and other Non-recurring Revenue, mm</t>
  </si>
  <si>
    <t>Total Gross Profit, mm</t>
  </si>
  <si>
    <t>Gross Margin - Recurring Revenue, %</t>
  </si>
  <si>
    <t>Gross Margin - Software, Hardware and other Non-recurring Revenue, %</t>
  </si>
  <si>
    <t>Segmented Results - Cost of Revenue Breakdown (FS)</t>
  </si>
  <si>
    <t>Key Metrics - Performance Obligations (FS)</t>
  </si>
  <si>
    <t>Average Daily Subscription Services Revenue per Provider, $</t>
  </si>
  <si>
    <t>Average Annualised Subscription Services Revenue per Provider, $</t>
  </si>
  <si>
    <t>Estimated Annual Recurring Revenue (ARR) from Subscription Services Revenue, mm</t>
  </si>
  <si>
    <t>ARR from Subscription Services Revenue Growth Rate, %</t>
  </si>
  <si>
    <t>Average Daily Support and Maintenance Revenue per Provider, $</t>
  </si>
  <si>
    <t>Average Annualised Support and Maintenance Revenue per Provider, $</t>
  </si>
  <si>
    <t>Estimated ARR from Support and Maintenance Revenue, mm</t>
  </si>
  <si>
    <t>ARR from Support and Maintenance Revenue Growth Rate, %</t>
  </si>
  <si>
    <t>Average Daily Managed Services Revenue per Provider, $</t>
  </si>
  <si>
    <t>Average Annualised Managed Services Revenue per Provider, $</t>
  </si>
  <si>
    <t>Estimated ARR from Managed Services Revenue, mm</t>
  </si>
  <si>
    <t>ARR from Managed Services Revenue Growth Rate, %</t>
  </si>
  <si>
    <t>Average Daily EDI and Data Services Revenue per Provider, $</t>
  </si>
  <si>
    <t>Average Annualised EDI and Data Services Revenue per Provider, $</t>
  </si>
  <si>
    <t>Estimated ARR from EDI and Data Services Revenue, mm</t>
  </si>
  <si>
    <t>ARR from EDI and Data Services Revenue Growth Rate, %</t>
  </si>
  <si>
    <t>Subscription Services Revenue Growth, %</t>
  </si>
  <si>
    <t>Managed Services Revenue Growth, %</t>
  </si>
  <si>
    <t>EDI and Data Services Revenue Growth, %</t>
  </si>
  <si>
    <t>Total Recurring Revenue Growth, %</t>
  </si>
  <si>
    <t>Other Non-recurring Services Revenue Growth, %</t>
  </si>
  <si>
    <t>Total Software, Hardware and Other Non-recurring Revenue Growth, %</t>
  </si>
  <si>
    <t>Total Revenue Growth, %</t>
  </si>
  <si>
    <t>Adjusted EBIT</t>
  </si>
  <si>
    <t>Adjusted EBIT Margin, %</t>
  </si>
  <si>
    <t>LTM Net Revenue</t>
  </si>
  <si>
    <t>LTM COGS (adj. for SBC and Amortization Expense)</t>
  </si>
  <si>
    <t>Prepaid Expenses and Other Current Assets</t>
  </si>
  <si>
    <t>Accrued Compensation and Related Benefits</t>
  </si>
  <si>
    <t>Other Current Liabilities</t>
  </si>
  <si>
    <t>Average Accounts Receivable</t>
  </si>
  <si>
    <t>Ending Accounts Receivable</t>
  </si>
  <si>
    <t>Ending Inventories</t>
  </si>
  <si>
    <t>Average Inventories</t>
  </si>
  <si>
    <t>Ending Accounts Payable</t>
  </si>
  <si>
    <t>Average Accounts Payable</t>
  </si>
  <si>
    <t>Days Sales Outstanding, days</t>
  </si>
  <si>
    <t>Days Inventories Outstanding, days</t>
  </si>
  <si>
    <t>Days Payables Outstanding, days</t>
  </si>
  <si>
    <t>Cash Conversion Cycle, days</t>
  </si>
  <si>
    <t>Prepaid Expenses and Other Current Assets as % of LTM Net Revenue, %</t>
  </si>
  <si>
    <t>Accrued Compensation and Related Benefits as % of LTM Net Revenue, %</t>
  </si>
  <si>
    <t>Other Current Liabilities as % of LTM Net Revenue, %</t>
  </si>
  <si>
    <t>Effective Tax Rate on Non-GAAP EBT, %</t>
  </si>
  <si>
    <t>Capitalised Commissions Costs - Current, mm</t>
  </si>
  <si>
    <t>Capitalised Commissions Costs - Non-current, mm</t>
  </si>
  <si>
    <t>Total Capitalised Commissions Costs, mm</t>
  </si>
  <si>
    <t>RCM Services Division Revenue Growth, %</t>
  </si>
  <si>
    <t>Key Metrics - Additional Data (MD&amp;A/FS/CC)</t>
  </si>
  <si>
    <t>Repurchase of common stocks</t>
  </si>
  <si>
    <t>ST Debt</t>
  </si>
  <si>
    <t>LT Debt</t>
  </si>
  <si>
    <t>Net Debt Issuance (Repayment)</t>
  </si>
  <si>
    <t>Cash is Positive</t>
  </si>
  <si>
    <t>Debt is Positive</t>
  </si>
  <si>
    <t>Net Share Issuance (Buybacks)</t>
  </si>
  <si>
    <t>Estimated Share Price for Issuance/Buybacks, USD</t>
  </si>
  <si>
    <t>FCF, Post Div, Debt, Buyback, A/D</t>
  </si>
  <si>
    <t>Interest Expense</t>
  </si>
  <si>
    <t>Effective Interest Rate on Debt</t>
  </si>
  <si>
    <t>Interest Income</t>
  </si>
  <si>
    <t>Effective Interest Rate on Cash</t>
  </si>
  <si>
    <t>Net Interest Expense (Income)</t>
  </si>
  <si>
    <t>Effective Net Interest Rate on Debt</t>
  </si>
  <si>
    <t>EBITDA / Net Interest Expense</t>
  </si>
  <si>
    <t>Anil Shrivastava</t>
  </si>
  <si>
    <t>ashrivastava@325capital.com</t>
  </si>
  <si>
    <t>NOW:</t>
  </si>
  <si>
    <t>DATA LOADED:</t>
  </si>
  <si>
    <t xml:space="preserve">UPDATE: </t>
  </si>
  <si>
    <t xml:space="preserve">File: </t>
  </si>
  <si>
    <t>Valuation and Overview</t>
  </si>
  <si>
    <t>Current Share Price</t>
  </si>
  <si>
    <t>Capitalization Table</t>
  </si>
  <si>
    <t>Share Dynamics</t>
  </si>
  <si>
    <t>Current Px</t>
  </si>
  <si>
    <t>Market Cap</t>
  </si>
  <si>
    <t>Dividend Yield</t>
  </si>
  <si>
    <t>52 wk high</t>
  </si>
  <si>
    <t>Total Debt</t>
  </si>
  <si>
    <t>Shares O/S (M)</t>
  </si>
  <si>
    <t>52 wk low</t>
  </si>
  <si>
    <t>Daily Volume</t>
  </si>
  <si>
    <t>Multiple</t>
  </si>
  <si>
    <t>Short Interest</t>
  </si>
  <si>
    <t>Earnings Power Results</t>
  </si>
  <si>
    <t>Net Debt (Cash)</t>
  </si>
  <si>
    <t>EP Price</t>
  </si>
  <si>
    <t>EV</t>
  </si>
  <si>
    <t>Current Price</t>
  </si>
  <si>
    <t>Max Price to Achieve a 10% Return</t>
  </si>
  <si>
    <t>LTM Revs</t>
  </si>
  <si>
    <t>IRR</t>
  </si>
  <si>
    <t>NTM EBITDA</t>
  </si>
  <si>
    <t>Implied EV/ EBITDA multiple</t>
  </si>
  <si>
    <t>5-yr median (5 yr)</t>
  </si>
  <si>
    <t xml:space="preserve">Current EV/ EBITDA (LTM) </t>
  </si>
  <si>
    <t>5-Yr Median EV/EBITDA (LTM)</t>
  </si>
  <si>
    <t>Historical Financials</t>
  </si>
  <si>
    <t>10</t>
  </si>
  <si>
    <t>Revenues</t>
  </si>
  <si>
    <t>%</t>
  </si>
  <si>
    <t>TEV/EBITDA</t>
  </si>
  <si>
    <t>TEV</t>
  </si>
  <si>
    <t>Historcal Share Price</t>
  </si>
  <si>
    <t>Growth Rates</t>
  </si>
  <si>
    <t>10 year</t>
  </si>
  <si>
    <t>5 year</t>
  </si>
  <si>
    <t>+ 2 years</t>
  </si>
  <si>
    <t>Consensus Estimates</t>
  </si>
  <si>
    <t xml:space="preserve">Change in Value: </t>
  </si>
  <si>
    <t>From EBITDA</t>
  </si>
  <si>
    <t>Revenue</t>
  </si>
  <si>
    <t>From Multiple</t>
  </si>
  <si>
    <t xml:space="preserve">Change in TEV: </t>
  </si>
  <si>
    <t xml:space="preserve">Ownership and </t>
  </si>
  <si>
    <t>Top Holders</t>
  </si>
  <si>
    <t>Board Members</t>
  </si>
  <si>
    <t>Governance</t>
  </si>
  <si>
    <t>Name</t>
  </si>
  <si>
    <t>Background</t>
  </si>
  <si>
    <t>Age</t>
  </si>
  <si>
    <t>Tenure</t>
  </si>
  <si>
    <t>Blackrock Inc.</t>
  </si>
  <si>
    <t>Vanguard Group, Inc. (The)</t>
  </si>
  <si>
    <t>State Street Corporation</t>
  </si>
  <si>
    <t>Dimensional Fund Advisors LP</t>
  </si>
  <si>
    <t>MGMT</t>
  </si>
  <si>
    <t>Description</t>
  </si>
  <si>
    <t>* Previous business would swing dramatically with the semiconductor test systems business NOW SOLD IN FEB, 2019!!</t>
  </si>
  <si>
    <t>and Analysis</t>
  </si>
  <si>
    <t>* Used to move the stock more than the 90% of the business focused on aeronatuics power equipment</t>
  </si>
  <si>
    <t>Hypothesis and</t>
  </si>
  <si>
    <t>* Reengagte with the company now that test systems is no longer in the picture clouding investor understanding and cash flow</t>
  </si>
  <si>
    <t>Recommendation</t>
  </si>
  <si>
    <t xml:space="preserve">* Rediligence long-term in power seat trends.  Global aircraft volumes look solid (though always something to worry about). </t>
  </si>
  <si>
    <t>Air to ground</t>
  </si>
  <si>
    <t>L-band</t>
  </si>
  <si>
    <t>Ku Band</t>
  </si>
  <si>
    <t>Ka Band</t>
  </si>
  <si>
    <t>Hybrid</t>
  </si>
  <si>
    <t>Narrowbody</t>
  </si>
  <si>
    <t>Widebody</t>
  </si>
  <si>
    <t>Seats with Power</t>
  </si>
  <si>
    <t>No Power</t>
  </si>
  <si>
    <t>Intl</t>
  </si>
  <si>
    <t>Dom.</t>
  </si>
  <si>
    <t>% Adoption</t>
  </si>
  <si>
    <t>Delta in Narrowbody Penetration</t>
  </si>
  <si>
    <t>Seats</t>
  </si>
  <si>
    <t>Million</t>
  </si>
  <si>
    <t>Price per seat</t>
  </si>
  <si>
    <t>low point conservative</t>
  </si>
  <si>
    <t>Market in narrow body ISP</t>
  </si>
  <si>
    <t xml:space="preserve">Overriding growth rates: </t>
  </si>
  <si>
    <t>Forecasts</t>
  </si>
  <si>
    <t>Growth rates</t>
  </si>
  <si>
    <t>Share of Total</t>
  </si>
  <si>
    <t>Growth Rate</t>
  </si>
  <si>
    <t>Cases</t>
  </si>
  <si>
    <t>Electrical power and motion</t>
  </si>
  <si>
    <t>In Seat Power</t>
  </si>
  <si>
    <t>1 = Base Case</t>
  </si>
  <si>
    <t>Airframe Power</t>
  </si>
  <si>
    <t>2 = Recession</t>
  </si>
  <si>
    <t>Lighting and Safety</t>
  </si>
  <si>
    <t>PSUs</t>
  </si>
  <si>
    <t>Core Lighting</t>
  </si>
  <si>
    <t>Recession Risk</t>
  </si>
  <si>
    <t>Avionics</t>
  </si>
  <si>
    <t>Aerosat</t>
  </si>
  <si>
    <t>No Recession Risk</t>
  </si>
  <si>
    <t>Other</t>
  </si>
  <si>
    <t xml:space="preserve">Use: </t>
  </si>
  <si>
    <t>Systems Certification</t>
  </si>
  <si>
    <t>Armstrong</t>
  </si>
  <si>
    <t xml:space="preserve">Results: </t>
  </si>
  <si>
    <t>Structures</t>
  </si>
  <si>
    <t>Fuel Access Doors</t>
  </si>
  <si>
    <t>Other Test</t>
  </si>
  <si>
    <t xml:space="preserve">IEFC S-curve Growth Rates: </t>
  </si>
  <si>
    <t>Percent of Business IEFC</t>
  </si>
  <si>
    <t>Growth Rates from S-Curve</t>
  </si>
  <si>
    <t>Weighted</t>
  </si>
  <si>
    <t>Probability Weight</t>
  </si>
  <si>
    <t>Match Narrow Body</t>
  </si>
  <si>
    <t>match Share of ISP in Narrow Body to Wide Body</t>
  </si>
  <si>
    <t xml:space="preserve">Achieve </t>
  </si>
  <si>
    <t xml:space="preserve">from </t>
  </si>
  <si>
    <t>today</t>
  </si>
  <si>
    <t xml:space="preserve">over </t>
  </si>
  <si>
    <t>years</t>
  </si>
  <si>
    <t>Sales add</t>
  </si>
  <si>
    <t>Share</t>
  </si>
  <si>
    <t>Discount</t>
  </si>
  <si>
    <t>Minor Platform Wins in Lighting/Airframe Power</t>
  </si>
  <si>
    <t>Wins per year</t>
  </si>
  <si>
    <t>Revenue per win</t>
  </si>
  <si>
    <t>Added Revenue per year</t>
  </si>
  <si>
    <t>EBITDA Margin</t>
  </si>
  <si>
    <t>EBITDA margin</t>
  </si>
  <si>
    <t>Ticker</t>
  </si>
  <si>
    <t>&lt;- Put Ticker Here and then Use Data/Stocks to set the data type</t>
  </si>
  <si>
    <t>MD/Principal/Associate</t>
  </si>
  <si>
    <t>AKS</t>
  </si>
  <si>
    <t>&lt;- Put your name here</t>
  </si>
  <si>
    <t>Investment Period (Yrs)</t>
  </si>
  <si>
    <t>Current Date</t>
  </si>
  <si>
    <t xml:space="preserve">&lt;- This price pulled by Microsoft when you set the </t>
  </si>
  <si>
    <t>Most recent pipeline stage</t>
  </si>
  <si>
    <t>HD</t>
  </si>
  <si>
    <t xml:space="preserve">     correct data type in cell B2</t>
  </si>
  <si>
    <t>Last FYE</t>
  </si>
  <si>
    <t>Last Period</t>
  </si>
  <si>
    <t xml:space="preserve">&lt;- Put the last real period in Canalyst format </t>
  </si>
  <si>
    <t>Assumptions</t>
  </si>
  <si>
    <t>Comments</t>
  </si>
  <si>
    <t>Assumed EP Discount Rate</t>
  </si>
  <si>
    <t xml:space="preserve">Current EV/ EBITDA (NTM) </t>
  </si>
  <si>
    <t>Shares outstanding</t>
  </si>
  <si>
    <t>Canalyst from Last Period (Cell B8)</t>
  </si>
  <si>
    <t xml:space="preserve">Effective Tax Rate </t>
  </si>
  <si>
    <t>Current Canalyst</t>
  </si>
  <si>
    <t>Assumed "trigger premium" on implied px above:</t>
  </si>
  <si>
    <t>Near term Revenue Growth</t>
  </si>
  <si>
    <t>Numbers calculated from forecast below</t>
  </si>
  <si>
    <t>Longer term Revenue Growth</t>
  </si>
  <si>
    <t>&lt;- Put the long-term organic growth rate for after Canalyst forecast runs out</t>
  </si>
  <si>
    <t>Recommendation:</t>
  </si>
  <si>
    <t>Monitor Price:</t>
  </si>
  <si>
    <t>Incr. EBITDA mrgn - History</t>
  </si>
  <si>
    <t>Last five years Canalyst</t>
  </si>
  <si>
    <t>LTM monitor multiple</t>
  </si>
  <si>
    <t>Incr. EBITDA mrgn - Consensus</t>
  </si>
  <si>
    <t>NTM monitor multiple</t>
  </si>
  <si>
    <t xml:space="preserve">    --&gt;Incr. Margin Assumption</t>
  </si>
  <si>
    <t>&lt;- Choose which incr. margin you want to use from the choices above</t>
  </si>
  <si>
    <t>D&amp;A/ Revs</t>
  </si>
  <si>
    <t>Last 5 year median Canalyst (see below)</t>
  </si>
  <si>
    <t>Other SBC and Amortization</t>
  </si>
  <si>
    <t>Assumed interest rate</t>
  </si>
  <si>
    <t>Latest 10-K (see below)</t>
  </si>
  <si>
    <t xml:space="preserve">WC % of Revs </t>
  </si>
  <si>
    <t xml:space="preserve">Capex % of Revs </t>
  </si>
  <si>
    <t>Case Switches if Necessary</t>
  </si>
  <si>
    <t>Maintenance capex (% revs)</t>
  </si>
  <si>
    <t>&lt;- Put your estimate here</t>
  </si>
  <si>
    <t xml:space="preserve">Case: </t>
  </si>
  <si>
    <t>Yr 6-10 growth</t>
  </si>
  <si>
    <t>&lt;- Out year growth estimate (e.g. 3% default)</t>
  </si>
  <si>
    <t>Use Canalyst Model for Forecast</t>
  </si>
  <si>
    <t>(1 = Yes)</t>
  </si>
  <si>
    <t>&lt;- Choose if you want to use the canalyst forward or your own. If your own, link the forecast from your sheets to the yellow boxes -&gt;</t>
  </si>
  <si>
    <t>Discount period</t>
  </si>
  <si>
    <t xml:space="preserve">Load Alternate Forecast Here. </t>
  </si>
  <si>
    <t>Earnings Power to the Firm</t>
  </si>
  <si>
    <t xml:space="preserve">  growth</t>
  </si>
  <si>
    <t xml:space="preserve"> mrgn</t>
  </si>
  <si>
    <t>D&amp;A</t>
  </si>
  <si>
    <t>% of Revs</t>
  </si>
  <si>
    <t>SBC and Amortization</t>
  </si>
  <si>
    <t>&lt;- use this if you have specific interest rates that change over time (e.g. a credit agreement)</t>
  </si>
  <si>
    <t>Interest Exp</t>
  </si>
  <si>
    <t>Pretax Income</t>
  </si>
  <si>
    <t>Taxes</t>
  </si>
  <si>
    <t>Maint CX</t>
  </si>
  <si>
    <t>EBITDA - Maint CapEx</t>
  </si>
  <si>
    <t>&lt;- Put acquisition capex here to support your forecast</t>
  </si>
  <si>
    <t>Acquisition Capex</t>
  </si>
  <si>
    <t>Earnings Power to Firm</t>
  </si>
  <si>
    <t>EP to the Firm per Share, diluted</t>
  </si>
  <si>
    <t>Stub period:</t>
  </si>
  <si>
    <t>Beginning Net Debt (Cash)</t>
  </si>
  <si>
    <t>Less: EBITDA</t>
  </si>
  <si>
    <t>Plus: Taxes</t>
  </si>
  <si>
    <t>Plus: Interest</t>
  </si>
  <si>
    <t>Plus: Increase in WC</t>
  </si>
  <si>
    <t>Plus: Capex</t>
  </si>
  <si>
    <t>Plus: Dividends</t>
  </si>
  <si>
    <t>Ending Net Debt (Cash)</t>
  </si>
  <si>
    <t>Year 5 earnings power translation</t>
  </si>
  <si>
    <t>Year 1</t>
  </si>
  <si>
    <t>Year 2</t>
  </si>
  <si>
    <t>Year 3</t>
  </si>
  <si>
    <t>Year 4</t>
  </si>
  <si>
    <t>Year 5</t>
  </si>
  <si>
    <t>Year 6</t>
  </si>
  <si>
    <t>Year 7</t>
  </si>
  <si>
    <t>Year 8</t>
  </si>
  <si>
    <t>Year 9</t>
  </si>
  <si>
    <t>Year 10</t>
  </si>
  <si>
    <t>Sales</t>
  </si>
  <si>
    <t>less Maint CapEx</t>
  </si>
  <si>
    <t>Incremental earnings power</t>
  </si>
  <si>
    <t xml:space="preserve">CF used to fund growth capex </t>
  </si>
  <si>
    <t xml:space="preserve">&lt;- Other incremental capex for growth goes here. </t>
  </si>
  <si>
    <t>CF used to fund wc</t>
  </si>
  <si>
    <t>Incremental CF</t>
  </si>
  <si>
    <t>Discounted CF</t>
  </si>
  <si>
    <t>Cumulative CF</t>
  </si>
  <si>
    <t>Incremental TV</t>
  </si>
  <si>
    <t>PV of incremental TV in Yr 6</t>
  </si>
  <si>
    <t>EV @ 10% Yield</t>
  </si>
  <si>
    <t>EV value of EP</t>
  </si>
  <si>
    <t>Value of growth Yr 6-10</t>
  </si>
  <si>
    <t>Modified earnings power</t>
  </si>
  <si>
    <t xml:space="preserve">Implied EBITDA Multiple </t>
  </si>
  <si>
    <t>Less Net Debt/(Cash)</t>
  </si>
  <si>
    <t>Equity Value</t>
  </si>
  <si>
    <t>Shares OS (fd)</t>
  </si>
  <si>
    <t>Per share</t>
  </si>
  <si>
    <t>Annual Dividend</t>
  </si>
  <si>
    <t>Cumulative Dividend</t>
  </si>
  <si>
    <t>Total Stock Value</t>
  </si>
  <si>
    <t>Implied P/E</t>
  </si>
  <si>
    <t>Implied P/E excl surplus cash</t>
  </si>
  <si>
    <t>Diluted Shares OS</t>
  </si>
  <si>
    <t>EPS ex unusuals</t>
  </si>
  <si>
    <t>CAPIQ CONSENSUS Reference</t>
  </si>
  <si>
    <t xml:space="preserve">&lt;- put forward estimates from consensus here.  Note: The model does not use them, but for reference only. </t>
  </si>
  <si>
    <t># of Analysts</t>
  </si>
  <si>
    <t>- Model uses canalyst or your own forecast.</t>
  </si>
  <si>
    <t>Calculations from Canalyst Model</t>
  </si>
  <si>
    <t>Last Five years</t>
  </si>
  <si>
    <t>Current Year</t>
  </si>
  <si>
    <t>Index from Current Year</t>
  </si>
  <si>
    <t>Year</t>
  </si>
  <si>
    <t>Median</t>
  </si>
  <si>
    <t>Gross Revenues</t>
  </si>
  <si>
    <t>D&amp;A Percent</t>
  </si>
  <si>
    <t>Capex Percent</t>
  </si>
  <si>
    <t>Accounts Receivable</t>
  </si>
  <si>
    <t>Accounts Payable</t>
  </si>
  <si>
    <t xml:space="preserve">Net Working Capital </t>
  </si>
  <si>
    <t>Other Tax Shields</t>
  </si>
  <si>
    <t>SBC Percent</t>
  </si>
  <si>
    <t>Amortization</t>
  </si>
  <si>
    <t>Amortization Percent</t>
  </si>
  <si>
    <t>EV to EBITDA</t>
  </si>
  <si>
    <t>SBC Issued (M)</t>
  </si>
  <si>
    <t xml:space="preserve">Avg Price of Shares: </t>
  </si>
  <si>
    <t>No. of Shares Issued (K)</t>
  </si>
  <si>
    <t>Tax Percent</t>
  </si>
  <si>
    <t>current</t>
  </si>
  <si>
    <t>Recover growh rate to 7.5% spending average</t>
  </si>
  <si>
    <t xml:space="preserve">use: </t>
  </si>
  <si>
    <t xml:space="preserve">Recover margins </t>
  </si>
  <si>
    <t>Brown Capital Management, Inc.</t>
  </si>
  <si>
    <t>13.83%</t>
  </si>
  <si>
    <t>12.05%</t>
  </si>
  <si>
    <t>8.59%</t>
  </si>
  <si>
    <t>3.86%</t>
  </si>
  <si>
    <t>Norges Bank Investment Management</t>
  </si>
  <si>
    <t>2.59%</t>
  </si>
  <si>
    <t>New York State Common Retirement Fund</t>
  </si>
  <si>
    <t>2.31%</t>
  </si>
  <si>
    <t>2.27%</t>
  </si>
  <si>
    <t>Investment Counselors of Maryland</t>
  </si>
  <si>
    <t>2.04%</t>
  </si>
  <si>
    <t>Geode Capital Management, LLC</t>
  </si>
  <si>
    <t>1.55%</t>
  </si>
  <si>
    <t>Paradigm Capital Management</t>
  </si>
  <si>
    <t>1.38%</t>
  </si>
  <si>
    <t>Mr. John R. Frantz</t>
  </si>
  <si>
    <t>Pres, CEO &amp; Director</t>
  </si>
  <si>
    <t>Mr. James Robert Arnold Jr.</t>
  </si>
  <si>
    <t>Exec. VP, CFO &amp; Principal Accounting Officer</t>
  </si>
  <si>
    <t>Mr. David A. Metcalfe</t>
  </si>
  <si>
    <t>Exec. VP &amp; Chief Technology Officer</t>
  </si>
  <si>
    <t>Mr. Jeffrey D. Linton</t>
  </si>
  <si>
    <t>Exec. VP, Gen. Counsel &amp; Sec.</t>
  </si>
  <si>
    <t>http://medpac.gov/docs/default-source/reports/mar14_ch03.pdf?sfvrsn=0</t>
  </si>
  <si>
    <t>https://www.cdc.gov/nchs/data/ahcd/namcs_summary/2016_namcs_web_tables.pdf</t>
  </si>
  <si>
    <t>https://data.bls.gov/timeseries/CES6562100001?amp%253bdata_tool=XGtable&amp;output_view=data&amp;include_graphs=true</t>
  </si>
  <si>
    <t>r the last decade, the ambulatory healthcare market has experienced significant regulatory change, which has driven practice transformation and technology advancements. Recognizing that it was imperative to digitize the American health system to stem the escalating cost of healthcare and improve the quality of care being delivered, Congress enacted the Health Information Technology for Economic and Clinical Health Act in 2009 (“HITECH Act”). The legislation stimulated healthcare organizations to not only adopt electronic health records, but to use them to collect discrete data that could be used to drive quality care. This standardization supported early pay for reporting and pay-for-performance programs.</t>
  </si>
  <si>
    <t>https://www.forbes.com/sites/brucejapsen/2016/01/26/medical-office-demand-soars-thanks-to-obamacare-and-population-health/#72e90b847961</t>
  </si>
  <si>
    <t>In 2010, the Affordable Care Act (“ACA”) established the roadmap for shifting American healthcare from volume (fee-for-service) to a value-based care (“VBC”) system that rewards improved outcomes at lower costs (fee-for-value). This was followed by the Medicare Access and CHIP Reauthorization Act of 2015 (“MACRA”), bipartisan legislation that further changed the way Medicare rewards clinicians for value vs. volume. Initially focused on government-funded care, the domain of the Centers for Medicare &amp; Medicaid Services (“CMS”), these programs are now firmly established on the commercial insurance side of the industry as well.</t>
  </si>
  <si>
    <t>https://www.aha.org/data-and-insights/presentation-center</t>
  </si>
  <si>
    <t>VBC created the need for a new category of healthcare information technology (“HIT”) tools that could be used to identify and treat groups of patients, or cohorts, based on risk.  Population Health Management (“PHM”) tools support these needs by identifying patient risk, engaging patients, coordinating care, and determining when interventions are needed to improve clinical and financial outcomes. The United States PHM market was estimated at $3.1 billion in 2018 and is expected to more than double by 2022.</t>
  </si>
  <si>
    <t>Importantly, the introduction of VBC programs was only an element of the broader approach to reducing healthcare expenditure. It was also accompanied by significant reductions in Medicare spending with a projected reduction of $218 billion in payments by 2028, as reported by RevCycle Intelligence. The drive to reduce costs initially led to consolidation in the healthcare system that was followed by a significant shift of care from the inpatient to the outpatient setting as more care is being moved to this lower cost environment. Ambulatory care settings have become an essential component of comprehensive, low cost distributed care. In 2018, outpatient volumes reached over 3.5 billion encounters and are forecasted to grow 15% by 2028, as reported by Becker’s Health IT and CIO Report. The independent physicians’ practices segment is expected to generate more revenue than non-affiliated hospitals as it accepts electronic health records integrated PHM programs for better primary and follow-up care, as reported by Frost &amp; Sullivan. The need to sustain revenue has made it extremely important for practices to secure their patient market share, elevating patient loyalty to be a significant determinant of provider success. Capturing patient market share and thriving in a market driven by VBC requires both an integrated platform and a full view of the patient population’s clinical and cost data neither of which could be accomplished without new technologies to collect and analyze multi-sourced patient data. Effectively implemented, these new technologies allow organizations to enhance financial viability while exercising the freedom to join, affiliate, integrate or interoperate in ways that maximize strategic control.</t>
  </si>
  <si>
    <t>In order to maintain financial success with shifting reimbursement rules and shrinking reimbursement, we believe demand for managed </t>
  </si>
  <si>
    <t>x</t>
  </si>
  <si>
    <t>EBITA %</t>
  </si>
  <si>
    <t>ost Cutting</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</si>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</sst>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8">
    <numFmt numFmtId="8" formatCode="&quot;$&quot;#,##0.00_);[Red]\(&quot;$&quot;#,##0.00\)"/>
    <numFmt numFmtId="44" formatCode="_(&quot;$&quot;* #,##0.00_);_(&quot;$&quot;* \(#,##0.00\);_(&quot;$&quot;* &quot;-&quot;??_);_(@_)"/>
    <numFmt numFmtId="43" formatCode="_(* #,##0.00_);_(* \(#,##0.00\);_(* &quot;-&quot;??_);_(@_)"/>
    <numFmt numFmtId="166" formatCode="_(* #,##0.0_);_(* \(#,##0.0\);_(* &quot;-&quot;??_);_(@_)"/>
    <numFmt numFmtId="167" formatCode="_(&quot;$&quot;* #,##0_);_(&quot;$&quot;* \(#,##0\);_(&quot;$&quot;* &quot;-&quot;??_);_(@_)"/>
    <numFmt numFmtId="168" formatCode="_(* #,##0_);_(* \(#,##0\);_(* &quot;-&quot;??_);_(@_)"/>
    <numFmt numFmtId="169" formatCode="_(* 0.0%_);_(* \-0.0%_);_(* &quot;-&quot;??_);_(@_)"/>
    <numFmt numFmtId="170" formatCode="_(* #,##0.0_);_(* \(#,##0.0\);_(* &quot;-&quot;??_);@"/>
    <numFmt numFmtId="171" formatCode="_(&quot;$&quot;* 0.00_);_(&quot;$&quot;* \(0.00\);_(&quot;$&quot;* &quot;-&quot;??_);_(@_)"/>
    <numFmt numFmtId="172" formatCode="_(* 0.0\ \x_);\ _(* &quot;n/a&quot;_);_(* &quot;-&quot;??_);_(@_)"/>
    <numFmt numFmtId="173" formatCode="_(@_)"/>
    <numFmt numFmtId="174" formatCode=";;;"/>
    <numFmt numFmtId="175" formatCode="_(&quot;$&quot;* 0.000_);_(&quot;$&quot;* \(0.000\);_(&quot;$&quot;* &quot;-&quot;??_);_(@_)"/>
    <numFmt numFmtId="176" formatCode="_(* #,##0.0_);_(* \(#,##0.0\);_(* &quot;-&quot;??_);_(&quot;Bloomberg &gt;&gt; &quot;@_)"/>
    <numFmt numFmtId="177" formatCode="_(* #,##0.0_);_(* \(#,##0.0\);_(* &quot;-&quot;??_);_(&quot;Capital IQ &gt;&gt; &quot;@_)"/>
    <numFmt numFmtId="178" formatCode="_(* #,##0.0_);_(* \(#,##0.0\);_(* &quot;-&quot;??_);_(&quot;FactSet &gt;&gt; &quot;@_)"/>
    <numFmt numFmtId="179" formatCode="_(* #,##0.0_);_(* \(#,##0.0\);_(* &quot;-&quot;??_);_(&quot;Ticker :   &quot;@_)"/>
    <numFmt numFmtId="180" formatCode="&quot;$&quot;#,##0.00"/>
    <numFmt numFmtId="181" formatCode="_(* #,##0.0_);_(* \(#,##0.0\);_(* &quot;-&quot;??_);_(@\ * \ &quot;Toggle  &gt;&gt;&gt;&quot;_)"/>
    <numFmt numFmtId="182" formatCode="_(* 0.0%_);_(* &quot;NMF&quot;_);_(* &quot;-&quot;??_);_(@_)"/>
    <numFmt numFmtId="183" formatCode="_(* 0.0%_);_(* &quot;n/a&quot;_);_(* &quot;-&quot;??_);_(@_)"/>
    <numFmt numFmtId="184" formatCode="_(* #,##0.0_);_(* \(#,##0.0\);_(* &quot; -&quot;??_);_(&quot;Thomson &gt;&gt; &quot;@_)"/>
    <numFmt numFmtId="185" formatCode="_(* #,##0.0_);_(* \(#,##0.0\);_(* &quot;-&quot;??_);_(&quot;Model Sheet Currency :   &quot;@_)"/>
    <numFmt numFmtId="186" formatCode="_(* #,##0.0_);_(* \(#,##0.0\);_(* &quot;-&quot;??_);_(&quot;Canalyst Security Identification #: &quot;@_)"/>
    <numFmt numFmtId="187" formatCode="_(* #,##0.0_);_(* \(#,##0.0\);_(* &quot;-&quot;??_);_(&quot;Model Version #: &quot;@_)"/>
    <numFmt numFmtId="188" formatCode="_(* #,##0.0_);_(* \(#,##0.0\);_(* &quot; - &quot;??_);_(&quot;Last Price (&quot;@&quot;) &quot;_)"/>
    <numFmt numFmtId="189" formatCode="_(* #,##0.0_);_(* \(#,##0.0\);_(* &quot;-&quot;??_);_(&quot;Real-Time Stock Price :   &quot;@_)"/>
    <numFmt numFmtId="190" formatCode="_(&quot;$&quot;* 0.00_);_(&quot;$&quot;* \(0.00\);_(&quot;$&quot;* &quot; - &quot;??_);_(@_)"/>
    <numFmt numFmtId="191" formatCode="_(* #,##0.000_);_(* \(#,##0.000\);_(* &quot;-&quot;??_);_(@_)"/>
    <numFmt numFmtId="192" formatCode="_(@\ * \ &quot;Toggle  &gt;&gt;&gt;&quot;_)"/>
    <numFmt numFmtId="193" formatCode="&quot;Most Recent Period:&quot;"/>
    <numFmt numFmtId="194" formatCode="[$-409]m/d/yy\ h:mm\ AM/PM;@"/>
    <numFmt numFmtId="195" formatCode="[$$-409]#,##0.00"/>
    <numFmt numFmtId="196" formatCode="[$$-409]#,##0_);[Red]\([$$-409]#,##0\)"/>
    <numFmt numFmtId="197" formatCode="0.0%"/>
    <numFmt numFmtId="198" formatCode="0.0\x"/>
    <numFmt numFmtId="199" formatCode="[$$-409]#,##0"/>
    <numFmt numFmtId="200" formatCode="m/d/yy;@"/>
    <numFmt numFmtId="201" formatCode="\$#,##0.00\ ;[Red]&quot;($&quot;#,##0.00\)"/>
    <numFmt numFmtId="202" formatCode="0.0&quot;x &quot;"/>
    <numFmt numFmtId="203" formatCode="#,##0.00\ ;\(#,##0.00\)"/>
    <numFmt numFmtId="204" formatCode="&quot;$&quot;#,##0\ ;\(&quot;$&quot;#,##0\)"/>
    <numFmt numFmtId="205" formatCode="#,##0\ ;\(#,##0\)"/>
    <numFmt numFmtId="206" formatCode="#,##0.0\ ;\(#,##0.0\)"/>
    <numFmt numFmtId="207" formatCode="_(&quot;$&quot;#,##0_);_(* \(&quot;$&quot;#,##0\);_(* &quot;-&quot;??_);_(@_)"/>
    <numFmt numFmtId="208" formatCode="\$#,##0\ ;[Red]&quot;($&quot;#,##0\)"/>
    <numFmt numFmtId="209" formatCode="#,##0\ ;[Red]&quot;(&quot;#,##0\)"/>
    <numFmt numFmtId="210" formatCode="#,##0.00\ ;&quot; (&quot;#,##0.00\);&quot; -&quot;#\ ;@\ "/>
  </numFmts>
  <fonts count="89" x14ac:knownFonts="1">
    <font>
      <sz val="11"/>
      <name val="Calibri"/>
      <family val="2"/>
    </font>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b/>
      <sz val="11"/>
      <color theme="0"/>
      <name val="Calibri"/>
      <family val="2"/>
    </font>
    <font>
      <sz val="11"/>
      <name val="Calibri"/>
      <family val="2"/>
      <scheme val="minor"/>
    </font>
    <font>
      <sz val="11"/>
      <color rgb="FFFF0000"/>
      <name val="Calibri"/>
      <family val="2"/>
    </font>
    <font>
      <sz val="11"/>
      <color theme="0"/>
      <name val="Calibri"/>
      <family val="2"/>
      <scheme val="minor"/>
    </font>
    <font>
      <sz val="22"/>
      <color theme="1"/>
      <name val="Calibri"/>
      <family val="2"/>
      <scheme val="minor"/>
    </font>
    <font>
      <u/>
      <sz val="11"/>
      <color theme="10"/>
      <name val="Calibri"/>
      <family val="2"/>
    </font>
    <font>
      <sz val="14"/>
      <color theme="1"/>
      <name val="Calibri"/>
      <family val="2"/>
      <scheme val="minor"/>
    </font>
    <font>
      <b/>
      <sz val="11"/>
      <color rgb="FFFF0000"/>
      <name val="Calibri"/>
      <family val="2"/>
    </font>
    <font>
      <sz val="11"/>
      <color rgb="FF006100"/>
      <name val="Calibri"/>
      <family val="2"/>
      <scheme val="minor"/>
    </font>
    <font>
      <sz val="10"/>
      <color theme="1"/>
      <name val="Calibri"/>
      <family val="2"/>
      <scheme val="minor"/>
    </font>
    <font>
      <b/>
      <sz val="10"/>
      <color theme="1"/>
      <name val="Calibri"/>
      <family val="2"/>
      <scheme val="minor"/>
    </font>
    <font>
      <b/>
      <sz val="14"/>
      <color rgb="FFFF0000"/>
      <name val="Calibri"/>
      <family val="2"/>
      <scheme val="minor"/>
    </font>
    <font>
      <b/>
      <sz val="14"/>
      <color theme="1"/>
      <name val="Calibri"/>
      <family val="2"/>
      <scheme val="minor"/>
    </font>
    <font>
      <sz val="14"/>
      <name val="Calibri"/>
      <family val="2"/>
      <scheme val="minor"/>
    </font>
    <font>
      <i/>
      <sz val="11"/>
      <name val="Calibri"/>
      <family val="2"/>
    </font>
    <font>
      <u/>
      <sz val="22"/>
      <color theme="10"/>
      <name val="Calibri"/>
      <family val="2"/>
      <scheme val="minor"/>
    </font>
    <font>
      <sz val="11"/>
      <color rgb="FF000000"/>
      <name val="Calibri"/>
      <family val="2"/>
      <scheme val="minor"/>
    </font>
    <font>
      <b/>
      <sz val="11"/>
      <color rgb="FFFF0000"/>
      <name val="Calibri"/>
      <family val="2"/>
      <scheme val="minor"/>
    </font>
    <font>
      <b/>
      <sz val="11"/>
      <color rgb="FFFFFFFF"/>
      <name val="Calibri"/>
      <family val="2"/>
    </font>
    <font>
      <b/>
      <sz val="11"/>
      <color rgb="FF000000"/>
      <name val="Calibri"/>
      <family val="2"/>
    </font>
    <font>
      <b/>
      <sz val="11"/>
      <color rgb="FF000000"/>
      <name val="Calibri"/>
      <family val="2"/>
      <scheme val="minor"/>
    </font>
    <font>
      <sz val="11"/>
      <color rgb="FF000000"/>
      <name val="Calibri"/>
      <family val="2"/>
    </font>
    <font>
      <i/>
      <sz val="11"/>
      <color rgb="FF000000"/>
      <name val="Calibri"/>
      <family val="2"/>
    </font>
    <font>
      <i/>
      <sz val="11"/>
      <color rgb="FF000000"/>
      <name val="Calibri"/>
      <family val="2"/>
      <scheme val="minor"/>
    </font>
    <font>
      <i/>
      <sz val="11"/>
      <color rgb="FFFF0000"/>
      <name val="Calibri"/>
      <family val="2"/>
      <scheme val="minor"/>
    </font>
    <font>
      <i/>
      <sz val="11"/>
      <color rgb="FFFF0000"/>
      <name val="Calibri"/>
      <family val="2"/>
    </font>
    <font>
      <sz val="10"/>
      <color theme="0"/>
      <name val="Calibri"/>
      <family val="2"/>
      <scheme val="minor"/>
    </font>
    <font>
      <i/>
      <sz val="11"/>
      <name val="Calibri"/>
      <family val="2"/>
      <scheme val="minor"/>
    </font>
    <font>
      <b/>
      <sz val="11"/>
      <color rgb="FFFFFFFF"/>
      <name val="Calibri"/>
      <family val="2"/>
      <scheme val="minor"/>
    </font>
    <font>
      <sz val="11"/>
      <color rgb="FFFFFFFF"/>
      <name val="Calibri"/>
      <family val="2"/>
    </font>
    <font>
      <b/>
      <i/>
      <sz val="11"/>
      <color rgb="FF000000"/>
      <name val="Calibri"/>
      <family val="2"/>
    </font>
    <font>
      <b/>
      <i/>
      <sz val="11"/>
      <color rgb="FF000000"/>
      <name val="Calibri"/>
      <family val="2"/>
      <scheme val="minor"/>
    </font>
    <font>
      <b/>
      <sz val="8"/>
      <color rgb="FF000000"/>
      <name val="Calibri"/>
      <family val="2"/>
      <scheme val="minor"/>
    </font>
    <font>
      <sz val="11"/>
      <color theme="0" tint="-4.8463393047883545E-2"/>
      <name val="Calibri"/>
      <family val="2"/>
    </font>
    <font>
      <sz val="11"/>
      <color rgb="FFFF0000"/>
      <name val="Calibri"/>
      <family val="2"/>
      <scheme val="minor"/>
    </font>
    <font>
      <sz val="11"/>
      <color rgb="FFF2F2F2"/>
      <name val="Calibri"/>
      <family val="2"/>
    </font>
    <font>
      <u/>
      <sz val="22"/>
      <color rgb="FF000000"/>
      <name val="Calibri"/>
      <family val="2"/>
      <scheme val="minor"/>
    </font>
    <font>
      <u/>
      <sz val="11"/>
      <color rgb="FF0000FF"/>
      <name val="Calibri"/>
      <family val="2"/>
      <scheme val="minor"/>
    </font>
    <font>
      <u/>
      <sz val="14"/>
      <color rgb="FF0000FF"/>
      <name val="Calibri"/>
      <family val="2"/>
      <scheme val="minor"/>
    </font>
    <font>
      <sz val="8"/>
      <color rgb="FF000000"/>
      <name val="Calibri"/>
      <family val="2"/>
      <scheme val="minor"/>
    </font>
    <font>
      <b/>
      <sz val="9"/>
      <name val="Tahoma"/>
      <family val="2"/>
    </font>
    <font>
      <sz val="9"/>
      <name val="Tahoma"/>
      <family val="2"/>
    </font>
    <font>
      <b/>
      <i/>
      <sz val="11"/>
      <name val="Calibri"/>
      <family val="2"/>
    </font>
    <font>
      <sz val="11"/>
      <color theme="1" tint="4.9989318521683403E-2"/>
      <name val="Calibri"/>
      <family val="2"/>
    </font>
    <font>
      <sz val="11"/>
      <name val="Calibri"/>
      <family val="2"/>
    </font>
    <font>
      <b/>
      <sz val="9"/>
      <name val="Tahoma"/>
      <family val="2"/>
      <charset val="1"/>
    </font>
    <font>
      <sz val="9"/>
      <name val="Tahoma"/>
      <family val="2"/>
      <charset val="1"/>
    </font>
    <font>
      <sz val="11"/>
      <color theme="1"/>
      <name val="IBM Plex Sans Light"/>
      <family val="2"/>
    </font>
    <font>
      <u/>
      <sz val="11"/>
      <color theme="10"/>
      <name val="IBM Plex Sans Light"/>
      <family val="2"/>
    </font>
    <font>
      <b/>
      <sz val="11"/>
      <color theme="3"/>
      <name val="IBM Plex Sans Light"/>
      <family val="2"/>
    </font>
    <font>
      <b/>
      <sz val="11"/>
      <color theme="1"/>
      <name val="IBM Plex Sans Light"/>
      <family val="2"/>
    </font>
    <font>
      <sz val="10"/>
      <name val="Arial"/>
      <family val="2"/>
    </font>
    <font>
      <sz val="11"/>
      <name val="IBM Plex Sans Light"/>
      <family val="2"/>
    </font>
    <font>
      <sz val="11"/>
      <color theme="4" tint="-0.249977111117893"/>
      <name val="IBM Plex Sans Light"/>
      <family val="2"/>
    </font>
    <font>
      <u/>
      <sz val="11"/>
      <name val="IBM Plex Sans Light"/>
      <family val="2"/>
    </font>
    <font>
      <u/>
      <sz val="11"/>
      <color theme="4" tint="-0.249977111117893"/>
      <name val="IBM Plex Sans Light"/>
      <family val="2"/>
    </font>
    <font>
      <sz val="11"/>
      <color theme="3"/>
      <name val="IBM Plex Sans Light"/>
      <family val="2"/>
    </font>
    <font>
      <sz val="11"/>
      <color theme="9" tint="-0.249977111117893"/>
      <name val="IBM Plex Sans Light"/>
      <family val="2"/>
    </font>
    <font>
      <b/>
      <sz val="11"/>
      <name val="IBM Plex Sans Light"/>
      <family val="2"/>
    </font>
    <font>
      <sz val="11"/>
      <color theme="5"/>
      <name val="IBM Plex Sans Light"/>
      <family val="2"/>
    </font>
    <font>
      <i/>
      <sz val="11"/>
      <name val="IBM Plex Sans Light"/>
      <family val="2"/>
    </font>
    <font>
      <sz val="9"/>
      <name val="IBM Plex Sans Light"/>
      <family val="2"/>
    </font>
    <font>
      <b/>
      <sz val="9"/>
      <color rgb="FF0000FF"/>
      <name val="IBM Plex Sans Light"/>
      <family val="2"/>
    </font>
    <font>
      <sz val="9"/>
      <color rgb="FF0000FF"/>
      <name val="IBM Plex Sans Light"/>
      <family val="2"/>
    </font>
    <font>
      <sz val="9"/>
      <color rgb="FF006600"/>
      <name val="IBM Plex Sans Light"/>
      <family val="2"/>
    </font>
    <font>
      <b/>
      <sz val="9"/>
      <name val="IBM Plex Sans Light"/>
      <family val="2"/>
    </font>
    <font>
      <b/>
      <u/>
      <sz val="9"/>
      <name val="IBM Plex Sans Light"/>
      <family val="2"/>
    </font>
    <font>
      <sz val="9"/>
      <color theme="4" tint="-0.249977111117893"/>
      <name val="IBM Plex Sans Light"/>
      <family val="2"/>
    </font>
    <font>
      <sz val="9"/>
      <color rgb="FFFF0000"/>
      <name val="IBM Plex Sans Light"/>
      <family val="2"/>
    </font>
    <font>
      <u/>
      <sz val="9"/>
      <name val="IBM Plex Sans Light"/>
      <family val="2"/>
    </font>
    <font>
      <sz val="9"/>
      <color theme="1"/>
      <name val="IBM Plex Sans Light"/>
      <family val="2"/>
    </font>
    <font>
      <sz val="9"/>
      <color theme="0"/>
      <name val="IBM Plex Sans Light"/>
      <family val="2"/>
    </font>
    <font>
      <sz val="9"/>
      <name val="Calibri"/>
      <family val="2"/>
    </font>
    <font>
      <sz val="9"/>
      <color indexed="12"/>
      <name val="IBM Plex Sans Light"/>
      <family val="2"/>
    </font>
    <font>
      <i/>
      <sz val="9"/>
      <color indexed="12"/>
      <name val="IBM Plex Sans Light"/>
      <family val="2"/>
    </font>
    <font>
      <i/>
      <sz val="9"/>
      <name val="IBM Plex Sans Light"/>
      <family val="2"/>
    </font>
    <font>
      <b/>
      <i/>
      <sz val="9"/>
      <name val="IBM Plex Sans Light"/>
      <family val="2"/>
    </font>
    <font>
      <sz val="9"/>
      <color indexed="10"/>
      <name val="IBM Plex Sans Light"/>
      <family val="2"/>
    </font>
    <font>
      <sz val="8"/>
      <name val="Arial"/>
      <family val="2"/>
    </font>
    <font>
      <i/>
      <sz val="8"/>
      <name val="Arial"/>
      <family val="2"/>
    </font>
    <font>
      <sz val="9"/>
      <color theme="3"/>
      <name val="Calibri"/>
      <family val="2"/>
      <scheme val="minor"/>
    </font>
    <font>
      <sz val="9"/>
      <color theme="1"/>
      <name val="Calibri"/>
      <family val="2"/>
      <scheme val="minor"/>
    </font>
  </fonts>
  <fills count="18">
    <fill>
      <patternFill patternType="none"/>
    </fill>
    <fill>
      <patternFill patternType="gray125"/>
    </fill>
    <fill>
      <patternFill patternType="solid">
        <fgColor rgb="FFC6EFCE"/>
        <bgColor indexed="64"/>
      </patternFill>
    </fill>
    <fill>
      <patternFill patternType="solid">
        <fgColor rgb="FFF2F2F2"/>
        <bgColor indexed="64"/>
      </patternFill>
    </fill>
    <fill>
      <patternFill patternType="solid">
        <fgColor theme="0"/>
        <bgColor indexed="64"/>
      </patternFill>
    </fill>
    <fill>
      <patternFill patternType="solid">
        <fgColor theme="0" tint="-4.8463393047883545E-2"/>
        <bgColor indexed="64"/>
      </patternFill>
    </fill>
    <fill>
      <patternFill patternType="solid">
        <fgColor rgb="FF89E0FF"/>
        <bgColor indexed="64"/>
      </patternFill>
    </fill>
    <fill>
      <patternFill patternType="solid">
        <fgColor theme="0" tint="-0.24845118564409313"/>
        <bgColor indexed="64"/>
      </patternFill>
    </fill>
    <fill>
      <patternFill patternType="solid">
        <fgColor rgb="FFFBCE20"/>
        <bgColor indexed="64"/>
      </patternFill>
    </fill>
    <fill>
      <patternFill patternType="solid">
        <fgColor rgb="FFFFFFFF"/>
        <bgColor indexed="64"/>
      </patternFill>
    </fill>
    <fill>
      <patternFill patternType="solid">
        <fgColor rgb="FF000000"/>
        <bgColor indexed="64"/>
      </patternFill>
    </fill>
    <fill>
      <patternFill patternType="solid">
        <fgColor rgb="FFBFBFBF"/>
        <bgColor indexed="64"/>
      </patternFill>
    </fill>
    <fill>
      <patternFill patternType="solid">
        <fgColor theme="1"/>
        <bgColor indexed="64"/>
      </patternFill>
    </fill>
    <fill>
      <patternFill patternType="solid">
        <fgColor rgb="FFFFFF00"/>
        <bgColor indexed="64"/>
      </patternFill>
    </fill>
    <fill>
      <patternFill patternType="solid">
        <fgColor theme="9" tint="0.39997558519241921"/>
        <bgColor indexed="64"/>
      </patternFill>
    </fill>
    <fill>
      <patternFill patternType="solid">
        <fgColor indexed="13"/>
        <bgColor indexed="34"/>
      </patternFill>
    </fill>
    <fill>
      <patternFill patternType="solid">
        <fgColor rgb="FFFF0000"/>
        <bgColor indexed="64"/>
      </patternFill>
    </fill>
    <fill>
      <patternFill patternType="solid">
        <fgColor indexed="42"/>
        <bgColor indexed="27"/>
      </patternFill>
    </fill>
  </fills>
  <borders count="48">
    <border>
      <left/>
      <right/>
      <top/>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auto="1"/>
      </right>
      <top style="thin">
        <color auto="1"/>
      </top>
      <bottom style="thin">
        <color rgb="FF000000"/>
      </bottom>
      <diagonal/>
    </border>
    <border>
      <left/>
      <right/>
      <top style="thin">
        <color rgb="FF000000"/>
      </top>
      <bottom/>
      <diagonal/>
    </border>
    <border>
      <left style="thin">
        <color rgb="FF000000"/>
      </left>
      <right style="thin">
        <color auto="1"/>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ck">
        <color auto="1"/>
      </right>
      <top/>
      <bottom/>
      <diagonal/>
    </border>
    <border>
      <left/>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right style="thick">
        <color rgb="FF000000"/>
      </right>
      <top/>
      <bottom/>
      <diagonal/>
    </border>
    <border>
      <left/>
      <right style="thick">
        <color rgb="FF000000"/>
      </right>
      <top/>
      <bottom style="thin">
        <color rgb="FF000000"/>
      </bottom>
      <diagonal/>
    </border>
    <border>
      <left/>
      <right style="thick">
        <color auto="1"/>
      </right>
      <top/>
      <bottom style="thin">
        <color auto="1"/>
      </bottom>
      <diagonal/>
    </border>
    <border>
      <left/>
      <right style="thick">
        <color auto="1"/>
      </right>
      <top style="thin">
        <color auto="1"/>
      </top>
      <bottom/>
      <diagonal/>
    </border>
    <border>
      <left/>
      <right style="thick">
        <color auto="1"/>
      </right>
      <top style="thin">
        <color auto="1"/>
      </top>
      <bottom style="thin">
        <color auto="1"/>
      </bottom>
      <diagonal/>
    </border>
    <border>
      <left/>
      <right style="thick">
        <color rgb="FF000000"/>
      </right>
      <top style="thin">
        <color rgb="FF000000"/>
      </top>
      <bottom style="thin">
        <color rgb="FF000000"/>
      </bottom>
      <diagonal/>
    </border>
    <border>
      <left/>
      <right style="thick">
        <color rgb="FF000000"/>
      </right>
      <top style="thin">
        <color rgb="FF000000"/>
      </top>
      <bottom/>
      <diagonal/>
    </border>
    <border>
      <left/>
      <right style="thick">
        <color rgb="FF000000"/>
      </right>
      <top/>
      <bottom style="thin">
        <color auto="1"/>
      </bottom>
      <diagonal/>
    </border>
    <border>
      <left/>
      <right style="thick">
        <color auto="1"/>
      </right>
      <top/>
      <bottom style="thin">
        <color rgb="FF000000"/>
      </bottom>
      <diagonal/>
    </border>
    <border>
      <left/>
      <right style="thick">
        <color rgb="FF000000"/>
      </right>
      <top style="thin">
        <color auto="1"/>
      </top>
      <bottom/>
      <diagonal/>
    </border>
    <border>
      <left/>
      <right/>
      <top/>
      <bottom style="double">
        <color indexed="64"/>
      </bottom>
      <diagonal/>
    </border>
    <border>
      <left style="medium">
        <color rgb="FFD3D3D3"/>
      </left>
      <right style="medium">
        <color rgb="FFD3D3D3"/>
      </right>
      <top style="medium">
        <color rgb="FFD3D3D3"/>
      </top>
      <bottom style="medium">
        <color rgb="FFD3D3D3"/>
      </bottom>
      <diagonal/>
    </border>
    <border>
      <left/>
      <right/>
      <top/>
      <bottom style="medium">
        <color indexed="8"/>
      </bottom>
      <diagonal/>
    </border>
    <border>
      <left/>
      <right style="thin">
        <color indexed="64"/>
      </right>
      <top/>
      <bottom style="medium">
        <color indexed="8"/>
      </bottom>
      <diagonal/>
    </border>
    <border>
      <left/>
      <right style="thin">
        <color indexed="64"/>
      </right>
      <top style="medium">
        <color indexed="8"/>
      </top>
      <bottom/>
      <diagonal/>
    </border>
    <border>
      <left/>
      <right/>
      <top/>
      <bottom style="thin">
        <color indexed="8"/>
      </bottom>
      <diagonal/>
    </border>
    <border>
      <left/>
      <right style="thin">
        <color indexed="64"/>
      </right>
      <top/>
      <bottom style="thin">
        <color indexed="8"/>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s>
  <cellStyleXfs count="29">
    <xf numFmtId="0" fontId="0" fillId="0" borderId="0"/>
    <xf numFmtId="44" fontId="51" fillId="0" borderId="0"/>
    <xf numFmtId="44" fontId="2" fillId="0" borderId="0"/>
    <xf numFmtId="44" fontId="51" fillId="0" borderId="0"/>
    <xf numFmtId="0" fontId="15" fillId="2" borderId="0"/>
    <xf numFmtId="0" fontId="4" fillId="0" borderId="0"/>
    <xf numFmtId="0" fontId="12" fillId="0" borderId="0">
      <alignment vertical="top"/>
      <protection locked="0"/>
    </xf>
    <xf numFmtId="0" fontId="2" fillId="0" borderId="0"/>
    <xf numFmtId="0" fontId="2" fillId="0" borderId="0"/>
    <xf numFmtId="0" fontId="51" fillId="0" borderId="0"/>
    <xf numFmtId="9" fontId="2" fillId="0" borderId="0"/>
    <xf numFmtId="43" fontId="51" fillId="0" borderId="0" applyFont="0" applyFill="0" applyBorder="0" applyAlignment="0" applyProtection="0"/>
    <xf numFmtId="9" fontId="51" fillId="0" borderId="0" applyFont="0" applyFill="0" applyBorder="0" applyAlignment="0" applyProtection="0"/>
    <xf numFmtId="0" fontId="1" fillId="0" borderId="0"/>
    <xf numFmtId="0" fontId="4" fillId="0" borderId="0" applyNumberFormat="0" applyFill="0" applyBorder="0" applyAlignment="0" applyProtection="0"/>
    <xf numFmtId="0" fontId="58" fillId="0" borderId="0"/>
    <xf numFmtId="43" fontId="58"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8" fillId="0" borderId="0"/>
    <xf numFmtId="43" fontId="1" fillId="0" borderId="0" applyFont="0" applyFill="0" applyBorder="0" applyAlignment="0" applyProtection="0"/>
    <xf numFmtId="0" fontId="58" fillId="0" borderId="0"/>
    <xf numFmtId="43" fontId="51" fillId="0" borderId="0" applyFont="0" applyFill="0" applyBorder="0" applyAlignment="0" applyProtection="0"/>
    <xf numFmtId="0" fontId="58" fillId="0" borderId="0"/>
    <xf numFmtId="43" fontId="58" fillId="0" borderId="0" applyFont="0" applyFill="0" applyBorder="0" applyAlignment="0" applyProtection="0"/>
    <xf numFmtId="9" fontId="58" fillId="0" borderId="0" applyFill="0" applyBorder="0" applyAlignment="0" applyProtection="0"/>
    <xf numFmtId="210" fontId="58" fillId="0" borderId="0" applyFill="0" applyBorder="0" applyAlignment="0" applyProtection="0"/>
    <xf numFmtId="43" fontId="51" fillId="0" borderId="0" applyFont="0"/>
    <xf numFmtId="9" fontId="51" fillId="0" borderId="0" applyFont="0" applyFill="0" applyBorder="0" applyAlignment="0" applyProtection="0"/>
  </cellStyleXfs>
  <cellXfs count="1223">
    <xf numFmtId="0" fontId="0" fillId="0" borderId="0" xfId="0"/>
    <xf numFmtId="0" fontId="2" fillId="0" borderId="0" xfId="8"/>
    <xf numFmtId="0" fontId="51" fillId="0" borderId="0" xfId="9"/>
    <xf numFmtId="166" fontId="0" fillId="0" borderId="0" xfId="0" applyNumberFormat="1"/>
    <xf numFmtId="169" fontId="6" fillId="6" borderId="0" xfId="0" applyNumberFormat="1" applyFont="1" applyFill="1" applyAlignment="1">
      <alignment horizontal="right"/>
    </xf>
    <xf numFmtId="169" fontId="9" fillId="6" borderId="0" xfId="0" applyNumberFormat="1" applyFont="1" applyFill="1" applyAlignment="1">
      <alignment horizontal="right"/>
    </xf>
    <xf numFmtId="169" fontId="9" fillId="6" borderId="2" xfId="0" applyNumberFormat="1" applyFont="1" applyFill="1" applyBorder="1" applyAlignment="1">
      <alignment horizontal="right"/>
    </xf>
    <xf numFmtId="166" fontId="6" fillId="0" borderId="0" xfId="0" applyNumberFormat="1" applyFont="1"/>
    <xf numFmtId="0" fontId="2" fillId="4" borderId="0" xfId="8" applyFill="1"/>
    <xf numFmtId="0" fontId="2" fillId="5" borderId="0" xfId="8" applyFill="1"/>
    <xf numFmtId="0" fontId="16" fillId="5" borderId="0" xfId="8" applyFont="1" applyFill="1"/>
    <xf numFmtId="0" fontId="17" fillId="5" borderId="0" xfId="8" applyFont="1" applyFill="1"/>
    <xf numFmtId="1" fontId="16" fillId="5" borderId="0" xfId="8" applyNumberFormat="1" applyFont="1" applyFill="1" applyAlignment="1">
      <alignment horizontal="center"/>
    </xf>
    <xf numFmtId="0" fontId="13" fillId="5" borderId="0" xfId="8" applyFont="1" applyFill="1"/>
    <xf numFmtId="1" fontId="18" fillId="7" borderId="0" xfId="8" applyNumberFormat="1" applyFont="1" applyFill="1" applyAlignment="1">
      <alignment horizontal="center" vertical="center"/>
    </xf>
    <xf numFmtId="0" fontId="2" fillId="5" borderId="0" xfId="8" applyFill="1" applyAlignment="1">
      <alignment vertical="center"/>
    </xf>
    <xf numFmtId="0" fontId="19" fillId="5" borderId="0" xfId="8" applyFont="1" applyFill="1" applyAlignment="1">
      <alignment vertical="center"/>
    </xf>
    <xf numFmtId="14" fontId="13" fillId="8" borderId="0" xfId="8" applyNumberFormat="1" applyFont="1" applyFill="1" applyAlignment="1">
      <alignment horizontal="center" vertical="center"/>
    </xf>
    <xf numFmtId="0" fontId="13" fillId="5" borderId="0" xfId="8" applyFont="1" applyFill="1" applyAlignment="1">
      <alignment horizontal="center"/>
    </xf>
    <xf numFmtId="0" fontId="2" fillId="4" borderId="9" xfId="8" applyFill="1" applyBorder="1" applyAlignment="1">
      <alignment horizontal="center"/>
    </xf>
    <xf numFmtId="0" fontId="8" fillId="4" borderId="9" xfId="8" applyFont="1" applyFill="1" applyBorder="1" applyAlignment="1">
      <alignment horizontal="center"/>
    </xf>
    <xf numFmtId="14" fontId="8" fillId="4" borderId="9" xfId="8" applyNumberFormat="1" applyFont="1" applyFill="1" applyBorder="1" applyAlignment="1">
      <alignment horizontal="center"/>
    </xf>
    <xf numFmtId="0" fontId="13" fillId="0" borderId="0" xfId="8" applyFont="1" applyAlignment="1">
      <alignment vertical="center"/>
    </xf>
    <xf numFmtId="172" fontId="6" fillId="6" borderId="0" xfId="0" applyNumberFormat="1" applyFont="1" applyFill="1" applyAlignment="1">
      <alignment horizontal="right"/>
    </xf>
    <xf numFmtId="172" fontId="0" fillId="6" borderId="0" xfId="0" applyNumberFormat="1" applyFont="1" applyFill="1" applyAlignment="1">
      <alignment horizontal="right"/>
    </xf>
    <xf numFmtId="0" fontId="13" fillId="5" borderId="0" xfId="8" applyFont="1" applyFill="1" applyAlignment="1">
      <alignment vertical="center"/>
    </xf>
    <xf numFmtId="169" fontId="14" fillId="6" borderId="0" xfId="0" applyNumberFormat="1" applyFont="1" applyFill="1" applyAlignment="1">
      <alignment horizontal="right"/>
    </xf>
    <xf numFmtId="169" fontId="0" fillId="6" borderId="0" xfId="0" applyNumberFormat="1" applyFont="1" applyFill="1"/>
    <xf numFmtId="169" fontId="0" fillId="6" borderId="0" xfId="0" applyNumberFormat="1" applyFont="1" applyFill="1" applyAlignment="1">
      <alignment horizontal="right"/>
    </xf>
    <xf numFmtId="166" fontId="0" fillId="0" borderId="0" xfId="0" applyNumberFormat="1" applyFont="1"/>
    <xf numFmtId="175" fontId="9" fillId="6" borderId="0" xfId="0" applyNumberFormat="1" applyFont="1" applyFill="1"/>
    <xf numFmtId="169" fontId="14" fillId="6" borderId="0" xfId="0" applyNumberFormat="1" applyFont="1" applyFill="1"/>
    <xf numFmtId="166" fontId="6" fillId="0" borderId="0" xfId="0" applyNumberFormat="1" applyFont="1" applyAlignment="1">
      <alignment horizontal="center"/>
    </xf>
    <xf numFmtId="169" fontId="6" fillId="0" borderId="0" xfId="0" applyNumberFormat="1" applyFont="1"/>
    <xf numFmtId="166" fontId="21" fillId="0" borderId="0" xfId="0" applyNumberFormat="1" applyFont="1"/>
    <xf numFmtId="171" fontId="6" fillId="0" borderId="0" xfId="0" applyNumberFormat="1" applyFont="1"/>
    <xf numFmtId="175" fontId="0" fillId="0" borderId="0" xfId="0" applyNumberFormat="1" applyFont="1"/>
    <xf numFmtId="172" fontId="6" fillId="0" borderId="0" xfId="0" applyNumberFormat="1" applyFont="1"/>
    <xf numFmtId="172" fontId="0" fillId="0" borderId="0" xfId="0" applyNumberFormat="1" applyFont="1"/>
    <xf numFmtId="0" fontId="19" fillId="5" borderId="0" xfId="8" applyFont="1" applyFill="1" applyAlignment="1">
      <alignment horizontal="center" vertical="center"/>
    </xf>
    <xf numFmtId="0" fontId="20" fillId="8" borderId="0" xfId="8" applyFont="1" applyFill="1" applyAlignment="1">
      <alignment horizontal="center" vertical="center"/>
    </xf>
    <xf numFmtId="0" fontId="2" fillId="5" borderId="0" xfId="8" applyFont="1" applyFill="1" applyAlignment="1">
      <alignment vertical="center"/>
    </xf>
    <xf numFmtId="0" fontId="17" fillId="5" borderId="0" xfId="8" quotePrefix="1" applyFont="1" applyFill="1"/>
    <xf numFmtId="0" fontId="19" fillId="5" borderId="0" xfId="8" applyFont="1" applyFill="1"/>
    <xf numFmtId="166" fontId="0" fillId="9" borderId="0" xfId="0" applyNumberFormat="1" applyFont="1" applyFill="1"/>
    <xf numFmtId="169" fontId="0" fillId="9" borderId="0" xfId="0" applyNumberFormat="1" applyFont="1" applyFill="1" applyAlignment="1">
      <alignment horizontal="right"/>
    </xf>
    <xf numFmtId="169" fontId="6" fillId="9" borderId="0" xfId="0" applyNumberFormat="1" applyFont="1" applyFill="1" applyAlignment="1">
      <alignment horizontal="right"/>
    </xf>
    <xf numFmtId="169" fontId="9" fillId="9" borderId="2" xfId="0" applyNumberFormat="1" applyFont="1" applyFill="1" applyBorder="1" applyAlignment="1">
      <alignment horizontal="right"/>
    </xf>
    <xf numFmtId="170" fontId="22" fillId="9" borderId="0" xfId="5" applyNumberFormat="1" applyFont="1" applyFill="1" applyAlignment="1">
      <alignment horizontal="left"/>
    </xf>
    <xf numFmtId="0" fontId="6" fillId="0" borderId="0" xfId="0" applyFont="1"/>
    <xf numFmtId="0" fontId="0" fillId="0" borderId="0" xfId="0" applyFont="1"/>
    <xf numFmtId="169" fontId="0" fillId="0" borderId="0" xfId="0" applyNumberFormat="1" applyFont="1"/>
    <xf numFmtId="169" fontId="5" fillId="9" borderId="0" xfId="1" applyNumberFormat="1" applyFont="1" applyFill="1"/>
    <xf numFmtId="166" fontId="6" fillId="9" borderId="7" xfId="0" applyNumberFormat="1" applyFont="1" applyFill="1" applyBorder="1" applyAlignment="1">
      <alignment horizontal="left"/>
    </xf>
    <xf numFmtId="166" fontId="6" fillId="9" borderId="0" xfId="0" applyNumberFormat="1" applyFont="1" applyFill="1" applyAlignment="1">
      <alignment horizontal="left"/>
    </xf>
    <xf numFmtId="166" fontId="6" fillId="9" borderId="0" xfId="0" applyNumberFormat="1" applyFont="1" applyFill="1" applyAlignment="1">
      <alignment horizontal="left" indent="4"/>
    </xf>
    <xf numFmtId="166" fontId="0" fillId="9" borderId="0" xfId="0" applyNumberFormat="1" applyFont="1" applyFill="1" applyAlignment="1">
      <alignment horizontal="left"/>
    </xf>
    <xf numFmtId="166" fontId="0" fillId="9" borderId="0" xfId="0" applyNumberFormat="1" applyFont="1" applyFill="1" applyAlignment="1">
      <alignment horizontal="left" indent="4"/>
    </xf>
    <xf numFmtId="169" fontId="0" fillId="9" borderId="0" xfId="0" applyNumberFormat="1" applyFont="1" applyFill="1"/>
    <xf numFmtId="169" fontId="8" fillId="9" borderId="0" xfId="1" applyNumberFormat="1" applyFont="1" applyFill="1"/>
    <xf numFmtId="169" fontId="0" fillId="9" borderId="0" xfId="0" applyNumberFormat="1" applyFont="1" applyFill="1" applyAlignment="1">
      <alignment horizontal="center"/>
    </xf>
    <xf numFmtId="166" fontId="0" fillId="9" borderId="0" xfId="0" applyNumberFormat="1" applyFont="1" applyFill="1" applyAlignment="1">
      <alignment horizontal="left" indent="1"/>
    </xf>
    <xf numFmtId="166" fontId="6" fillId="9" borderId="10" xfId="0" applyNumberFormat="1" applyFont="1" applyFill="1" applyBorder="1" applyAlignment="1">
      <alignment horizontal="left"/>
    </xf>
    <xf numFmtId="166" fontId="3" fillId="9" borderId="0" xfId="0" applyNumberFormat="1" applyFont="1" applyFill="1"/>
    <xf numFmtId="172" fontId="3" fillId="9" borderId="0" xfId="0" applyNumberFormat="1" applyFont="1" applyFill="1"/>
    <xf numFmtId="172" fontId="8" fillId="9" borderId="0" xfId="0" applyNumberFormat="1" applyFont="1" applyFill="1"/>
    <xf numFmtId="169" fontId="0" fillId="9" borderId="0" xfId="0" applyNumberFormat="1" applyFont="1" applyFill="1" applyAlignment="1">
      <alignment horizontal="left"/>
    </xf>
    <xf numFmtId="166" fontId="6" fillId="9" borderId="0" xfId="0" applyNumberFormat="1" applyFont="1" applyFill="1" applyAlignment="1">
      <alignment horizontal="left" indent="1"/>
    </xf>
    <xf numFmtId="166" fontId="0" fillId="9" borderId="0" xfId="0" applyNumberFormat="1" applyFont="1" applyFill="1" applyAlignment="1">
      <alignment horizontal="left" indent="2"/>
    </xf>
    <xf numFmtId="166" fontId="6" fillId="9" borderId="0" xfId="0" applyNumberFormat="1" applyFont="1" applyFill="1" applyAlignment="1">
      <alignment horizontal="left" indent="3"/>
    </xf>
    <xf numFmtId="168" fontId="6" fillId="9" borderId="0" xfId="0" applyNumberFormat="1" applyFont="1" applyFill="1"/>
    <xf numFmtId="168" fontId="6" fillId="0" borderId="0" xfId="0" applyNumberFormat="1" applyFont="1"/>
    <xf numFmtId="168" fontId="0" fillId="9" borderId="0" xfId="0" applyNumberFormat="1" applyFont="1" applyFill="1"/>
    <xf numFmtId="168" fontId="0" fillId="0" borderId="0" xfId="0" applyNumberFormat="1" applyFont="1"/>
    <xf numFmtId="0" fontId="6" fillId="9" borderId="0" xfId="0" applyFont="1" applyFill="1"/>
    <xf numFmtId="169" fontId="25" fillId="10" borderId="0" xfId="0" applyNumberFormat="1" applyFont="1" applyFill="1"/>
    <xf numFmtId="0" fontId="27" fillId="9" borderId="0" xfId="0" applyFont="1" applyFill="1" applyAlignment="1">
      <alignment horizontal="center"/>
    </xf>
    <xf numFmtId="169" fontId="28" fillId="6" borderId="0" xfId="0" applyNumberFormat="1" applyFont="1" applyFill="1" applyAlignment="1">
      <alignment horizontal="right"/>
    </xf>
    <xf numFmtId="169" fontId="26" fillId="9" borderId="7" xfId="0" applyNumberFormat="1" applyFont="1" applyFill="1" applyBorder="1" applyAlignment="1">
      <alignment horizontal="right"/>
    </xf>
    <xf numFmtId="169" fontId="26" fillId="6" borderId="7" xfId="0" applyNumberFormat="1" applyFont="1" applyFill="1" applyBorder="1" applyAlignment="1">
      <alignment horizontal="right"/>
    </xf>
    <xf numFmtId="169" fontId="26" fillId="9" borderId="0" xfId="0" applyNumberFormat="1" applyFont="1" applyFill="1" applyAlignment="1">
      <alignment horizontal="right"/>
    </xf>
    <xf numFmtId="169" fontId="26" fillId="6" borderId="0" xfId="0" applyNumberFormat="1" applyFont="1" applyFill="1" applyAlignment="1">
      <alignment horizontal="right"/>
    </xf>
    <xf numFmtId="169" fontId="28" fillId="6" borderId="2" xfId="0" applyNumberFormat="1" applyFont="1" applyFill="1" applyBorder="1" applyAlignment="1">
      <alignment horizontal="right"/>
    </xf>
    <xf numFmtId="171" fontId="26" fillId="6" borderId="0" xfId="0" applyNumberFormat="1" applyFont="1" applyFill="1"/>
    <xf numFmtId="171" fontId="26" fillId="6" borderId="0" xfId="1" applyNumberFormat="1" applyFont="1" applyFill="1"/>
    <xf numFmtId="172" fontId="26" fillId="6" borderId="0" xfId="0" applyNumberFormat="1" applyFont="1" applyFill="1" applyAlignment="1">
      <alignment horizontal="right"/>
    </xf>
    <xf numFmtId="166" fontId="23" fillId="2" borderId="0" xfId="4" applyNumberFormat="1" applyFont="1" applyFill="1"/>
    <xf numFmtId="166" fontId="6" fillId="9" borderId="7" xfId="0" applyNumberFormat="1" applyFont="1" applyFill="1" applyBorder="1" applyAlignment="1">
      <alignment horizontal="left" indent="4"/>
    </xf>
    <xf numFmtId="1" fontId="6" fillId="9" borderId="0" xfId="0" applyNumberFormat="1" applyFont="1" applyFill="1" applyAlignment="1">
      <alignment horizontal="center"/>
    </xf>
    <xf numFmtId="1" fontId="26" fillId="9" borderId="0" xfId="0" applyNumberFormat="1" applyFont="1" applyFill="1" applyAlignment="1">
      <alignment horizontal="center"/>
    </xf>
    <xf numFmtId="17" fontId="23" fillId="9" borderId="0" xfId="0" applyNumberFormat="1" applyFont="1" applyFill="1" applyAlignment="1">
      <alignment horizontal="center"/>
    </xf>
    <xf numFmtId="166" fontId="51" fillId="0" borderId="0" xfId="9" applyNumberFormat="1"/>
    <xf numFmtId="171" fontId="6" fillId="0" borderId="0" xfId="9" applyNumberFormat="1" applyFont="1"/>
    <xf numFmtId="166" fontId="6" fillId="0" borderId="0" xfId="9" applyNumberFormat="1" applyFont="1"/>
    <xf numFmtId="169" fontId="51" fillId="0" borderId="0" xfId="9" applyNumberFormat="1"/>
    <xf numFmtId="169" fontId="6" fillId="0" borderId="0" xfId="9" applyNumberFormat="1" applyFont="1"/>
    <xf numFmtId="182" fontId="6" fillId="0" borderId="0" xfId="9" applyNumberFormat="1" applyFont="1"/>
    <xf numFmtId="172" fontId="6" fillId="0" borderId="0" xfId="9" applyNumberFormat="1" applyFont="1"/>
    <xf numFmtId="183" fontId="6" fillId="0" borderId="0" xfId="9" applyNumberFormat="1" applyFont="1"/>
    <xf numFmtId="172" fontId="51" fillId="0" borderId="0" xfId="9" applyNumberFormat="1"/>
    <xf numFmtId="0" fontId="16" fillId="5" borderId="0" xfId="8" applyFont="1" applyFill="1" applyAlignment="1">
      <alignment horizontal="left" wrapText="1" indent="1"/>
    </xf>
    <xf numFmtId="0" fontId="16" fillId="0" borderId="0" xfId="8" applyFont="1"/>
    <xf numFmtId="169" fontId="28" fillId="9" borderId="0" xfId="0" applyNumberFormat="1" applyFont="1" applyFill="1"/>
    <xf numFmtId="0" fontId="4" fillId="4" borderId="9" xfId="5" applyFill="1" applyBorder="1" applyAlignment="1">
      <alignment horizontal="left"/>
    </xf>
    <xf numFmtId="166" fontId="26" fillId="9" borderId="7" xfId="0" applyNumberFormat="1" applyFont="1" applyFill="1" applyBorder="1" applyAlignment="1">
      <alignment horizontal="left"/>
    </xf>
    <xf numFmtId="166" fontId="26" fillId="9" borderId="0" xfId="0" applyNumberFormat="1" applyFont="1" applyFill="1" applyAlignment="1">
      <alignment horizontal="left"/>
    </xf>
    <xf numFmtId="166" fontId="26" fillId="9" borderId="0" xfId="0" applyNumberFormat="1" applyFont="1" applyFill="1" applyAlignment="1">
      <alignment horizontal="left" indent="3"/>
    </xf>
    <xf numFmtId="171" fontId="27" fillId="9" borderId="0" xfId="0" applyNumberFormat="1" applyFont="1" applyFill="1" applyAlignment="1">
      <alignment horizontal="left"/>
    </xf>
    <xf numFmtId="171" fontId="26" fillId="9" borderId="0" xfId="1" applyNumberFormat="1" applyFont="1" applyFill="1"/>
    <xf numFmtId="171" fontId="30" fillId="9" borderId="0" xfId="0" applyNumberFormat="1" applyFont="1" applyFill="1" applyAlignment="1">
      <alignment horizontal="left" indent="1"/>
    </xf>
    <xf numFmtId="171" fontId="29" fillId="9" borderId="0" xfId="0" applyNumberFormat="1" applyFont="1" applyFill="1"/>
    <xf numFmtId="166" fontId="28" fillId="9" borderId="0" xfId="0" applyNumberFormat="1" applyFont="1" applyFill="1" applyAlignment="1">
      <alignment horizontal="left" indent="1"/>
    </xf>
    <xf numFmtId="166" fontId="26" fillId="9" borderId="10" xfId="0" applyNumberFormat="1" applyFont="1" applyFill="1" applyBorder="1" applyAlignment="1">
      <alignment horizontal="left"/>
    </xf>
    <xf numFmtId="169" fontId="26" fillId="9" borderId="0" xfId="0" applyNumberFormat="1" applyFont="1" applyFill="1"/>
    <xf numFmtId="171" fontId="27" fillId="9" borderId="0" xfId="1" applyNumberFormat="1" applyFont="1" applyFill="1"/>
    <xf numFmtId="171" fontId="26" fillId="9" borderId="0" xfId="0" applyNumberFormat="1" applyFont="1" applyFill="1"/>
    <xf numFmtId="169" fontId="26" fillId="9" borderId="7" xfId="0" applyNumberFormat="1" applyFont="1" applyFill="1" applyBorder="1" applyAlignment="1">
      <alignment horizontal="left"/>
    </xf>
    <xf numFmtId="169" fontId="28" fillId="9" borderId="2" xfId="0" applyNumberFormat="1" applyFont="1" applyFill="1" applyBorder="1" applyAlignment="1">
      <alignment horizontal="right"/>
    </xf>
    <xf numFmtId="0" fontId="33" fillId="5" borderId="0" xfId="8" applyFont="1" applyFill="1" applyAlignment="1">
      <alignment horizontal="center"/>
    </xf>
    <xf numFmtId="186" fontId="3" fillId="5" borderId="0" xfId="8" applyNumberFormat="1" applyFont="1" applyFill="1" applyAlignment="1">
      <alignment horizontal="right"/>
    </xf>
    <xf numFmtId="172" fontId="6" fillId="9" borderId="0" xfId="0" applyNumberFormat="1" applyFont="1" applyFill="1"/>
    <xf numFmtId="172" fontId="0" fillId="9" borderId="0" xfId="0" applyNumberFormat="1" applyFont="1" applyFill="1"/>
    <xf numFmtId="17" fontId="8" fillId="9" borderId="0" xfId="0" applyNumberFormat="1" applyFont="1" applyFill="1" applyAlignment="1">
      <alignment horizontal="center"/>
    </xf>
    <xf numFmtId="169" fontId="6" fillId="9" borderId="7" xfId="0" applyNumberFormat="1" applyFont="1" applyFill="1" applyBorder="1" applyAlignment="1">
      <alignment horizontal="right"/>
    </xf>
    <xf numFmtId="169" fontId="0" fillId="9" borderId="2" xfId="0" applyNumberFormat="1" applyFont="1" applyFill="1" applyBorder="1" applyAlignment="1">
      <alignment horizontal="right"/>
    </xf>
    <xf numFmtId="166" fontId="21" fillId="9" borderId="0" xfId="0" applyNumberFormat="1" applyFont="1" applyFill="1"/>
    <xf numFmtId="169" fontId="6" fillId="9" borderId="0" xfId="0" applyNumberFormat="1" applyFont="1" applyFill="1"/>
    <xf numFmtId="169" fontId="6" fillId="6" borderId="7" xfId="0" applyNumberFormat="1" applyFont="1" applyFill="1" applyBorder="1" applyAlignment="1">
      <alignment horizontal="right"/>
    </xf>
    <xf numFmtId="169" fontId="0" fillId="6" borderId="2" xfId="0" applyNumberFormat="1" applyFont="1" applyFill="1" applyBorder="1" applyAlignment="1">
      <alignment horizontal="right"/>
    </xf>
    <xf numFmtId="169" fontId="6" fillId="6" borderId="0" xfId="0" applyNumberFormat="1" applyFont="1" applyFill="1"/>
    <xf numFmtId="171" fontId="6" fillId="6" borderId="0" xfId="0" applyNumberFormat="1" applyFont="1" applyFill="1"/>
    <xf numFmtId="171" fontId="6" fillId="6" borderId="0" xfId="1" applyNumberFormat="1" applyFont="1" applyFill="1"/>
    <xf numFmtId="175" fontId="0" fillId="6" borderId="0" xfId="0" applyNumberFormat="1" applyFont="1" applyFill="1"/>
    <xf numFmtId="185" fontId="3" fillId="9" borderId="0" xfId="0" applyNumberFormat="1" applyFont="1" applyFill="1"/>
    <xf numFmtId="171" fontId="6" fillId="9" borderId="0" xfId="0" applyNumberFormat="1" applyFont="1" applyFill="1"/>
    <xf numFmtId="175" fontId="0" fillId="9" borderId="0" xfId="0" applyNumberFormat="1" applyFont="1" applyFill="1"/>
    <xf numFmtId="166" fontId="29" fillId="0" borderId="0" xfId="0" applyNumberFormat="1" applyFont="1"/>
    <xf numFmtId="171" fontId="29" fillId="0" borderId="0" xfId="0" applyNumberFormat="1" applyFont="1"/>
    <xf numFmtId="169" fontId="29" fillId="9" borderId="0" xfId="0" applyNumberFormat="1" applyFont="1" applyFill="1" applyAlignment="1">
      <alignment horizontal="left" indent="1"/>
    </xf>
    <xf numFmtId="169" fontId="21" fillId="9" borderId="0" xfId="0" applyNumberFormat="1" applyFont="1" applyFill="1" applyAlignment="1">
      <alignment horizontal="left" indent="1"/>
    </xf>
    <xf numFmtId="169" fontId="21" fillId="0" borderId="0" xfId="0" applyNumberFormat="1" applyFont="1" applyAlignment="1">
      <alignment horizontal="left" indent="1"/>
    </xf>
    <xf numFmtId="169" fontId="23" fillId="9" borderId="0" xfId="1" applyNumberFormat="1" applyFont="1" applyFill="1"/>
    <xf numFmtId="169" fontId="27" fillId="9" borderId="7" xfId="1" applyNumberFormat="1" applyFont="1" applyFill="1" applyBorder="1"/>
    <xf numFmtId="169" fontId="23" fillId="9" borderId="2" xfId="1" applyNumberFormat="1" applyFont="1" applyFill="1" applyBorder="1"/>
    <xf numFmtId="169" fontId="27" fillId="9" borderId="0" xfId="1" applyNumberFormat="1" applyFont="1" applyFill="1"/>
    <xf numFmtId="169" fontId="30" fillId="9" borderId="0" xfId="1" applyNumberFormat="1" applyFont="1" applyFill="1" applyAlignment="1">
      <alignment horizontal="left" indent="1"/>
    </xf>
    <xf numFmtId="166" fontId="6" fillId="9" borderId="7" xfId="0" applyNumberFormat="1" applyFont="1" applyFill="1" applyBorder="1" applyAlignment="1">
      <alignment horizontal="left" indent="3"/>
    </xf>
    <xf numFmtId="166" fontId="0" fillId="9" borderId="0" xfId="0" applyNumberFormat="1" applyFont="1" applyFill="1" applyAlignment="1">
      <alignment horizontal="left" indent="3"/>
    </xf>
    <xf numFmtId="166" fontId="6" fillId="9" borderId="10" xfId="0" applyNumberFormat="1" applyFont="1" applyFill="1" applyBorder="1" applyAlignment="1">
      <alignment horizontal="left" indent="3"/>
    </xf>
    <xf numFmtId="166" fontId="28" fillId="9" borderId="0" xfId="0" applyNumberFormat="1" applyFont="1" applyFill="1" applyAlignment="1">
      <alignment horizontal="left" indent="3"/>
    </xf>
    <xf numFmtId="166" fontId="26" fillId="9" borderId="7" xfId="0" applyNumberFormat="1" applyFont="1" applyFill="1" applyBorder="1" applyAlignment="1">
      <alignment horizontal="left" indent="3"/>
    </xf>
    <xf numFmtId="166" fontId="26" fillId="9" borderId="10" xfId="0" applyNumberFormat="1" applyFont="1" applyFill="1" applyBorder="1" applyAlignment="1">
      <alignment horizontal="left" indent="3"/>
    </xf>
    <xf numFmtId="169" fontId="30" fillId="9" borderId="0" xfId="0" applyNumberFormat="1" applyFont="1" applyFill="1" applyAlignment="1">
      <alignment horizontal="left" indent="1"/>
    </xf>
    <xf numFmtId="169" fontId="29" fillId="9" borderId="0" xfId="0" applyNumberFormat="1" applyFont="1" applyFill="1"/>
    <xf numFmtId="169" fontId="29" fillId="0" borderId="0" xfId="0" applyNumberFormat="1" applyFont="1"/>
    <xf numFmtId="166" fontId="35" fillId="10" borderId="0" xfId="9" applyNumberFormat="1" applyFont="1" applyFill="1"/>
    <xf numFmtId="169" fontId="25" fillId="10" borderId="0" xfId="9" applyNumberFormat="1" applyFont="1" applyFill="1"/>
    <xf numFmtId="169" fontId="36" fillId="10" borderId="0" xfId="9" applyNumberFormat="1" applyFont="1" applyFill="1"/>
    <xf numFmtId="166" fontId="25" fillId="10" borderId="0" xfId="9" applyNumberFormat="1" applyFont="1" applyFill="1"/>
    <xf numFmtId="166" fontId="27" fillId="9" borderId="0" xfId="9" applyNumberFormat="1" applyFont="1" applyFill="1" applyAlignment="1">
      <alignment horizontal="center"/>
    </xf>
    <xf numFmtId="171" fontId="26" fillId="9" borderId="0" xfId="9" applyNumberFormat="1" applyFont="1" applyFill="1" applyAlignment="1">
      <alignment horizontal="right"/>
    </xf>
    <xf numFmtId="171" fontId="26" fillId="6" borderId="0" xfId="9" applyNumberFormat="1" applyFont="1" applyFill="1"/>
    <xf numFmtId="169" fontId="28" fillId="6" borderId="0" xfId="9" applyNumberFormat="1" applyFont="1" applyFill="1" applyAlignment="1">
      <alignment horizontal="right"/>
    </xf>
    <xf numFmtId="169" fontId="28" fillId="9" borderId="0" xfId="9" applyNumberFormat="1" applyFont="1" applyFill="1" applyAlignment="1">
      <alignment horizontal="right"/>
    </xf>
    <xf numFmtId="171" fontId="26" fillId="9" borderId="0" xfId="9" applyNumberFormat="1" applyFont="1" applyFill="1"/>
    <xf numFmtId="169" fontId="26" fillId="9" borderId="0" xfId="9" applyNumberFormat="1" applyFont="1" applyFill="1" applyAlignment="1">
      <alignment horizontal="center"/>
    </xf>
    <xf numFmtId="169" fontId="28" fillId="9" borderId="0" xfId="9" applyNumberFormat="1" applyFont="1" applyFill="1" applyAlignment="1">
      <alignment horizontal="center"/>
    </xf>
    <xf numFmtId="169" fontId="28" fillId="6" borderId="0" xfId="9" applyNumberFormat="1" applyFont="1" applyFill="1"/>
    <xf numFmtId="169" fontId="26" fillId="6" borderId="7" xfId="9" applyNumberFormat="1" applyFont="1" applyFill="1" applyBorder="1" applyAlignment="1">
      <alignment horizontal="right"/>
    </xf>
    <xf numFmtId="169" fontId="26" fillId="9" borderId="7" xfId="9" applyNumberFormat="1" applyFont="1" applyFill="1" applyBorder="1" applyAlignment="1">
      <alignment horizontal="right"/>
    </xf>
    <xf numFmtId="169" fontId="26" fillId="6" borderId="0" xfId="9" applyNumberFormat="1" applyFont="1" applyFill="1" applyAlignment="1">
      <alignment horizontal="right"/>
    </xf>
    <xf numFmtId="169" fontId="26" fillId="9" borderId="0" xfId="9" applyNumberFormat="1" applyFont="1" applyFill="1" applyAlignment="1">
      <alignment horizontal="right"/>
    </xf>
    <xf numFmtId="182" fontId="26" fillId="6" borderId="0" xfId="9" applyNumberFormat="1" applyFont="1" applyFill="1" applyAlignment="1">
      <alignment horizontal="right"/>
    </xf>
    <xf numFmtId="182" fontId="26" fillId="9" borderId="0" xfId="9" applyNumberFormat="1" applyFont="1" applyFill="1" applyAlignment="1">
      <alignment horizontal="right"/>
    </xf>
    <xf numFmtId="172" fontId="26" fillId="6" borderId="0" xfId="9" applyNumberFormat="1" applyFont="1" applyFill="1" applyAlignment="1">
      <alignment horizontal="right"/>
    </xf>
    <xf numFmtId="172" fontId="26" fillId="9" borderId="0" xfId="9" applyNumberFormat="1" applyFont="1" applyFill="1"/>
    <xf numFmtId="183" fontId="26" fillId="6" borderId="0" xfId="9" applyNumberFormat="1" applyFont="1" applyFill="1" applyAlignment="1">
      <alignment horizontal="right"/>
    </xf>
    <xf numFmtId="183" fontId="26" fillId="9" borderId="0" xfId="9" applyNumberFormat="1" applyFont="1" applyFill="1" applyAlignment="1">
      <alignment horizontal="right"/>
    </xf>
    <xf numFmtId="172" fontId="28" fillId="6" borderId="0" xfId="9" applyNumberFormat="1" applyFont="1" applyFill="1" applyAlignment="1">
      <alignment horizontal="right"/>
    </xf>
    <xf numFmtId="172" fontId="28" fillId="9" borderId="0" xfId="9" applyNumberFormat="1" applyFont="1" applyFill="1"/>
    <xf numFmtId="172" fontId="2" fillId="9" borderId="0" xfId="0" applyNumberFormat="1" applyFont="1" applyFill="1"/>
    <xf numFmtId="14" fontId="16" fillId="5" borderId="0" xfId="8" applyNumberFormat="1" applyFont="1" applyFill="1"/>
    <xf numFmtId="169" fontId="21" fillId="9" borderId="0" xfId="0" applyNumberFormat="1" applyFont="1" applyFill="1"/>
    <xf numFmtId="14" fontId="8" fillId="4" borderId="9" xfId="8" applyNumberFormat="1" applyFont="1" applyFill="1" applyBorder="1" applyAlignment="1">
      <alignment horizontal="center"/>
    </xf>
    <xf numFmtId="0" fontId="8" fillId="4" borderId="9" xfId="8" applyFont="1" applyFill="1" applyBorder="1" applyAlignment="1">
      <alignment horizontal="center"/>
    </xf>
    <xf numFmtId="0" fontId="2" fillId="4" borderId="9" xfId="8" applyFill="1" applyBorder="1" applyAlignment="1">
      <alignment horizontal="center"/>
    </xf>
    <xf numFmtId="0" fontId="4" fillId="4" borderId="9" xfId="5" applyFill="1" applyBorder="1" applyAlignment="1">
      <alignment horizontal="left"/>
    </xf>
    <xf numFmtId="169" fontId="6" fillId="9" borderId="0" xfId="0" applyNumberFormat="1" applyFont="1" applyFill="1" applyAlignment="1">
      <alignment horizontal="left"/>
    </xf>
    <xf numFmtId="169" fontId="26" fillId="9" borderId="0" xfId="0" applyNumberFormat="1" applyFont="1" applyFill="1" applyAlignment="1">
      <alignment horizontal="left" indent="1"/>
    </xf>
    <xf numFmtId="169" fontId="26" fillId="9" borderId="0" xfId="0" applyNumberFormat="1" applyFont="1" applyFill="1" applyAlignment="1">
      <alignment horizontal="left"/>
    </xf>
    <xf numFmtId="0" fontId="0" fillId="9" borderId="0" xfId="0" applyFont="1" applyFill="1" applyAlignment="1">
      <alignment horizontal="left" indent="3"/>
    </xf>
    <xf numFmtId="169" fontId="29" fillId="9" borderId="0" xfId="0" applyNumberFormat="1" applyFont="1" applyFill="1" applyAlignment="1">
      <alignment horizontal="left" indent="3"/>
    </xf>
    <xf numFmtId="171" fontId="29" fillId="9" borderId="0" xfId="0" applyNumberFormat="1" applyFont="1" applyFill="1" applyAlignment="1">
      <alignment horizontal="left" indent="3"/>
    </xf>
    <xf numFmtId="169" fontId="26" fillId="9" borderId="0" xfId="0" applyNumberFormat="1" applyFont="1" applyFill="1" applyAlignment="1">
      <alignment horizontal="left" indent="3"/>
    </xf>
    <xf numFmtId="171" fontId="26" fillId="9" borderId="0" xfId="0" applyNumberFormat="1" applyFont="1" applyFill="1" applyAlignment="1">
      <alignment horizontal="left" indent="3"/>
    </xf>
    <xf numFmtId="175" fontId="28" fillId="9" borderId="0" xfId="0" applyNumberFormat="1" applyFont="1" applyFill="1" applyAlignment="1">
      <alignment horizontal="left" indent="3"/>
    </xf>
    <xf numFmtId="172" fontId="6" fillId="9" borderId="0" xfId="0" applyNumberFormat="1" applyFont="1" applyFill="1" applyAlignment="1">
      <alignment horizontal="left" indent="3"/>
    </xf>
    <xf numFmtId="172" fontId="0" fillId="9" borderId="0" xfId="0" applyNumberFormat="1" applyFont="1" applyFill="1" applyAlignment="1">
      <alignment horizontal="left" indent="3"/>
    </xf>
    <xf numFmtId="169" fontId="9" fillId="9" borderId="0" xfId="0" applyNumberFormat="1" applyFont="1" applyFill="1" applyAlignment="1">
      <alignment horizontal="right"/>
    </xf>
    <xf numFmtId="169" fontId="14" fillId="9" borderId="0" xfId="0" applyNumberFormat="1" applyFont="1" applyFill="1" applyAlignment="1">
      <alignment horizontal="right"/>
    </xf>
    <xf numFmtId="169" fontId="14" fillId="9" borderId="0" xfId="0" applyNumberFormat="1" applyFont="1" applyFill="1"/>
    <xf numFmtId="175" fontId="9" fillId="9" borderId="0" xfId="0" applyNumberFormat="1" applyFont="1" applyFill="1"/>
    <xf numFmtId="169" fontId="21" fillId="0" borderId="0" xfId="0" applyNumberFormat="1" applyFont="1"/>
    <xf numFmtId="0" fontId="7" fillId="0" borderId="0" xfId="0" applyFont="1" applyAlignment="1">
      <alignment horizontal="left"/>
    </xf>
    <xf numFmtId="0" fontId="7" fillId="0" borderId="0" xfId="0" applyFont="1" applyAlignment="1">
      <alignment horizontal="center"/>
    </xf>
    <xf numFmtId="0" fontId="40" fillId="0" borderId="0" xfId="0" applyFont="1"/>
    <xf numFmtId="0" fontId="21" fillId="0" borderId="0" xfId="0" applyFont="1"/>
    <xf numFmtId="0" fontId="0" fillId="0" borderId="0" xfId="0" applyFont="1" applyAlignment="1">
      <alignment horizontal="left"/>
    </xf>
    <xf numFmtId="0" fontId="9" fillId="0" borderId="0" xfId="0" applyFont="1"/>
    <xf numFmtId="171" fontId="5" fillId="3" borderId="0" xfId="1" applyNumberFormat="1" applyFont="1" applyFill="1" applyAlignment="1">
      <alignment horizontal="center"/>
    </xf>
    <xf numFmtId="0" fontId="24" fillId="9" borderId="0" xfId="1" applyNumberFormat="1" applyFont="1" applyFill="1" applyAlignment="1">
      <alignment horizontal="center"/>
    </xf>
    <xf numFmtId="17" fontId="38" fillId="9" borderId="0" xfId="9" applyNumberFormat="1" applyFont="1" applyFill="1" applyAlignment="1">
      <alignment horizontal="center"/>
    </xf>
    <xf numFmtId="166" fontId="14" fillId="9" borderId="0" xfId="9" applyNumberFormat="1" applyFont="1" applyFill="1" applyAlignment="1">
      <alignment horizontal="left"/>
    </xf>
    <xf numFmtId="187" fontId="3" fillId="5" borderId="0" xfId="8" applyNumberFormat="1" applyFont="1" applyFill="1" applyAlignment="1">
      <alignment horizontal="right"/>
    </xf>
    <xf numFmtId="166" fontId="0" fillId="9" borderId="2" xfId="0" applyNumberFormat="1" applyFont="1" applyFill="1" applyBorder="1" applyAlignment="1">
      <alignment horizontal="left" indent="1"/>
    </xf>
    <xf numFmtId="166" fontId="0" fillId="9" borderId="2" xfId="0" applyNumberFormat="1" applyFont="1" applyFill="1" applyBorder="1" applyAlignment="1">
      <alignment horizontal="left" indent="3"/>
    </xf>
    <xf numFmtId="166" fontId="8" fillId="9" borderId="0" xfId="1" applyNumberFormat="1" applyFont="1" applyFill="1"/>
    <xf numFmtId="166" fontId="0" fillId="9" borderId="2" xfId="0" applyNumberFormat="1" applyFont="1" applyFill="1" applyBorder="1" applyAlignment="1">
      <alignment horizontal="left" indent="2"/>
    </xf>
    <xf numFmtId="166" fontId="8" fillId="9" borderId="2" xfId="1" applyNumberFormat="1" applyFont="1" applyFill="1" applyBorder="1"/>
    <xf numFmtId="166" fontId="28" fillId="9" borderId="2" xfId="0" applyNumberFormat="1" applyFont="1" applyFill="1" applyBorder="1" applyAlignment="1">
      <alignment horizontal="left" indent="1"/>
    </xf>
    <xf numFmtId="169" fontId="34" fillId="9" borderId="0" xfId="1" applyNumberFormat="1" applyFont="1" applyFill="1"/>
    <xf numFmtId="169" fontId="21" fillId="6" borderId="0" xfId="0" applyNumberFormat="1" applyFont="1" applyFill="1" applyAlignment="1">
      <alignment horizontal="right"/>
    </xf>
    <xf numFmtId="169" fontId="21" fillId="9" borderId="0" xfId="0" applyNumberFormat="1" applyFont="1" applyFill="1" applyAlignment="1">
      <alignment horizontal="right"/>
    </xf>
    <xf numFmtId="0" fontId="42" fillId="9" borderId="0" xfId="0" applyFont="1" applyFill="1"/>
    <xf numFmtId="0" fontId="0" fillId="9" borderId="0" xfId="0" applyFont="1" applyFill="1"/>
    <xf numFmtId="170" fontId="41" fillId="3" borderId="0" xfId="0" applyNumberFormat="1" applyFont="1" applyFill="1" applyAlignment="1">
      <alignment horizontal="center"/>
    </xf>
    <xf numFmtId="170" fontId="43" fillId="9" borderId="0" xfId="5" applyNumberFormat="1" applyFont="1" applyFill="1" applyAlignment="1">
      <alignment horizontal="left"/>
    </xf>
    <xf numFmtId="0" fontId="26" fillId="9" borderId="0" xfId="0" applyFont="1" applyFill="1"/>
    <xf numFmtId="0" fontId="29" fillId="9" borderId="0" xfId="0" applyFont="1" applyFill="1"/>
    <xf numFmtId="0" fontId="28" fillId="9" borderId="0" xfId="0" applyFont="1" applyFill="1" applyAlignment="1">
      <alignment horizontal="left"/>
    </xf>
    <xf numFmtId="0" fontId="28" fillId="9" borderId="0" xfId="0" applyFont="1" applyFill="1"/>
    <xf numFmtId="169" fontId="26" fillId="9" borderId="0" xfId="0" applyNumberFormat="1" applyFont="1" applyFill="1" applyAlignment="1">
      <alignment horizontal="center"/>
    </xf>
    <xf numFmtId="166" fontId="26" fillId="9" borderId="0" xfId="0" applyNumberFormat="1" applyFont="1" applyFill="1" applyAlignment="1">
      <alignment horizontal="center"/>
    </xf>
    <xf numFmtId="14" fontId="28" fillId="9" borderId="0" xfId="0" applyNumberFormat="1" applyFont="1" applyFill="1" applyAlignment="1">
      <alignment horizontal="left"/>
    </xf>
    <xf numFmtId="0" fontId="28" fillId="9" borderId="0" xfId="0" applyFont="1" applyFill="1" applyAlignment="1">
      <alignment horizontal="center"/>
    </xf>
    <xf numFmtId="0" fontId="25" fillId="10" borderId="0" xfId="0" applyFont="1" applyFill="1" applyAlignment="1">
      <alignment horizontal="left"/>
    </xf>
    <xf numFmtId="0" fontId="25" fillId="10" borderId="0" xfId="0" applyFont="1" applyFill="1" applyAlignment="1">
      <alignment horizontal="centerContinuous"/>
    </xf>
    <xf numFmtId="0" fontId="25" fillId="10" borderId="0" xfId="0" applyFont="1" applyFill="1" applyAlignment="1">
      <alignment horizontal="center"/>
    </xf>
    <xf numFmtId="169" fontId="25" fillId="10" borderId="0" xfId="0" applyNumberFormat="1" applyFont="1" applyFill="1" applyAlignment="1">
      <alignment horizontal="center"/>
    </xf>
    <xf numFmtId="0" fontId="28" fillId="3" borderId="0" xfId="0" applyFont="1" applyFill="1"/>
    <xf numFmtId="0" fontId="29" fillId="3" borderId="0" xfId="0" applyFont="1" applyFill="1"/>
    <xf numFmtId="166" fontId="28" fillId="3" borderId="0" xfId="0" applyNumberFormat="1" applyFont="1" applyFill="1"/>
    <xf numFmtId="14" fontId="28" fillId="3" borderId="0" xfId="0" applyNumberFormat="1" applyFont="1" applyFill="1" applyAlignment="1">
      <alignment horizontal="left"/>
    </xf>
    <xf numFmtId="171" fontId="28" fillId="3" borderId="0" xfId="0" applyNumberFormat="1" applyFont="1" applyFill="1"/>
    <xf numFmtId="0" fontId="25" fillId="9" borderId="0" xfId="0" applyFont="1" applyFill="1" applyAlignment="1">
      <alignment horizontal="left"/>
    </xf>
    <xf numFmtId="0" fontId="25" fillId="9" borderId="0" xfId="0" applyFont="1" applyFill="1" applyAlignment="1">
      <alignment horizontal="center"/>
    </xf>
    <xf numFmtId="0" fontId="26" fillId="3" borderId="0" xfId="0" applyFont="1" applyFill="1"/>
    <xf numFmtId="166" fontId="26" fillId="3" borderId="0" xfId="0" applyNumberFormat="1" applyFont="1" applyFill="1" applyAlignment="1">
      <alignment horizontal="center"/>
    </xf>
    <xf numFmtId="169" fontId="26" fillId="3" borderId="0" xfId="0" applyNumberFormat="1" applyFont="1" applyFill="1" applyAlignment="1">
      <alignment horizontal="center"/>
    </xf>
    <xf numFmtId="171" fontId="26" fillId="3" borderId="0" xfId="0" applyNumberFormat="1" applyFont="1" applyFill="1"/>
    <xf numFmtId="0" fontId="44" fillId="3" borderId="0" xfId="5" applyFont="1" applyFill="1"/>
    <xf numFmtId="0" fontId="44" fillId="9" borderId="0" xfId="5" applyFont="1" applyFill="1"/>
    <xf numFmtId="166" fontId="27" fillId="9" borderId="0" xfId="9" applyNumberFormat="1" applyFont="1" applyFill="1" applyAlignment="1">
      <alignment horizontal="left"/>
    </xf>
    <xf numFmtId="166" fontId="38" fillId="9" borderId="0" xfId="9" applyNumberFormat="1" applyFont="1" applyFill="1" applyAlignment="1">
      <alignment horizontal="center"/>
    </xf>
    <xf numFmtId="181" fontId="26" fillId="9" borderId="0" xfId="9" applyNumberFormat="1" applyFont="1" applyFill="1" applyAlignment="1">
      <alignment horizontal="left" indent="1"/>
    </xf>
    <xf numFmtId="166" fontId="26" fillId="9" borderId="0" xfId="9" applyNumberFormat="1" applyFont="1" applyFill="1" applyAlignment="1">
      <alignment horizontal="left"/>
    </xf>
    <xf numFmtId="166" fontId="28" fillId="9" borderId="0" xfId="9" applyNumberFormat="1" applyFont="1" applyFill="1" applyAlignment="1">
      <alignment horizontal="left" indent="1"/>
    </xf>
    <xf numFmtId="166" fontId="28" fillId="9" borderId="0" xfId="9" applyNumberFormat="1" applyFont="1" applyFill="1" applyAlignment="1">
      <alignment horizontal="left" indent="3"/>
    </xf>
    <xf numFmtId="166" fontId="26" fillId="9" borderId="7" xfId="9" applyNumberFormat="1" applyFont="1" applyFill="1" applyBorder="1" applyAlignment="1">
      <alignment horizontal="left"/>
    </xf>
    <xf numFmtId="166" fontId="26" fillId="9" borderId="7" xfId="9" applyNumberFormat="1" applyFont="1" applyFill="1" applyBorder="1" applyAlignment="1">
      <alignment horizontal="left" indent="3"/>
    </xf>
    <xf numFmtId="166" fontId="26" fillId="9" borderId="0" xfId="9" applyNumberFormat="1" applyFont="1" applyFill="1" applyAlignment="1">
      <alignment horizontal="left" indent="3"/>
    </xf>
    <xf numFmtId="169" fontId="28" fillId="9" borderId="0" xfId="0" applyNumberFormat="1" applyFont="1" applyFill="1" applyAlignment="1">
      <alignment horizontal="left" indent="2"/>
    </xf>
    <xf numFmtId="169" fontId="28" fillId="9" borderId="2" xfId="0" applyNumberFormat="1" applyFont="1" applyFill="1" applyBorder="1" applyAlignment="1">
      <alignment horizontal="left" indent="2"/>
    </xf>
    <xf numFmtId="169" fontId="28" fillId="9" borderId="10" xfId="0" applyNumberFormat="1" applyFont="1" applyFill="1" applyBorder="1" applyAlignment="1">
      <alignment horizontal="left" indent="1"/>
    </xf>
    <xf numFmtId="166" fontId="28" fillId="9" borderId="10" xfId="0" applyNumberFormat="1" applyFont="1" applyFill="1" applyBorder="1" applyAlignment="1">
      <alignment horizontal="left" indent="1"/>
    </xf>
    <xf numFmtId="169" fontId="28" fillId="9" borderId="0" xfId="9" applyNumberFormat="1" applyFont="1" applyFill="1" applyAlignment="1">
      <alignment horizontal="left"/>
    </xf>
    <xf numFmtId="169" fontId="23" fillId="9" borderId="0" xfId="3" applyNumberFormat="1" applyFont="1" applyFill="1"/>
    <xf numFmtId="171" fontId="27" fillId="9" borderId="0" xfId="3" applyNumberFormat="1" applyFont="1" applyFill="1"/>
    <xf numFmtId="171" fontId="26" fillId="9" borderId="0" xfId="9" applyNumberFormat="1" applyFont="1" applyFill="1" applyAlignment="1">
      <alignment horizontal="left" indent="3"/>
    </xf>
    <xf numFmtId="169" fontId="28" fillId="9" borderId="0" xfId="9" applyNumberFormat="1" applyFont="1" applyFill="1"/>
    <xf numFmtId="169" fontId="28" fillId="9" borderId="0" xfId="9" applyNumberFormat="1" applyFont="1" applyFill="1" applyAlignment="1">
      <alignment horizontal="left" indent="1"/>
    </xf>
    <xf numFmtId="169" fontId="26" fillId="9" borderId="7" xfId="9" applyNumberFormat="1" applyFont="1" applyFill="1" applyBorder="1" applyAlignment="1">
      <alignment horizontal="left"/>
    </xf>
    <xf numFmtId="169" fontId="27" fillId="9" borderId="7" xfId="3" applyNumberFormat="1" applyFont="1" applyFill="1" applyBorder="1"/>
    <xf numFmtId="169" fontId="26" fillId="9" borderId="0" xfId="9" applyNumberFormat="1" applyFont="1" applyFill="1" applyAlignment="1">
      <alignment horizontal="left"/>
    </xf>
    <xf numFmtId="169" fontId="27" fillId="9" borderId="0" xfId="3" applyNumberFormat="1" applyFont="1" applyFill="1"/>
    <xf numFmtId="182" fontId="26" fillId="9" borderId="0" xfId="9" applyNumberFormat="1" applyFont="1" applyFill="1" applyAlignment="1">
      <alignment horizontal="left"/>
    </xf>
    <xf numFmtId="182" fontId="27" fillId="9" borderId="0" xfId="3" applyNumberFormat="1" applyFont="1" applyFill="1"/>
    <xf numFmtId="172" fontId="27" fillId="9" borderId="0" xfId="9" applyNumberFormat="1" applyFont="1" applyFill="1"/>
    <xf numFmtId="172" fontId="26" fillId="9" borderId="0" xfId="9" applyNumberFormat="1" applyFont="1" applyFill="1" applyAlignment="1">
      <alignment horizontal="left" indent="3"/>
    </xf>
    <xf numFmtId="183" fontId="26" fillId="9" borderId="0" xfId="9" applyNumberFormat="1" applyFont="1" applyFill="1" applyAlignment="1">
      <alignment horizontal="left"/>
    </xf>
    <xf numFmtId="183" fontId="27" fillId="9" borderId="0" xfId="3" applyNumberFormat="1" applyFont="1" applyFill="1"/>
    <xf numFmtId="172" fontId="23" fillId="9" borderId="0" xfId="9" applyNumberFormat="1" applyFont="1" applyFill="1"/>
    <xf numFmtId="172" fontId="28" fillId="9" borderId="0" xfId="9" applyNumberFormat="1" applyFont="1" applyFill="1" applyAlignment="1">
      <alignment horizontal="left" indent="3"/>
    </xf>
    <xf numFmtId="0" fontId="28" fillId="9" borderId="0" xfId="9" applyFont="1" applyFill="1"/>
    <xf numFmtId="169" fontId="0" fillId="9" borderId="0" xfId="0" applyNumberFormat="1" applyFont="1" applyFill="1" applyAlignment="1">
      <alignment horizontal="left" indent="2"/>
    </xf>
    <xf numFmtId="169" fontId="0" fillId="9" borderId="2" xfId="0" applyNumberFormat="1" applyFont="1" applyFill="1" applyBorder="1" applyAlignment="1">
      <alignment horizontal="left" indent="2"/>
    </xf>
    <xf numFmtId="166" fontId="6" fillId="9" borderId="0" xfId="0" applyNumberFormat="1" applyFont="1" applyFill="1" applyAlignment="1">
      <alignment horizontal="center"/>
    </xf>
    <xf numFmtId="166" fontId="0" fillId="9" borderId="0" xfId="0" applyNumberFormat="1" applyFill="1"/>
    <xf numFmtId="166" fontId="23" fillId="9" borderId="11" xfId="7" applyNumberFormat="1" applyFont="1" applyFill="1" applyBorder="1"/>
    <xf numFmtId="166" fontId="28" fillId="9" borderId="12" xfId="0" applyNumberFormat="1" applyFont="1" applyFill="1" applyBorder="1"/>
    <xf numFmtId="166" fontId="28" fillId="9" borderId="13" xfId="0" applyNumberFormat="1" applyFont="1" applyFill="1" applyBorder="1"/>
    <xf numFmtId="166" fontId="23" fillId="9" borderId="14" xfId="7" applyNumberFormat="1" applyFont="1" applyFill="1" applyBorder="1" applyAlignment="1">
      <alignment horizontal="left" indent="1"/>
    </xf>
    <xf numFmtId="166" fontId="23" fillId="9" borderId="15" xfId="7" applyNumberFormat="1" applyFont="1" applyFill="1" applyBorder="1" applyAlignment="1">
      <alignment horizontal="left" indent="1"/>
    </xf>
    <xf numFmtId="169" fontId="26" fillId="9" borderId="0" xfId="9" applyNumberFormat="1" applyFont="1" applyFill="1"/>
    <xf numFmtId="182" fontId="26" fillId="9" borderId="0" xfId="9" applyNumberFormat="1" applyFont="1" applyFill="1"/>
    <xf numFmtId="183" fontId="26" fillId="9" borderId="0" xfId="9" applyNumberFormat="1" applyFont="1" applyFill="1"/>
    <xf numFmtId="14" fontId="8" fillId="4" borderId="16" xfId="8" applyNumberFormat="1" applyFont="1" applyFill="1" applyBorder="1" applyAlignment="1">
      <alignment horizontal="center"/>
    </xf>
    <xf numFmtId="0" fontId="8" fillId="4" borderId="16" xfId="8" applyFont="1" applyFill="1" applyBorder="1" applyAlignment="1">
      <alignment horizontal="center"/>
    </xf>
    <xf numFmtId="0" fontId="2" fillId="4" borderId="16" xfId="8" applyFont="1" applyFill="1" applyBorder="1" applyAlignment="1">
      <alignment horizontal="center"/>
    </xf>
    <xf numFmtId="0" fontId="4" fillId="4" borderId="16" xfId="5" applyFill="1" applyBorder="1" applyAlignment="1">
      <alignment horizontal="left"/>
    </xf>
    <xf numFmtId="0" fontId="8" fillId="4" borderId="17" xfId="8" applyFont="1" applyFill="1" applyBorder="1" applyAlignment="1">
      <alignment horizontal="center"/>
    </xf>
    <xf numFmtId="14" fontId="8" fillId="4" borderId="18" xfId="8" applyNumberFormat="1" applyFont="1" applyFill="1" applyBorder="1" applyAlignment="1">
      <alignment horizontal="center"/>
    </xf>
    <xf numFmtId="188" fontId="3" fillId="3" borderId="0" xfId="0" applyNumberFormat="1" applyFont="1" applyFill="1" applyAlignment="1">
      <alignment horizontal="left"/>
    </xf>
    <xf numFmtId="189" fontId="3" fillId="3" borderId="0" xfId="0" applyNumberFormat="1" applyFont="1" applyFill="1"/>
    <xf numFmtId="0" fontId="6" fillId="3" borderId="0" xfId="0" applyFont="1" applyFill="1" applyAlignment="1">
      <alignment horizontal="center"/>
    </xf>
    <xf numFmtId="166" fontId="6" fillId="9" borderId="19" xfId="0" applyNumberFormat="1" applyFont="1" applyFill="1" applyBorder="1"/>
    <xf numFmtId="190" fontId="0" fillId="0" borderId="0" xfId="0" applyNumberFormat="1"/>
    <xf numFmtId="168" fontId="0" fillId="0" borderId="0" xfId="0" applyNumberFormat="1"/>
    <xf numFmtId="166" fontId="0" fillId="9" borderId="19" xfId="0" applyNumberFormat="1" applyFill="1" applyBorder="1"/>
    <xf numFmtId="190" fontId="0" fillId="9" borderId="0" xfId="0" applyNumberFormat="1" applyFill="1" applyAlignment="1">
      <alignment horizontal="left" indent="1"/>
    </xf>
    <xf numFmtId="190" fontId="9" fillId="9" borderId="0" xfId="0" applyNumberFormat="1" applyFont="1" applyFill="1"/>
    <xf numFmtId="190" fontId="0" fillId="9" borderId="0" xfId="0" applyNumberFormat="1" applyFill="1"/>
    <xf numFmtId="190" fontId="0" fillId="9" borderId="0" xfId="0" applyNumberFormat="1" applyFont="1" applyFill="1"/>
    <xf numFmtId="166" fontId="0" fillId="9" borderId="0" xfId="0" applyNumberFormat="1" applyFill="1" applyAlignment="1">
      <alignment horizontal="left" indent="1"/>
    </xf>
    <xf numFmtId="14" fontId="9" fillId="9" borderId="0" xfId="0" applyNumberFormat="1" applyFont="1" applyFill="1"/>
    <xf numFmtId="0" fontId="0" fillId="9" borderId="0" xfId="0" applyFill="1"/>
    <xf numFmtId="168" fontId="0" fillId="9" borderId="0" xfId="0" applyNumberFormat="1" applyFill="1" applyAlignment="1">
      <alignment horizontal="left" indent="1"/>
    </xf>
    <xf numFmtId="168" fontId="0" fillId="9" borderId="0" xfId="0" applyNumberFormat="1" applyFill="1"/>
    <xf numFmtId="168" fontId="0" fillId="9" borderId="11" xfId="0" applyNumberFormat="1" applyFill="1" applyBorder="1" applyAlignment="1">
      <alignment horizontal="left" indent="1"/>
    </xf>
    <xf numFmtId="168" fontId="0" fillId="9" borderId="11" xfId="0" applyNumberFormat="1" applyFill="1" applyBorder="1"/>
    <xf numFmtId="0" fontId="36" fillId="10" borderId="0" xfId="0" applyFont="1" applyFill="1"/>
    <xf numFmtId="0" fontId="2" fillId="4" borderId="17" xfId="8" applyFont="1" applyFill="1" applyBorder="1" applyAlignment="1">
      <alignment horizontal="center"/>
    </xf>
    <xf numFmtId="14" fontId="8" fillId="4" borderId="20" xfId="8" applyNumberFormat="1" applyFont="1" applyFill="1" applyBorder="1" applyAlignment="1">
      <alignment horizontal="center"/>
    </xf>
    <xf numFmtId="0" fontId="8" fillId="4" borderId="21" xfId="8" applyFont="1" applyFill="1" applyBorder="1" applyAlignment="1">
      <alignment horizontal="center"/>
    </xf>
    <xf numFmtId="0" fontId="2" fillId="4" borderId="21" xfId="8" applyFont="1" applyFill="1" applyBorder="1" applyAlignment="1">
      <alignment horizontal="center"/>
    </xf>
    <xf numFmtId="0" fontId="4" fillId="4" borderId="22" xfId="5" applyFill="1" applyBorder="1" applyAlignment="1">
      <alignment horizontal="left"/>
    </xf>
    <xf numFmtId="191" fontId="0" fillId="9" borderId="0" xfId="0" applyNumberFormat="1" applyFill="1"/>
    <xf numFmtId="191" fontId="9" fillId="9" borderId="0" xfId="0" applyNumberFormat="1" applyFont="1" applyFill="1"/>
    <xf numFmtId="166" fontId="28" fillId="9" borderId="19" xfId="0" applyNumberFormat="1" applyFont="1" applyFill="1" applyBorder="1"/>
    <xf numFmtId="166" fontId="23" fillId="9" borderId="19" xfId="7" applyNumberFormat="1" applyFont="1" applyFill="1" applyBorder="1"/>
    <xf numFmtId="166" fontId="28" fillId="9" borderId="23" xfId="0" applyNumberFormat="1" applyFont="1" applyFill="1" applyBorder="1"/>
    <xf numFmtId="167" fontId="27" fillId="9" borderId="24" xfId="7" applyNumberFormat="1" applyFont="1" applyFill="1" applyBorder="1" applyAlignment="1">
      <alignment horizontal="left"/>
    </xf>
    <xf numFmtId="167" fontId="23" fillId="9" borderId="14" xfId="7" applyNumberFormat="1" applyFont="1" applyFill="1" applyBorder="1" applyAlignment="1">
      <alignment horizontal="left"/>
    </xf>
    <xf numFmtId="17" fontId="28" fillId="9" borderId="0" xfId="0" applyNumberFormat="1" applyFont="1" applyFill="1"/>
    <xf numFmtId="17" fontId="28" fillId="9" borderId="12" xfId="0" applyNumberFormat="1" applyFont="1" applyFill="1" applyBorder="1"/>
    <xf numFmtId="190" fontId="23" fillId="9" borderId="14" xfId="7" applyNumberFormat="1" applyFont="1" applyFill="1" applyBorder="1" applyAlignment="1">
      <alignment horizontal="left" indent="1"/>
    </xf>
    <xf numFmtId="190" fontId="28" fillId="9" borderId="0" xfId="0" applyNumberFormat="1" applyFont="1" applyFill="1"/>
    <xf numFmtId="190" fontId="28" fillId="9" borderId="12" xfId="0" applyNumberFormat="1" applyFont="1" applyFill="1" applyBorder="1"/>
    <xf numFmtId="190" fontId="0" fillId="0" borderId="0" xfId="0" applyNumberFormat="1" applyFont="1"/>
    <xf numFmtId="190" fontId="23" fillId="9" borderId="14" xfId="7" applyNumberFormat="1" applyFont="1" applyFill="1" applyBorder="1" applyAlignment="1">
      <alignment horizontal="left" indent="2"/>
    </xf>
    <xf numFmtId="191" fontId="23" fillId="9" borderId="14" xfId="7" applyNumberFormat="1" applyFont="1" applyFill="1" applyBorder="1" applyAlignment="1">
      <alignment horizontal="left" indent="1"/>
    </xf>
    <xf numFmtId="191" fontId="28" fillId="9" borderId="0" xfId="0" applyNumberFormat="1" applyFont="1" applyFill="1"/>
    <xf numFmtId="191" fontId="28" fillId="9" borderId="12" xfId="0" applyNumberFormat="1" applyFont="1" applyFill="1" applyBorder="1"/>
    <xf numFmtId="191" fontId="0" fillId="9" borderId="0" xfId="0" applyNumberFormat="1" applyFont="1" applyFill="1"/>
    <xf numFmtId="191" fontId="0" fillId="0" borderId="0" xfId="0" applyNumberFormat="1" applyFont="1"/>
    <xf numFmtId="191" fontId="23" fillId="9" borderId="14" xfId="7" applyNumberFormat="1" applyFont="1" applyFill="1" applyBorder="1" applyAlignment="1">
      <alignment horizontal="left" indent="2"/>
    </xf>
    <xf numFmtId="190" fontId="0" fillId="9" borderId="0" xfId="0" applyNumberFormat="1" applyFont="1" applyFill="1" applyAlignment="1">
      <alignment horizontal="left" indent="1"/>
    </xf>
    <xf numFmtId="190" fontId="8" fillId="9" borderId="0" xfId="1" applyNumberFormat="1" applyFont="1" applyFill="1"/>
    <xf numFmtId="190" fontId="0" fillId="9" borderId="0" xfId="0" applyNumberFormat="1" applyFont="1" applyFill="1" applyAlignment="1">
      <alignment horizontal="right"/>
    </xf>
    <xf numFmtId="190" fontId="0" fillId="6" borderId="0" xfId="0" applyNumberFormat="1" applyFont="1" applyFill="1"/>
    <xf numFmtId="190" fontId="28" fillId="6" borderId="0" xfId="0" applyNumberFormat="1" applyFont="1" applyFill="1"/>
    <xf numFmtId="191" fontId="0" fillId="9" borderId="0" xfId="0" applyNumberFormat="1" applyFont="1" applyFill="1" applyAlignment="1">
      <alignment horizontal="left" indent="1"/>
    </xf>
    <xf numFmtId="191" fontId="8" fillId="9" borderId="0" xfId="1" applyNumberFormat="1" applyFont="1" applyFill="1"/>
    <xf numFmtId="191" fontId="0" fillId="9" borderId="0" xfId="0" applyNumberFormat="1" applyFont="1" applyFill="1" applyAlignment="1">
      <alignment horizontal="right"/>
    </xf>
    <xf numFmtId="191" fontId="0" fillId="6" borderId="0" xfId="0" applyNumberFormat="1" applyFont="1" applyFill="1"/>
    <xf numFmtId="191" fontId="28" fillId="6" borderId="0" xfId="0" applyNumberFormat="1" applyFont="1" applyFill="1"/>
    <xf numFmtId="190" fontId="14" fillId="9" borderId="0" xfId="0" applyNumberFormat="1" applyFont="1" applyFill="1" applyAlignment="1">
      <alignment horizontal="left"/>
    </xf>
    <xf numFmtId="190" fontId="6" fillId="9" borderId="0" xfId="0" applyNumberFormat="1" applyFont="1" applyFill="1" applyAlignment="1">
      <alignment horizontal="right"/>
    </xf>
    <xf numFmtId="190" fontId="6" fillId="6" borderId="0" xfId="0" applyNumberFormat="1" applyFont="1" applyFill="1"/>
    <xf numFmtId="190" fontId="26" fillId="6" borderId="0" xfId="0" applyNumberFormat="1" applyFont="1" applyFill="1"/>
    <xf numFmtId="190" fontId="6" fillId="9" borderId="0" xfId="0" applyNumberFormat="1" applyFont="1" applyFill="1"/>
    <xf numFmtId="190" fontId="6" fillId="0" borderId="0" xfId="0" applyNumberFormat="1" applyFont="1"/>
    <xf numFmtId="192" fontId="6" fillId="9" borderId="0" xfId="0" applyNumberFormat="1" applyFont="1" applyFill="1" applyAlignment="1">
      <alignment horizontal="left"/>
    </xf>
    <xf numFmtId="0" fontId="2" fillId="4" borderId="21" xfId="8" applyFont="1" applyFill="1" applyBorder="1" applyAlignment="1">
      <alignment horizontal="center"/>
    </xf>
    <xf numFmtId="0" fontId="4" fillId="0" borderId="13" xfId="5" applyBorder="1"/>
    <xf numFmtId="0" fontId="21" fillId="9" borderId="0" xfId="0" applyFont="1" applyFill="1" applyBorder="1"/>
    <xf numFmtId="1" fontId="26" fillId="9" borderId="0" xfId="0" applyNumberFormat="1" applyFont="1" applyFill="1" applyBorder="1" applyAlignment="1">
      <alignment horizontal="center"/>
    </xf>
    <xf numFmtId="17" fontId="23" fillId="9" borderId="0" xfId="0" applyNumberFormat="1" applyFont="1" applyFill="1" applyBorder="1" applyAlignment="1">
      <alignment horizontal="center"/>
    </xf>
    <xf numFmtId="0" fontId="27" fillId="9" borderId="0" xfId="0" applyFont="1" applyFill="1" applyBorder="1" applyAlignment="1">
      <alignment horizontal="center"/>
    </xf>
    <xf numFmtId="169" fontId="25" fillId="10" borderId="0" xfId="0" applyNumberFormat="1" applyFont="1" applyFill="1" applyBorder="1"/>
    <xf numFmtId="169" fontId="28" fillId="9" borderId="0" xfId="0" applyNumberFormat="1" applyFont="1" applyFill="1" applyBorder="1" applyAlignment="1">
      <alignment horizontal="right"/>
    </xf>
    <xf numFmtId="169" fontId="6" fillId="9" borderId="0" xfId="0" applyNumberFormat="1" applyFont="1" applyFill="1" applyBorder="1" applyAlignment="1">
      <alignment horizontal="right"/>
    </xf>
    <xf numFmtId="169" fontId="21" fillId="9" borderId="0" xfId="0" applyNumberFormat="1" applyFont="1" applyFill="1" applyBorder="1" applyAlignment="1">
      <alignment horizontal="right"/>
    </xf>
    <xf numFmtId="169" fontId="29" fillId="9" borderId="0" xfId="0" applyNumberFormat="1" applyFont="1" applyFill="1" applyBorder="1"/>
    <xf numFmtId="169" fontId="26" fillId="9" borderId="0" xfId="0" applyNumberFormat="1" applyFont="1" applyFill="1" applyBorder="1" applyAlignment="1">
      <alignment horizontal="right"/>
    </xf>
    <xf numFmtId="169" fontId="30" fillId="9" borderId="0" xfId="0" applyNumberFormat="1" applyFont="1" applyFill="1" applyBorder="1"/>
    <xf numFmtId="169" fontId="29" fillId="9" borderId="0" xfId="0" applyNumberFormat="1" applyFont="1" applyFill="1" applyBorder="1" applyAlignment="1">
      <alignment horizontal="left" indent="1"/>
    </xf>
    <xf numFmtId="169" fontId="0" fillId="9" borderId="0" xfId="0" applyNumberFormat="1" applyFont="1" applyFill="1" applyBorder="1" applyAlignment="1">
      <alignment horizontal="center"/>
    </xf>
    <xf numFmtId="171" fontId="30" fillId="9" borderId="0" xfId="0" applyNumberFormat="1" applyFont="1" applyFill="1" applyBorder="1"/>
    <xf numFmtId="169" fontId="26" fillId="9" borderId="0" xfId="0" applyNumberFormat="1" applyFont="1" applyFill="1" applyBorder="1"/>
    <xf numFmtId="171" fontId="26" fillId="9" borderId="0" xfId="1" applyNumberFormat="1" applyFont="1" applyFill="1" applyBorder="1"/>
    <xf numFmtId="171" fontId="30" fillId="9" borderId="0" xfId="1" applyNumberFormat="1" applyFont="1" applyFill="1" applyBorder="1"/>
    <xf numFmtId="172" fontId="6" fillId="9" borderId="0" xfId="0" applyNumberFormat="1" applyFont="1" applyFill="1" applyBorder="1"/>
    <xf numFmtId="0" fontId="0" fillId="9" borderId="0" xfId="0" applyFont="1" applyFill="1" applyBorder="1"/>
    <xf numFmtId="190" fontId="6" fillId="9" borderId="0" xfId="0" applyNumberFormat="1" applyFont="1" applyFill="1" applyBorder="1" applyAlignment="1">
      <alignment horizontal="right"/>
    </xf>
    <xf numFmtId="172" fontId="0" fillId="9" borderId="0" xfId="0" applyNumberFormat="1" applyFont="1" applyFill="1" applyBorder="1"/>
    <xf numFmtId="169" fontId="0" fillId="9" borderId="0" xfId="0" applyNumberFormat="1" applyFont="1" applyFill="1" applyBorder="1" applyAlignment="1">
      <alignment horizontal="right"/>
    </xf>
    <xf numFmtId="190" fontId="0" fillId="9" borderId="0" xfId="0" applyNumberFormat="1" applyFont="1" applyFill="1" applyBorder="1" applyAlignment="1">
      <alignment horizontal="right"/>
    </xf>
    <xf numFmtId="191" fontId="0" fillId="9" borderId="0" xfId="0" applyNumberFormat="1" applyFont="1" applyFill="1" applyBorder="1" applyAlignment="1">
      <alignment horizontal="right"/>
    </xf>
    <xf numFmtId="168" fontId="6" fillId="9" borderId="0" xfId="0" applyNumberFormat="1" applyFont="1" applyFill="1" applyBorder="1"/>
    <xf numFmtId="168" fontId="0" fillId="9" borderId="0" xfId="0" applyNumberFormat="1" applyFont="1" applyFill="1" applyBorder="1"/>
    <xf numFmtId="0" fontId="6" fillId="9" borderId="0" xfId="0" applyFont="1" applyFill="1" applyBorder="1"/>
    <xf numFmtId="17" fontId="28" fillId="9" borderId="0" xfId="0" applyNumberFormat="1" applyFont="1" applyFill="1" applyBorder="1"/>
    <xf numFmtId="190" fontId="28" fillId="9" borderId="0" xfId="0" applyNumberFormat="1" applyFont="1" applyFill="1" applyBorder="1"/>
    <xf numFmtId="191" fontId="28" fillId="9" borderId="0" xfId="0" applyNumberFormat="1" applyFont="1" applyFill="1" applyBorder="1"/>
    <xf numFmtId="166" fontId="0" fillId="9" borderId="0" xfId="0" applyNumberFormat="1" applyFill="1" applyBorder="1"/>
    <xf numFmtId="190" fontId="0" fillId="9" borderId="0" xfId="0" applyNumberFormat="1" applyFill="1" applyBorder="1"/>
    <xf numFmtId="0" fontId="0" fillId="9" borderId="0" xfId="0" applyFill="1" applyBorder="1"/>
    <xf numFmtId="168" fontId="0" fillId="9" borderId="0" xfId="0" applyNumberFormat="1" applyFill="1" applyBorder="1"/>
    <xf numFmtId="0" fontId="36" fillId="10" borderId="0" xfId="0" applyFont="1" applyFill="1" applyBorder="1"/>
    <xf numFmtId="1" fontId="6" fillId="9" borderId="0" xfId="0" applyNumberFormat="1" applyFont="1" applyFill="1" applyBorder="1" applyAlignment="1">
      <alignment horizontal="center"/>
    </xf>
    <xf numFmtId="17" fontId="8" fillId="9" borderId="0" xfId="0" applyNumberFormat="1" applyFont="1" applyFill="1" applyBorder="1" applyAlignment="1">
      <alignment horizontal="center"/>
    </xf>
    <xf numFmtId="0" fontId="5" fillId="9" borderId="0" xfId="0" applyFont="1" applyFill="1" applyBorder="1" applyAlignment="1">
      <alignment horizontal="center"/>
    </xf>
    <xf numFmtId="169" fontId="0" fillId="6" borderId="0" xfId="0" applyNumberFormat="1" applyFont="1" applyFill="1" applyBorder="1" applyAlignment="1">
      <alignment horizontal="right"/>
    </xf>
    <xf numFmtId="169" fontId="28" fillId="6" borderId="0" xfId="0" applyNumberFormat="1" applyFont="1" applyFill="1" applyBorder="1" applyAlignment="1">
      <alignment horizontal="right"/>
    </xf>
    <xf numFmtId="169" fontId="6" fillId="6" borderId="0" xfId="0" applyNumberFormat="1" applyFont="1" applyFill="1" applyBorder="1" applyAlignment="1">
      <alignment horizontal="right"/>
    </xf>
    <xf numFmtId="169" fontId="21" fillId="6" borderId="0" xfId="0" applyNumberFormat="1" applyFont="1" applyFill="1" applyBorder="1" applyAlignment="1">
      <alignment horizontal="right"/>
    </xf>
    <xf numFmtId="169" fontId="21" fillId="9" borderId="0" xfId="0" applyNumberFormat="1" applyFont="1" applyFill="1" applyBorder="1"/>
    <xf numFmtId="169" fontId="21" fillId="6" borderId="0" xfId="0" applyNumberFormat="1" applyFont="1" applyFill="1" applyBorder="1" applyAlignment="1">
      <alignment horizontal="center"/>
    </xf>
    <xf numFmtId="169" fontId="21" fillId="9" borderId="0" xfId="0" applyNumberFormat="1" applyFont="1" applyFill="1" applyBorder="1" applyAlignment="1">
      <alignment horizontal="left" indent="1"/>
    </xf>
    <xf numFmtId="169" fontId="21" fillId="6" borderId="0" xfId="0" applyNumberFormat="1" applyFont="1" applyFill="1" applyBorder="1" applyAlignment="1">
      <alignment horizontal="left" indent="1"/>
    </xf>
    <xf numFmtId="169" fontId="0" fillId="6" borderId="0" xfId="0" applyNumberFormat="1" applyFont="1" applyFill="1" applyBorder="1"/>
    <xf numFmtId="171" fontId="21" fillId="9" borderId="0" xfId="0" applyNumberFormat="1" applyFont="1" applyFill="1" applyBorder="1"/>
    <xf numFmtId="169" fontId="6" fillId="9" borderId="0" xfId="0" applyNumberFormat="1" applyFont="1" applyFill="1" applyBorder="1"/>
    <xf numFmtId="169" fontId="6" fillId="6" borderId="0" xfId="0" applyNumberFormat="1" applyFont="1" applyFill="1" applyBorder="1"/>
    <xf numFmtId="171" fontId="21" fillId="6" borderId="0" xfId="0" applyNumberFormat="1" applyFont="1" applyFill="1" applyBorder="1" applyAlignment="1">
      <alignment horizontal="right"/>
    </xf>
    <xf numFmtId="171" fontId="6" fillId="9" borderId="0" xfId="1" applyNumberFormat="1" applyFont="1" applyFill="1" applyBorder="1"/>
    <xf numFmtId="171" fontId="6" fillId="6" borderId="0" xfId="1" applyNumberFormat="1" applyFont="1" applyFill="1" applyBorder="1"/>
    <xf numFmtId="175" fontId="0" fillId="6" borderId="0" xfId="0" applyNumberFormat="1" applyFont="1" applyFill="1" applyBorder="1"/>
    <xf numFmtId="172" fontId="6" fillId="6" borderId="0" xfId="0" applyNumberFormat="1" applyFont="1" applyFill="1" applyBorder="1" applyAlignment="1">
      <alignment horizontal="right"/>
    </xf>
    <xf numFmtId="190" fontId="6" fillId="6" borderId="0" xfId="0" applyNumberFormat="1" applyFont="1" applyFill="1" applyBorder="1"/>
    <xf numFmtId="172" fontId="0" fillId="6" borderId="0" xfId="0" applyNumberFormat="1" applyFont="1" applyFill="1" applyBorder="1" applyAlignment="1">
      <alignment horizontal="right"/>
    </xf>
    <xf numFmtId="190" fontId="0" fillId="6" borderId="0" xfId="0" applyNumberFormat="1" applyFont="1" applyFill="1" applyBorder="1"/>
    <xf numFmtId="191" fontId="0" fillId="6" borderId="0" xfId="0" applyNumberFormat="1" applyFont="1" applyFill="1" applyBorder="1"/>
    <xf numFmtId="190" fontId="0" fillId="9" borderId="0" xfId="0" applyNumberFormat="1" applyFont="1" applyFill="1" applyBorder="1"/>
    <xf numFmtId="17" fontId="38" fillId="9" borderId="0" xfId="9" applyNumberFormat="1" applyFont="1" applyFill="1" applyBorder="1" applyAlignment="1">
      <alignment horizontal="center"/>
    </xf>
    <xf numFmtId="166" fontId="27" fillId="9" borderId="0" xfId="9" applyNumberFormat="1" applyFont="1" applyFill="1" applyBorder="1" applyAlignment="1">
      <alignment horizontal="center"/>
    </xf>
    <xf numFmtId="166" fontId="35" fillId="10" borderId="0" xfId="9" applyNumberFormat="1" applyFont="1" applyFill="1" applyBorder="1"/>
    <xf numFmtId="171" fontId="26" fillId="9" borderId="0" xfId="9" applyNumberFormat="1" applyFont="1" applyFill="1" applyBorder="1" applyAlignment="1">
      <alignment horizontal="right"/>
    </xf>
    <xf numFmtId="169" fontId="28" fillId="9" borderId="0" xfId="0" applyNumberFormat="1" applyFont="1" applyFill="1" applyBorder="1"/>
    <xf numFmtId="169" fontId="28" fillId="9" borderId="0" xfId="9" applyNumberFormat="1" applyFont="1" applyFill="1" applyBorder="1" applyAlignment="1">
      <alignment horizontal="right"/>
    </xf>
    <xf numFmtId="171" fontId="26" fillId="9" borderId="0" xfId="9" applyNumberFormat="1" applyFont="1" applyFill="1" applyBorder="1"/>
    <xf numFmtId="169" fontId="36" fillId="10" borderId="0" xfId="9" applyNumberFormat="1" applyFont="1" applyFill="1" applyBorder="1"/>
    <xf numFmtId="169" fontId="26" fillId="9" borderId="0" xfId="9" applyNumberFormat="1" applyFont="1" applyFill="1" applyBorder="1" applyAlignment="1">
      <alignment horizontal="center"/>
    </xf>
    <xf numFmtId="169" fontId="26" fillId="9" borderId="0" xfId="9" applyNumberFormat="1" applyFont="1" applyFill="1" applyBorder="1" applyAlignment="1">
      <alignment horizontal="right"/>
    </xf>
    <xf numFmtId="182" fontId="26" fillId="9" borderId="0" xfId="9" applyNumberFormat="1" applyFont="1" applyFill="1" applyBorder="1" applyAlignment="1">
      <alignment horizontal="right"/>
    </xf>
    <xf numFmtId="172" fontId="26" fillId="9" borderId="0" xfId="9" applyNumberFormat="1" applyFont="1" applyFill="1" applyBorder="1"/>
    <xf numFmtId="183" fontId="26" fillId="9" borderId="0" xfId="9" applyNumberFormat="1" applyFont="1" applyFill="1" applyBorder="1" applyAlignment="1">
      <alignment horizontal="right"/>
    </xf>
    <xf numFmtId="172" fontId="28" fillId="9" borderId="0" xfId="9" applyNumberFormat="1" applyFont="1" applyFill="1" applyBorder="1"/>
    <xf numFmtId="171" fontId="26" fillId="6" borderId="0" xfId="9" applyNumberFormat="1" applyFont="1" applyFill="1" applyBorder="1"/>
    <xf numFmtId="169" fontId="26" fillId="6" borderId="0" xfId="0" applyNumberFormat="1" applyFont="1" applyFill="1" applyBorder="1"/>
    <xf numFmtId="169" fontId="28" fillId="6" borderId="0" xfId="9" applyNumberFormat="1" applyFont="1" applyFill="1" applyBorder="1" applyAlignment="1">
      <alignment horizontal="right"/>
    </xf>
    <xf numFmtId="169" fontId="28" fillId="9" borderId="0" xfId="9" applyNumberFormat="1" applyFont="1" applyFill="1" applyBorder="1" applyAlignment="1">
      <alignment horizontal="center"/>
    </xf>
    <xf numFmtId="169" fontId="28" fillId="6" borderId="0" xfId="9" applyNumberFormat="1" applyFont="1" applyFill="1" applyBorder="1"/>
    <xf numFmtId="169" fontId="26" fillId="6" borderId="0" xfId="9" applyNumberFormat="1" applyFont="1" applyFill="1" applyBorder="1" applyAlignment="1">
      <alignment horizontal="right"/>
    </xf>
    <xf numFmtId="182" fontId="26" fillId="6" borderId="0" xfId="9" applyNumberFormat="1" applyFont="1" applyFill="1" applyBorder="1" applyAlignment="1">
      <alignment horizontal="right"/>
    </xf>
    <xf numFmtId="172" fontId="26" fillId="6" borderId="0" xfId="9" applyNumberFormat="1" applyFont="1" applyFill="1" applyBorder="1" applyAlignment="1">
      <alignment horizontal="right"/>
    </xf>
    <xf numFmtId="183" fontId="26" fillId="6" borderId="0" xfId="9" applyNumberFormat="1" applyFont="1" applyFill="1" applyBorder="1" applyAlignment="1">
      <alignment horizontal="right"/>
    </xf>
    <xf numFmtId="172" fontId="28" fillId="6" borderId="0" xfId="9" applyNumberFormat="1" applyFont="1" applyFill="1" applyBorder="1" applyAlignment="1">
      <alignment horizontal="right"/>
    </xf>
    <xf numFmtId="180" fontId="18" fillId="11" borderId="0" xfId="1" applyNumberFormat="1" applyFont="1" applyFill="1" applyAlignment="1">
      <alignment horizontal="center" vertical="center"/>
    </xf>
    <xf numFmtId="0" fontId="0" fillId="6" borderId="0" xfId="0" applyNumberFormat="1" applyFont="1" applyFill="1"/>
    <xf numFmtId="0" fontId="0" fillId="9" borderId="0" xfId="0" applyNumberFormat="1" applyFont="1" applyFill="1"/>
    <xf numFmtId="0" fontId="0" fillId="9" borderId="0" xfId="0" applyNumberFormat="1" applyFont="1" applyFill="1" applyBorder="1"/>
    <xf numFmtId="174" fontId="0" fillId="9" borderId="0" xfId="0" applyNumberFormat="1" applyFont="1" applyFill="1" applyBorder="1"/>
    <xf numFmtId="17" fontId="2" fillId="9" borderId="0" xfId="0" applyNumberFormat="1" applyFont="1" applyFill="1" applyBorder="1" applyAlignment="1">
      <alignment horizontal="center"/>
    </xf>
    <xf numFmtId="0" fontId="3" fillId="9" borderId="0" xfId="0" applyFont="1" applyFill="1" applyBorder="1" applyAlignment="1">
      <alignment horizontal="center"/>
    </xf>
    <xf numFmtId="169" fontId="26" fillId="6" borderId="0" xfId="0" applyNumberFormat="1" applyFont="1" applyFill="1" applyBorder="1" applyAlignment="1">
      <alignment horizontal="right"/>
    </xf>
    <xf numFmtId="169" fontId="29" fillId="6" borderId="0" xfId="0" applyNumberFormat="1" applyFont="1" applyFill="1" applyBorder="1"/>
    <xf numFmtId="169" fontId="29" fillId="6" borderId="0" xfId="0" applyNumberFormat="1" applyFont="1" applyFill="1" applyBorder="1" applyAlignment="1">
      <alignment horizontal="right"/>
    </xf>
    <xf numFmtId="169" fontId="29" fillId="6" borderId="0" xfId="0" applyNumberFormat="1" applyFont="1" applyFill="1" applyBorder="1" applyAlignment="1">
      <alignment horizontal="left" indent="1"/>
    </xf>
    <xf numFmtId="169" fontId="0" fillId="6" borderId="0" xfId="0" applyNumberFormat="1" applyFont="1" applyFill="1" applyBorder="1" applyAlignment="1">
      <alignment horizontal="center"/>
    </xf>
    <xf numFmtId="171" fontId="29" fillId="6" borderId="0" xfId="0" applyNumberFormat="1" applyFont="1" applyFill="1" applyBorder="1"/>
    <xf numFmtId="171" fontId="29" fillId="9" borderId="0" xfId="0" applyNumberFormat="1" applyFont="1" applyFill="1" applyBorder="1"/>
    <xf numFmtId="171" fontId="29" fillId="6" borderId="0" xfId="0" applyNumberFormat="1" applyFont="1" applyFill="1" applyBorder="1" applyAlignment="1">
      <alignment horizontal="right"/>
    </xf>
    <xf numFmtId="171" fontId="26" fillId="6" borderId="0" xfId="1" applyNumberFormat="1" applyFont="1" applyFill="1" applyBorder="1" applyAlignment="1">
      <alignment horizontal="right" indent="1"/>
    </xf>
    <xf numFmtId="171" fontId="26" fillId="6" borderId="0" xfId="1" applyNumberFormat="1" applyFont="1" applyFill="1" applyBorder="1"/>
    <xf numFmtId="175" fontId="28" fillId="6" borderId="0" xfId="0" applyNumberFormat="1" applyFont="1" applyFill="1" applyBorder="1"/>
    <xf numFmtId="172" fontId="6" fillId="9" borderId="0" xfId="0" applyNumberFormat="1" applyFont="1" applyFill="1" applyBorder="1" applyAlignment="1">
      <alignment horizontal="right"/>
    </xf>
    <xf numFmtId="0" fontId="0" fillId="6" borderId="0" xfId="0" applyNumberFormat="1" applyFont="1" applyFill="1" applyBorder="1"/>
    <xf numFmtId="190" fontId="6" fillId="6" borderId="0" xfId="0" applyNumberFormat="1" applyFont="1" applyFill="1" applyBorder="1" applyAlignment="1">
      <alignment horizontal="right"/>
    </xf>
    <xf numFmtId="172" fontId="0" fillId="9" borderId="0" xfId="0" applyNumberFormat="1" applyFont="1" applyFill="1" applyBorder="1" applyAlignment="1">
      <alignment horizontal="right"/>
    </xf>
    <xf numFmtId="190" fontId="0" fillId="6" borderId="0" xfId="0" applyNumberFormat="1" applyFont="1" applyFill="1" applyBorder="1" applyAlignment="1">
      <alignment horizontal="right"/>
    </xf>
    <xf numFmtId="191" fontId="0" fillId="6" borderId="0" xfId="0" applyNumberFormat="1" applyFont="1" applyFill="1" applyBorder="1" applyAlignment="1">
      <alignment horizontal="right"/>
    </xf>
    <xf numFmtId="169" fontId="23" fillId="9" borderId="0" xfId="7" applyNumberFormat="1" applyFont="1" applyFill="1" applyBorder="1"/>
    <xf numFmtId="166" fontId="23" fillId="9" borderId="0" xfId="7" applyNumberFormat="1" applyFont="1" applyFill="1" applyBorder="1"/>
    <xf numFmtId="17" fontId="37" fillId="9" borderId="0" xfId="9" applyNumberFormat="1" applyFont="1" applyFill="1" applyBorder="1" applyAlignment="1">
      <alignment horizontal="center"/>
    </xf>
    <xf numFmtId="171" fontId="26" fillId="6" borderId="0" xfId="9" applyNumberFormat="1" applyFont="1" applyFill="1" applyBorder="1" applyAlignment="1">
      <alignment horizontal="right"/>
    </xf>
    <xf numFmtId="169" fontId="26" fillId="6" borderId="0" xfId="9" applyNumberFormat="1" applyFont="1" applyFill="1" applyBorder="1" applyAlignment="1">
      <alignment horizontal="center"/>
    </xf>
    <xf numFmtId="172" fontId="26" fillId="9" borderId="0" xfId="9" applyNumberFormat="1" applyFont="1" applyFill="1" applyBorder="1" applyAlignment="1">
      <alignment horizontal="right"/>
    </xf>
    <xf numFmtId="172" fontId="28" fillId="9" borderId="0" xfId="9" applyNumberFormat="1" applyFont="1" applyFill="1" applyBorder="1" applyAlignment="1">
      <alignment horizontal="right"/>
    </xf>
    <xf numFmtId="193" fontId="19" fillId="5" borderId="0" xfId="8" applyNumberFormat="1" applyFont="1" applyFill="1" applyAlignment="1">
      <alignment horizontal="center" vertical="center"/>
    </xf>
    <xf numFmtId="0" fontId="0" fillId="9" borderId="25" xfId="0" applyFill="1" applyBorder="1"/>
    <xf numFmtId="179" fontId="2" fillId="3" borderId="0" xfId="0" applyNumberFormat="1" applyFont="1" applyFill="1" applyAlignment="1">
      <alignment horizontal="left"/>
    </xf>
    <xf numFmtId="169" fontId="0" fillId="9" borderId="7" xfId="0" applyNumberFormat="1" applyFont="1" applyFill="1" applyBorder="1" applyAlignment="1">
      <alignment horizontal="right"/>
    </xf>
    <xf numFmtId="169" fontId="0" fillId="9" borderId="10" xfId="0" applyNumberFormat="1" applyFont="1" applyFill="1" applyBorder="1" applyAlignment="1">
      <alignment horizontal="right"/>
    </xf>
    <xf numFmtId="168" fontId="0" fillId="9" borderId="11" xfId="0" applyNumberFormat="1" applyFont="1" applyFill="1" applyBorder="1"/>
    <xf numFmtId="166" fontId="28" fillId="9" borderId="26" xfId="0" applyNumberFormat="1" applyFont="1" applyFill="1" applyBorder="1"/>
    <xf numFmtId="169" fontId="28" fillId="9" borderId="2" xfId="9" applyNumberFormat="1" applyFont="1" applyFill="1" applyBorder="1" applyAlignment="1">
      <alignment horizontal="right"/>
    </xf>
    <xf numFmtId="169" fontId="28" fillId="9" borderId="0" xfId="9" applyNumberFormat="1" applyFont="1" applyFill="1" applyBorder="1"/>
    <xf numFmtId="169" fontId="0" fillId="9" borderId="7" xfId="0" applyNumberFormat="1" applyFont="1" applyFill="1" applyBorder="1" applyAlignment="1">
      <alignment horizontal="left" indent="1"/>
    </xf>
    <xf numFmtId="169" fontId="23" fillId="9" borderId="7" xfId="1" applyNumberFormat="1" applyFont="1" applyFill="1" applyBorder="1"/>
    <xf numFmtId="169" fontId="28" fillId="9" borderId="7" xfId="0" applyNumberFormat="1" applyFont="1" applyFill="1" applyBorder="1" applyAlignment="1">
      <alignment horizontal="right"/>
    </xf>
    <xf numFmtId="169" fontId="23" fillId="9" borderId="10" xfId="1" applyNumberFormat="1" applyFont="1" applyFill="1" applyBorder="1"/>
    <xf numFmtId="169" fontId="28" fillId="9" borderId="10" xfId="0" applyNumberFormat="1" applyFont="1" applyFill="1" applyBorder="1" applyAlignment="1">
      <alignment horizontal="right"/>
    </xf>
    <xf numFmtId="166" fontId="0" fillId="9" borderId="7" xfId="0" applyNumberFormat="1" applyFont="1" applyFill="1" applyBorder="1" applyAlignment="1">
      <alignment horizontal="left" indent="1"/>
    </xf>
    <xf numFmtId="166" fontId="8" fillId="9" borderId="7" xfId="1" applyNumberFormat="1" applyFont="1" applyFill="1" applyBorder="1"/>
    <xf numFmtId="166" fontId="23" fillId="9" borderId="10" xfId="1" applyNumberFormat="1" applyFont="1" applyFill="1" applyBorder="1"/>
    <xf numFmtId="166" fontId="27" fillId="9" borderId="7" xfId="1" applyNumberFormat="1" applyFont="1" applyFill="1" applyBorder="1"/>
    <xf numFmtId="169" fontId="27" fillId="9" borderId="2" xfId="1" applyNumberFormat="1" applyFont="1" applyFill="1" applyBorder="1"/>
    <xf numFmtId="169" fontId="26" fillId="9" borderId="2" xfId="0" applyNumberFormat="1" applyFont="1" applyFill="1" applyBorder="1" applyAlignment="1">
      <alignment horizontal="right"/>
    </xf>
    <xf numFmtId="169" fontId="26" fillId="9" borderId="2" xfId="0" applyNumberFormat="1" applyFont="1" applyFill="1" applyBorder="1" applyAlignment="1">
      <alignment horizontal="left" indent="1"/>
    </xf>
    <xf numFmtId="166" fontId="28" fillId="9" borderId="2" xfId="0" applyNumberFormat="1" applyFont="1" applyFill="1" applyBorder="1" applyAlignment="1">
      <alignment horizontal="left" indent="3"/>
    </xf>
    <xf numFmtId="166" fontId="28" fillId="9" borderId="10" xfId="0" applyNumberFormat="1" applyFont="1" applyFill="1" applyBorder="1" applyAlignment="1">
      <alignment horizontal="left" indent="3"/>
    </xf>
    <xf numFmtId="166" fontId="30" fillId="9" borderId="7" xfId="0" applyNumberFormat="1" applyFont="1" applyFill="1" applyBorder="1" applyAlignment="1">
      <alignment horizontal="left" indent="1"/>
    </xf>
    <xf numFmtId="166" fontId="29" fillId="9" borderId="7" xfId="0" applyNumberFormat="1" applyFont="1" applyFill="1" applyBorder="1" applyAlignment="1">
      <alignment horizontal="left" indent="3"/>
    </xf>
    <xf numFmtId="166" fontId="2" fillId="9" borderId="11" xfId="7" applyNumberFormat="1" applyFont="1" applyFill="1" applyBorder="1" applyAlignment="1">
      <alignment horizontal="left" indent="1"/>
    </xf>
    <xf numFmtId="168" fontId="6" fillId="9" borderId="14" xfId="0" applyNumberFormat="1" applyFont="1" applyFill="1" applyBorder="1"/>
    <xf numFmtId="168" fontId="0" fillId="9" borderId="14" xfId="0" applyNumberFormat="1" applyFont="1" applyFill="1" applyBorder="1"/>
    <xf numFmtId="166" fontId="2" fillId="9" borderId="26" xfId="7" applyNumberFormat="1" applyFont="1" applyFill="1" applyBorder="1" applyAlignment="1">
      <alignment horizontal="left" indent="1"/>
    </xf>
    <xf numFmtId="168" fontId="2" fillId="9" borderId="11" xfId="7" applyNumberFormat="1" applyFont="1" applyFill="1" applyBorder="1"/>
    <xf numFmtId="166" fontId="6" fillId="9" borderId="14" xfId="0" applyNumberFormat="1" applyFont="1" applyFill="1" applyBorder="1"/>
    <xf numFmtId="166" fontId="0" fillId="9" borderId="14" xfId="0" applyNumberFormat="1" applyFont="1" applyFill="1" applyBorder="1"/>
    <xf numFmtId="166" fontId="0" fillId="9" borderId="14" xfId="0" applyNumberFormat="1" applyFill="1" applyBorder="1"/>
    <xf numFmtId="166" fontId="23" fillId="9" borderId="26" xfId="7" applyNumberFormat="1" applyFont="1" applyFill="1" applyBorder="1" applyAlignment="1">
      <alignment horizontal="left" indent="1"/>
    </xf>
    <xf numFmtId="166" fontId="23" fillId="9" borderId="26" xfId="7" applyNumberFormat="1" applyFont="1" applyFill="1" applyBorder="1"/>
    <xf numFmtId="190" fontId="0" fillId="9" borderId="14" xfId="0" applyNumberFormat="1" applyFont="1" applyFill="1" applyBorder="1"/>
    <xf numFmtId="191" fontId="0" fillId="9" borderId="14" xfId="0" applyNumberFormat="1" applyFont="1" applyFill="1" applyBorder="1"/>
    <xf numFmtId="166" fontId="0" fillId="9" borderId="26" xfId="0" applyNumberFormat="1" applyFill="1" applyBorder="1"/>
    <xf numFmtId="166" fontId="2" fillId="9" borderId="19" xfId="7" applyNumberFormat="1" applyFill="1" applyBorder="1"/>
    <xf numFmtId="166" fontId="0" fillId="9" borderId="19" xfId="0" applyNumberFormat="1" applyFont="1" applyFill="1" applyBorder="1"/>
    <xf numFmtId="0" fontId="0" fillId="9" borderId="19" xfId="0" applyFill="1" applyBorder="1"/>
    <xf numFmtId="169" fontId="28" fillId="6" borderId="7" xfId="0" applyNumberFormat="1" applyFont="1" applyFill="1" applyBorder="1" applyAlignment="1">
      <alignment horizontal="right"/>
    </xf>
    <xf numFmtId="169" fontId="28" fillId="6" borderId="10" xfId="0" applyNumberFormat="1" applyFont="1" applyFill="1" applyBorder="1" applyAlignment="1">
      <alignment horizontal="right"/>
    </xf>
    <xf numFmtId="169" fontId="26" fillId="6" borderId="2" xfId="0" applyNumberFormat="1" applyFont="1" applyFill="1" applyBorder="1" applyAlignment="1">
      <alignment horizontal="right"/>
    </xf>
    <xf numFmtId="169" fontId="0" fillId="6" borderId="7" xfId="0" applyNumberFormat="1" applyFont="1" applyFill="1" applyBorder="1" applyAlignment="1">
      <alignment horizontal="right"/>
    </xf>
    <xf numFmtId="169" fontId="0" fillId="6" borderId="10" xfId="0" applyNumberFormat="1" applyFont="1" applyFill="1" applyBorder="1" applyAlignment="1">
      <alignment horizontal="right"/>
    </xf>
    <xf numFmtId="0" fontId="5" fillId="9" borderId="0" xfId="0" applyFont="1" applyFill="1" applyAlignment="1">
      <alignment horizontal="center"/>
    </xf>
    <xf numFmtId="166" fontId="23" fillId="9" borderId="2" xfId="7" applyNumberFormat="1" applyFont="1" applyFill="1" applyBorder="1"/>
    <xf numFmtId="169" fontId="28" fillId="9" borderId="4" xfId="0" applyNumberFormat="1" applyFont="1" applyFill="1" applyBorder="1"/>
    <xf numFmtId="166" fontId="28" fillId="9" borderId="4" xfId="0" applyNumberFormat="1" applyFont="1" applyFill="1" applyBorder="1"/>
    <xf numFmtId="166" fontId="28" fillId="9" borderId="1" xfId="0" applyNumberFormat="1" applyFont="1" applyFill="1" applyBorder="1"/>
    <xf numFmtId="166" fontId="23" fillId="9" borderId="5" xfId="7" applyNumberFormat="1" applyFont="1" applyFill="1" applyBorder="1" applyAlignment="1">
      <alignment horizontal="left" indent="1"/>
    </xf>
    <xf numFmtId="166" fontId="23" fillId="9" borderId="3" xfId="7" applyNumberFormat="1" applyFont="1" applyFill="1" applyBorder="1" applyAlignment="1">
      <alignment horizontal="left" indent="1"/>
    </xf>
    <xf numFmtId="166" fontId="27" fillId="9" borderId="27" xfId="7" applyNumberFormat="1" applyFont="1" applyFill="1" applyBorder="1"/>
    <xf numFmtId="176" fontId="23" fillId="9" borderId="28" xfId="7" applyNumberFormat="1" applyFont="1" applyFill="1" applyBorder="1" applyAlignment="1">
      <alignment horizontal="left" indent="1"/>
    </xf>
    <xf numFmtId="177" fontId="23" fillId="9" borderId="28" xfId="7" applyNumberFormat="1" applyFont="1" applyFill="1" applyBorder="1" applyAlignment="1">
      <alignment horizontal="left" indent="1"/>
    </xf>
    <xf numFmtId="178" fontId="23" fillId="9" borderId="28" xfId="7" applyNumberFormat="1" applyFont="1" applyFill="1" applyBorder="1" applyAlignment="1">
      <alignment horizontal="left" indent="1"/>
    </xf>
    <xf numFmtId="184" fontId="23" fillId="9" borderId="16" xfId="7" applyNumberFormat="1" applyFont="1" applyFill="1" applyBorder="1" applyAlignment="1">
      <alignment horizontal="left" indent="1"/>
    </xf>
    <xf numFmtId="166" fontId="27" fillId="9" borderId="8" xfId="7" applyNumberFormat="1" applyFont="1" applyFill="1" applyBorder="1"/>
    <xf numFmtId="166" fontId="28" fillId="9" borderId="2" xfId="9" applyNumberFormat="1" applyFont="1" applyFill="1" applyBorder="1" applyAlignment="1">
      <alignment horizontal="left" indent="1"/>
    </xf>
    <xf numFmtId="166" fontId="28" fillId="9" borderId="2" xfId="9" applyNumberFormat="1" applyFont="1" applyFill="1" applyBorder="1" applyAlignment="1">
      <alignment horizontal="left" indent="3"/>
    </xf>
    <xf numFmtId="169" fontId="28" fillId="9" borderId="2" xfId="9" applyNumberFormat="1" applyFont="1" applyFill="1" applyBorder="1" applyAlignment="1">
      <alignment horizontal="left" indent="1"/>
    </xf>
    <xf numFmtId="169" fontId="23" fillId="9" borderId="2" xfId="3" applyNumberFormat="1" applyFont="1" applyFill="1" applyBorder="1"/>
    <xf numFmtId="169" fontId="28" fillId="6" borderId="2" xfId="9" applyNumberFormat="1" applyFont="1" applyFill="1" applyBorder="1" applyAlignment="1">
      <alignment horizontal="right"/>
    </xf>
    <xf numFmtId="169" fontId="28" fillId="6" borderId="2" xfId="9" applyNumberFormat="1" applyFont="1" applyFill="1" applyBorder="1"/>
    <xf numFmtId="166" fontId="26" fillId="9" borderId="0" xfId="9" applyNumberFormat="1" applyFont="1" applyFill="1" applyBorder="1" applyAlignment="1">
      <alignment horizontal="center"/>
    </xf>
    <xf numFmtId="0" fontId="2" fillId="4" borderId="9" xfId="8" applyFont="1" applyFill="1" applyBorder="1" applyAlignment="1">
      <alignment horizontal="center"/>
    </xf>
    <xf numFmtId="0" fontId="10" fillId="12" borderId="9" xfId="8" applyFont="1" applyFill="1" applyBorder="1" applyAlignment="1">
      <alignment horizontal="center"/>
    </xf>
    <xf numFmtId="14" fontId="13" fillId="3" borderId="0" xfId="8" applyNumberFormat="1" applyFont="1" applyFill="1" applyAlignment="1">
      <alignment horizontal="center" vertical="center"/>
    </xf>
    <xf numFmtId="0" fontId="8" fillId="4" borderId="9" xfId="8" applyFont="1" applyFill="1" applyBorder="1" applyAlignment="1">
      <alignment horizontal="left"/>
    </xf>
    <xf numFmtId="0" fontId="8" fillId="4" borderId="17" xfId="8" applyFont="1" applyFill="1" applyBorder="1" applyAlignment="1">
      <alignment horizontal="left"/>
    </xf>
    <xf numFmtId="0" fontId="8" fillId="4" borderId="21" xfId="8" applyFont="1" applyFill="1" applyBorder="1" applyAlignment="1">
      <alignment horizontal="left"/>
    </xf>
    <xf numFmtId="0" fontId="8" fillId="4" borderId="16" xfId="8" applyFont="1" applyFill="1" applyBorder="1" applyAlignment="1">
      <alignment horizontal="left"/>
    </xf>
    <xf numFmtId="166" fontId="2" fillId="9" borderId="0" xfId="7" applyNumberFormat="1" applyFont="1" applyFill="1" applyBorder="1"/>
    <xf numFmtId="168" fontId="3" fillId="9" borderId="0" xfId="7" applyNumberFormat="1" applyFont="1" applyFill="1" applyBorder="1"/>
    <xf numFmtId="168" fontId="2" fillId="9" borderId="0" xfId="7" applyNumberFormat="1" applyFont="1" applyFill="1" applyBorder="1"/>
    <xf numFmtId="17" fontId="23" fillId="9" borderId="0" xfId="7" applyNumberFormat="1" applyFont="1" applyFill="1" applyBorder="1"/>
    <xf numFmtId="190" fontId="23" fillId="9" borderId="0" xfId="7" applyNumberFormat="1" applyFont="1" applyFill="1" applyBorder="1"/>
    <xf numFmtId="191" fontId="23" fillId="9" borderId="0" xfId="7" applyNumberFormat="1" applyFont="1" applyFill="1" applyBorder="1"/>
    <xf numFmtId="168" fontId="6" fillId="9" borderId="29" xfId="0" applyNumberFormat="1" applyFont="1" applyFill="1" applyBorder="1"/>
    <xf numFmtId="168" fontId="0" fillId="9" borderId="29" xfId="0" applyNumberFormat="1" applyFont="1" applyFill="1" applyBorder="1"/>
    <xf numFmtId="0" fontId="6" fillId="9" borderId="29" xfId="0" applyFont="1" applyFill="1" applyBorder="1"/>
    <xf numFmtId="168" fontId="0" fillId="9" borderId="30" xfId="0" applyNumberFormat="1" applyFont="1" applyFill="1" applyBorder="1"/>
    <xf numFmtId="166" fontId="0" fillId="9" borderId="7" xfId="0" applyNumberFormat="1" applyFont="1" applyFill="1" applyBorder="1" applyAlignment="1">
      <alignment horizontal="left" indent="3"/>
    </xf>
    <xf numFmtId="0" fontId="21" fillId="9" borderId="25" xfId="0" applyFont="1" applyFill="1" applyBorder="1"/>
    <xf numFmtId="169" fontId="6" fillId="9" borderId="25" xfId="0" applyNumberFormat="1" applyFont="1" applyFill="1" applyBorder="1" applyAlignment="1">
      <alignment horizontal="right"/>
    </xf>
    <xf numFmtId="169" fontId="21" fillId="9" borderId="25" xfId="0" applyNumberFormat="1" applyFont="1" applyFill="1" applyBorder="1" applyAlignment="1">
      <alignment horizontal="right"/>
    </xf>
    <xf numFmtId="169" fontId="0" fillId="9" borderId="25" xfId="0" applyNumberFormat="1" applyFont="1" applyFill="1" applyBorder="1" applyAlignment="1">
      <alignment horizontal="center"/>
    </xf>
    <xf numFmtId="172" fontId="6" fillId="9" borderId="25" xfId="0" applyNumberFormat="1" applyFont="1" applyFill="1" applyBorder="1"/>
    <xf numFmtId="0" fontId="0" fillId="9" borderId="25" xfId="0" applyNumberFormat="1" applyFont="1" applyFill="1" applyBorder="1"/>
    <xf numFmtId="190" fontId="6" fillId="9" borderId="25" xfId="0" applyNumberFormat="1" applyFont="1" applyFill="1" applyBorder="1" applyAlignment="1">
      <alignment horizontal="right"/>
    </xf>
    <xf numFmtId="172" fontId="0" fillId="9" borderId="25" xfId="0" applyNumberFormat="1" applyFont="1" applyFill="1" applyBorder="1"/>
    <xf numFmtId="169" fontId="0" fillId="9" borderId="25" xfId="0" applyNumberFormat="1" applyFont="1" applyFill="1" applyBorder="1" applyAlignment="1">
      <alignment horizontal="right"/>
    </xf>
    <xf numFmtId="190" fontId="0" fillId="9" borderId="25" xfId="0" applyNumberFormat="1" applyFont="1" applyFill="1" applyBorder="1" applyAlignment="1">
      <alignment horizontal="right"/>
    </xf>
    <xf numFmtId="191" fontId="0" fillId="9" borderId="25" xfId="0" applyNumberFormat="1" applyFont="1" applyFill="1" applyBorder="1" applyAlignment="1">
      <alignment horizontal="right"/>
    </xf>
    <xf numFmtId="0" fontId="26" fillId="9" borderId="6" xfId="0" applyFont="1" applyFill="1" applyBorder="1"/>
    <xf numFmtId="168" fontId="23" fillId="9" borderId="4" xfId="7" applyNumberFormat="1" applyFont="1" applyFill="1" applyBorder="1"/>
    <xf numFmtId="168" fontId="23" fillId="9" borderId="1" xfId="7" applyNumberFormat="1" applyFont="1" applyFill="1" applyBorder="1"/>
    <xf numFmtId="17" fontId="38" fillId="9" borderId="25" xfId="9" applyNumberFormat="1" applyFont="1" applyFill="1" applyBorder="1" applyAlignment="1">
      <alignment horizontal="center"/>
    </xf>
    <xf numFmtId="166" fontId="27" fillId="9" borderId="25" xfId="9" applyNumberFormat="1" applyFont="1" applyFill="1" applyBorder="1" applyAlignment="1">
      <alignment horizontal="center"/>
    </xf>
    <xf numFmtId="166" fontId="35" fillId="10" borderId="25" xfId="9" applyNumberFormat="1" applyFont="1" applyFill="1" applyBorder="1"/>
    <xf numFmtId="171" fontId="26" fillId="9" borderId="25" xfId="9" applyNumberFormat="1" applyFont="1" applyFill="1" applyBorder="1" applyAlignment="1">
      <alignment horizontal="right"/>
    </xf>
    <xf numFmtId="169" fontId="28" fillId="9" borderId="25" xfId="9" applyNumberFormat="1" applyFont="1" applyFill="1" applyBorder="1" applyAlignment="1">
      <alignment horizontal="right"/>
    </xf>
    <xf numFmtId="171" fontId="26" fillId="9" borderId="25" xfId="9" applyNumberFormat="1" applyFont="1" applyFill="1" applyBorder="1"/>
    <xf numFmtId="169" fontId="36" fillId="10" borderId="25" xfId="9" applyNumberFormat="1" applyFont="1" applyFill="1" applyBorder="1"/>
    <xf numFmtId="169" fontId="26" fillId="9" borderId="25" xfId="9" applyNumberFormat="1" applyFont="1" applyFill="1" applyBorder="1" applyAlignment="1">
      <alignment horizontal="center"/>
    </xf>
    <xf numFmtId="169" fontId="28" fillId="9" borderId="31" xfId="9" applyNumberFormat="1" applyFont="1" applyFill="1" applyBorder="1" applyAlignment="1">
      <alignment horizontal="right"/>
    </xf>
    <xf numFmtId="169" fontId="26" fillId="9" borderId="32" xfId="9" applyNumberFormat="1" applyFont="1" applyFill="1" applyBorder="1" applyAlignment="1">
      <alignment horizontal="right"/>
    </xf>
    <xf numFmtId="169" fontId="26" fillId="9" borderId="25" xfId="9" applyNumberFormat="1" applyFont="1" applyFill="1" applyBorder="1" applyAlignment="1">
      <alignment horizontal="right"/>
    </xf>
    <xf numFmtId="182" fontId="26" fillId="9" borderId="25" xfId="9" applyNumberFormat="1" applyFont="1" applyFill="1" applyBorder="1" applyAlignment="1">
      <alignment horizontal="right"/>
    </xf>
    <xf numFmtId="172" fontId="26" fillId="9" borderId="25" xfId="9" applyNumberFormat="1" applyFont="1" applyFill="1" applyBorder="1"/>
    <xf numFmtId="183" fontId="26" fillId="9" borderId="25" xfId="9" applyNumberFormat="1" applyFont="1" applyFill="1" applyBorder="1" applyAlignment="1">
      <alignment horizontal="right"/>
    </xf>
    <xf numFmtId="172" fontId="28" fillId="9" borderId="25" xfId="9" applyNumberFormat="1" applyFont="1" applyFill="1" applyBorder="1"/>
    <xf numFmtId="1" fontId="6" fillId="9" borderId="25" xfId="0" applyNumberFormat="1" applyFont="1" applyFill="1" applyBorder="1" applyAlignment="1">
      <alignment horizontal="center"/>
    </xf>
    <xf numFmtId="17" fontId="8" fillId="9" borderId="25" xfId="0" applyNumberFormat="1" applyFont="1" applyFill="1" applyBorder="1" applyAlignment="1">
      <alignment horizontal="center"/>
    </xf>
    <xf numFmtId="0" fontId="5" fillId="9" borderId="25" xfId="0" applyFont="1" applyFill="1" applyBorder="1" applyAlignment="1">
      <alignment horizontal="center"/>
    </xf>
    <xf numFmtId="169" fontId="0" fillId="9" borderId="31" xfId="0" applyNumberFormat="1" applyFont="1" applyFill="1" applyBorder="1" applyAlignment="1">
      <alignment horizontal="right"/>
    </xf>
    <xf numFmtId="169" fontId="0" fillId="9" borderId="32" xfId="0" applyNumberFormat="1" applyFont="1" applyFill="1" applyBorder="1" applyAlignment="1">
      <alignment horizontal="right"/>
    </xf>
    <xf numFmtId="169" fontId="0" fillId="9" borderId="33" xfId="0" applyNumberFormat="1" applyFont="1" applyFill="1" applyBorder="1" applyAlignment="1">
      <alignment horizontal="right"/>
    </xf>
    <xf numFmtId="169" fontId="6" fillId="9" borderId="32" xfId="0" applyNumberFormat="1" applyFont="1" applyFill="1" applyBorder="1" applyAlignment="1">
      <alignment horizontal="right"/>
    </xf>
    <xf numFmtId="169" fontId="34" fillId="9" borderId="25" xfId="0" applyNumberFormat="1" applyFont="1" applyFill="1" applyBorder="1"/>
    <xf numFmtId="169" fontId="21" fillId="9" borderId="25" xfId="0" applyNumberFormat="1" applyFont="1" applyFill="1" applyBorder="1" applyAlignment="1">
      <alignment horizontal="left" indent="1"/>
    </xf>
    <xf numFmtId="171" fontId="34" fillId="9" borderId="25" xfId="0" applyNumberFormat="1" applyFont="1" applyFill="1" applyBorder="1"/>
    <xf numFmtId="169" fontId="6" fillId="9" borderId="25" xfId="0" applyNumberFormat="1" applyFont="1" applyFill="1" applyBorder="1"/>
    <xf numFmtId="171" fontId="6" fillId="9" borderId="25" xfId="1" applyNumberFormat="1" applyFont="1" applyFill="1" applyBorder="1"/>
    <xf numFmtId="171" fontId="21" fillId="9" borderId="25" xfId="0" applyNumberFormat="1" applyFont="1" applyFill="1" applyBorder="1"/>
    <xf numFmtId="166" fontId="0" fillId="9" borderId="34" xfId="0" applyNumberFormat="1" applyFont="1" applyFill="1" applyBorder="1"/>
    <xf numFmtId="166" fontId="0" fillId="9" borderId="35" xfId="0" applyNumberFormat="1" applyFont="1" applyFill="1" applyBorder="1"/>
    <xf numFmtId="17" fontId="0" fillId="9" borderId="29" xfId="0" applyNumberFormat="1" applyFont="1" applyFill="1" applyBorder="1"/>
    <xf numFmtId="190" fontId="0" fillId="9" borderId="29" xfId="0" applyNumberFormat="1" applyFont="1" applyFill="1" applyBorder="1"/>
    <xf numFmtId="191" fontId="0" fillId="9" borderId="29" xfId="0" applyNumberFormat="1" applyFont="1" applyFill="1" applyBorder="1"/>
    <xf numFmtId="166" fontId="0" fillId="9" borderId="30" xfId="0" applyNumberFormat="1" applyFont="1" applyFill="1" applyBorder="1"/>
    <xf numFmtId="0" fontId="0" fillId="9" borderId="29" xfId="0" applyFont="1" applyFill="1" applyBorder="1"/>
    <xf numFmtId="171" fontId="23" fillId="9" borderId="5" xfId="7" applyNumberFormat="1" applyFont="1" applyFill="1" applyBorder="1" applyAlignment="1">
      <alignment horizontal="left" indent="1"/>
    </xf>
    <xf numFmtId="171" fontId="28" fillId="9" borderId="0" xfId="0" applyNumberFormat="1" applyFont="1" applyFill="1" applyBorder="1"/>
    <xf numFmtId="171" fontId="23" fillId="9" borderId="0" xfId="1" applyNumberFormat="1" applyFont="1" applyFill="1" applyBorder="1"/>
    <xf numFmtId="171" fontId="28" fillId="9" borderId="4" xfId="0" applyNumberFormat="1" applyFont="1" applyFill="1" applyBorder="1"/>
    <xf numFmtId="171" fontId="0" fillId="9" borderId="14" xfId="0" applyNumberFormat="1" applyFont="1" applyFill="1" applyBorder="1"/>
    <xf numFmtId="171" fontId="0" fillId="0" borderId="0" xfId="0" applyNumberFormat="1" applyFont="1"/>
    <xf numFmtId="0" fontId="4" fillId="0" borderId="9" xfId="5" applyBorder="1"/>
    <xf numFmtId="166" fontId="35" fillId="10" borderId="29" xfId="0" applyNumberFormat="1" applyFont="1" applyFill="1" applyBorder="1"/>
    <xf numFmtId="0" fontId="36" fillId="10" borderId="29" xfId="0" applyFont="1" applyFill="1" applyBorder="1"/>
    <xf numFmtId="166" fontId="28" fillId="9" borderId="29" xfId="0" applyNumberFormat="1" applyFont="1" applyFill="1" applyBorder="1"/>
    <xf numFmtId="171" fontId="28" fillId="9" borderId="29" xfId="0" applyNumberFormat="1" applyFont="1" applyFill="1" applyBorder="1"/>
    <xf numFmtId="166" fontId="28" fillId="9" borderId="36" xfId="0" applyNumberFormat="1" applyFont="1" applyFill="1" applyBorder="1"/>
    <xf numFmtId="166" fontId="29" fillId="9" borderId="0" xfId="0" applyNumberFormat="1" applyFont="1" applyFill="1"/>
    <xf numFmtId="169" fontId="29" fillId="9" borderId="0" xfId="0" applyNumberFormat="1" applyFont="1" applyFill="1" applyAlignment="1">
      <alignment horizontal="left"/>
    </xf>
    <xf numFmtId="169" fontId="21" fillId="6" borderId="0" xfId="0" applyNumberFormat="1" applyFont="1" applyFill="1" applyAlignment="1">
      <alignment horizontal="left"/>
    </xf>
    <xf numFmtId="169" fontId="29" fillId="6" borderId="0" xfId="0" applyNumberFormat="1" applyFont="1" applyFill="1" applyAlignment="1">
      <alignment horizontal="left"/>
    </xf>
    <xf numFmtId="171" fontId="29" fillId="9" borderId="0" xfId="0" applyNumberFormat="1" applyFont="1" applyFill="1" applyAlignment="1">
      <alignment horizontal="left"/>
    </xf>
    <xf numFmtId="171" fontId="21" fillId="6" borderId="0" xfId="0" applyNumberFormat="1" applyFont="1" applyFill="1" applyAlignment="1">
      <alignment horizontal="left"/>
    </xf>
    <xf numFmtId="171" fontId="29" fillId="6" borderId="0" xfId="0" applyNumberFormat="1" applyFont="1" applyFill="1" applyAlignment="1">
      <alignment horizontal="left"/>
    </xf>
    <xf numFmtId="191" fontId="0" fillId="9" borderId="0" xfId="0" applyNumberFormat="1" applyFont="1" applyFill="1" applyBorder="1"/>
    <xf numFmtId="191" fontId="0" fillId="9" borderId="25" xfId="0" applyNumberFormat="1" applyFont="1" applyFill="1" applyBorder="1"/>
    <xf numFmtId="166" fontId="6" fillId="9" borderId="0" xfId="0" applyNumberFormat="1" applyFont="1" applyFill="1" applyBorder="1" applyAlignment="1">
      <alignment horizontal="left"/>
    </xf>
    <xf numFmtId="166" fontId="6" fillId="9" borderId="0" xfId="0" applyNumberFormat="1" applyFont="1" applyFill="1" applyBorder="1" applyAlignment="1">
      <alignment horizontal="left" indent="3"/>
    </xf>
    <xf numFmtId="166" fontId="0" fillId="9" borderId="0" xfId="0" applyNumberFormat="1" applyFont="1" applyFill="1" applyBorder="1" applyAlignment="1">
      <alignment horizontal="left" indent="3"/>
    </xf>
    <xf numFmtId="166" fontId="0" fillId="9" borderId="0" xfId="0" applyNumberFormat="1" applyFont="1" applyFill="1" applyBorder="1" applyAlignment="1">
      <alignment horizontal="left" indent="1"/>
    </xf>
    <xf numFmtId="166" fontId="25" fillId="10" borderId="0" xfId="0" applyNumberFormat="1" applyFont="1" applyFill="1" applyAlignment="1">
      <alignment horizontal="left"/>
    </xf>
    <xf numFmtId="166" fontId="25" fillId="10" borderId="0" xfId="0" applyNumberFormat="1" applyFont="1" applyFill="1" applyAlignment="1">
      <alignment horizontal="left" indent="3"/>
    </xf>
    <xf numFmtId="169" fontId="26" fillId="9" borderId="0" xfId="0" applyNumberFormat="1" applyFont="1" applyFill="1" applyBorder="1" applyAlignment="1">
      <alignment horizontal="left" indent="1"/>
    </xf>
    <xf numFmtId="169" fontId="27" fillId="9" borderId="0" xfId="1" applyNumberFormat="1" applyFont="1" applyFill="1" applyBorder="1"/>
    <xf numFmtId="169" fontId="14" fillId="9" borderId="0" xfId="0" applyNumberFormat="1" applyFont="1" applyFill="1" applyBorder="1" applyAlignment="1">
      <alignment horizontal="right"/>
    </xf>
    <xf numFmtId="169" fontId="14" fillId="6" borderId="0" xfId="0" applyNumberFormat="1" applyFont="1" applyFill="1" applyBorder="1" applyAlignment="1">
      <alignment horizontal="right"/>
    </xf>
    <xf numFmtId="169" fontId="26" fillId="9" borderId="25" xfId="0" applyNumberFormat="1" applyFont="1" applyFill="1" applyBorder="1" applyAlignment="1">
      <alignment horizontal="right"/>
    </xf>
    <xf numFmtId="169" fontId="26" fillId="9" borderId="31" xfId="0" applyNumberFormat="1" applyFont="1" applyFill="1" applyBorder="1" applyAlignment="1">
      <alignment horizontal="right"/>
    </xf>
    <xf numFmtId="169" fontId="6" fillId="6" borderId="0" xfId="0" applyNumberFormat="1" applyFont="1" applyFill="1" applyBorder="1" applyAlignment="1">
      <alignment horizontal="center"/>
    </xf>
    <xf numFmtId="169" fontId="6" fillId="9" borderId="0" xfId="0" applyNumberFormat="1" applyFont="1" applyFill="1" applyBorder="1" applyAlignment="1">
      <alignment horizontal="center"/>
    </xf>
    <xf numFmtId="169" fontId="6" fillId="9" borderId="25" xfId="0" applyNumberFormat="1" applyFont="1" applyFill="1" applyBorder="1" applyAlignment="1">
      <alignment horizontal="center"/>
    </xf>
    <xf numFmtId="169" fontId="6" fillId="9" borderId="0" xfId="0" applyNumberFormat="1" applyFont="1" applyFill="1" applyAlignment="1">
      <alignment horizontal="center"/>
    </xf>
    <xf numFmtId="166" fontId="28" fillId="9" borderId="0" xfId="0" applyNumberFormat="1" applyFont="1" applyFill="1" applyBorder="1" applyAlignment="1">
      <alignment horizontal="left" indent="1"/>
    </xf>
    <xf numFmtId="166" fontId="28" fillId="9" borderId="0" xfId="0" applyNumberFormat="1" applyFont="1" applyFill="1" applyBorder="1" applyAlignment="1">
      <alignment horizontal="left" indent="3"/>
    </xf>
    <xf numFmtId="166" fontId="5" fillId="9" borderId="7" xfId="1" applyNumberFormat="1" applyFont="1" applyFill="1" applyBorder="1"/>
    <xf numFmtId="166" fontId="2" fillId="9" borderId="19" xfId="7" applyNumberFormat="1" applyFont="1" applyFill="1" applyBorder="1" applyAlignment="1">
      <alignment horizontal="left" indent="1"/>
    </xf>
    <xf numFmtId="168" fontId="0" fillId="9" borderId="19" xfId="0" applyNumberFormat="1" applyFont="1" applyFill="1" applyBorder="1"/>
    <xf numFmtId="175" fontId="28" fillId="9" borderId="0" xfId="0" applyNumberFormat="1" applyFont="1" applyFill="1" applyBorder="1"/>
    <xf numFmtId="175" fontId="0" fillId="9" borderId="0" xfId="0" applyNumberFormat="1" applyFont="1" applyFill="1" applyBorder="1"/>
    <xf numFmtId="17" fontId="0" fillId="9" borderId="0" xfId="0" applyNumberFormat="1" applyFont="1" applyFill="1" applyBorder="1" applyAlignment="1">
      <alignment horizontal="center"/>
    </xf>
    <xf numFmtId="0" fontId="6" fillId="9" borderId="0" xfId="0" applyFont="1" applyFill="1" applyBorder="1" applyAlignment="1">
      <alignment horizontal="center"/>
    </xf>
    <xf numFmtId="191" fontId="30" fillId="9" borderId="0" xfId="0" applyNumberFormat="1" applyFont="1" applyFill="1" applyAlignment="1">
      <alignment horizontal="left" indent="1"/>
    </xf>
    <xf numFmtId="191" fontId="29" fillId="9" borderId="0" xfId="0" applyNumberFormat="1" applyFont="1" applyFill="1" applyAlignment="1">
      <alignment horizontal="left" indent="3"/>
    </xf>
    <xf numFmtId="191" fontId="29" fillId="6" borderId="0" xfId="0" applyNumberFormat="1" applyFont="1" applyFill="1" applyBorder="1"/>
    <xf numFmtId="191" fontId="29" fillId="9" borderId="0" xfId="0" applyNumberFormat="1" applyFont="1" applyFill="1" applyBorder="1"/>
    <xf numFmtId="191" fontId="21" fillId="9" borderId="0" xfId="0" applyNumberFormat="1" applyFont="1" applyFill="1" applyBorder="1"/>
    <xf numFmtId="191" fontId="21" fillId="6" borderId="0" xfId="0" applyNumberFormat="1" applyFont="1" applyFill="1" applyBorder="1"/>
    <xf numFmtId="191" fontId="21" fillId="9" borderId="25" xfId="0" applyNumberFormat="1" applyFont="1" applyFill="1" applyBorder="1"/>
    <xf numFmtId="191" fontId="32" fillId="9" borderId="0" xfId="0" applyNumberFormat="1" applyFont="1" applyFill="1"/>
    <xf numFmtId="191" fontId="21" fillId="6" borderId="0" xfId="0" applyNumberFormat="1" applyFont="1" applyFill="1"/>
    <xf numFmtId="191" fontId="32" fillId="6" borderId="0" xfId="0" applyNumberFormat="1" applyFont="1" applyFill="1"/>
    <xf numFmtId="191" fontId="21" fillId="9" borderId="0" xfId="0" applyNumberFormat="1" applyFont="1" applyFill="1"/>
    <xf numFmtId="191" fontId="21" fillId="0" borderId="0" xfId="0" applyNumberFormat="1" applyFont="1"/>
    <xf numFmtId="175" fontId="23" fillId="9" borderId="0" xfId="1" applyNumberFormat="1" applyFont="1" applyFill="1"/>
    <xf numFmtId="166" fontId="28" fillId="9" borderId="0" xfId="0" applyNumberFormat="1" applyFont="1" applyFill="1" applyAlignment="1">
      <alignment horizontal="left"/>
    </xf>
    <xf numFmtId="168" fontId="28" fillId="9" borderId="0" xfId="0" applyNumberFormat="1" applyFont="1" applyFill="1" applyAlignment="1">
      <alignment horizontal="left"/>
    </xf>
    <xf numFmtId="168" fontId="8" fillId="9" borderId="0" xfId="1" applyNumberFormat="1" applyFont="1" applyFill="1"/>
    <xf numFmtId="168" fontId="0" fillId="6" borderId="0" xfId="0" applyNumberFormat="1" applyFont="1" applyFill="1" applyBorder="1" applyAlignment="1">
      <alignment horizontal="right"/>
    </xf>
    <xf numFmtId="168" fontId="0" fillId="9" borderId="0" xfId="0" applyNumberFormat="1" applyFont="1" applyFill="1" applyBorder="1" applyAlignment="1">
      <alignment horizontal="right"/>
    </xf>
    <xf numFmtId="168" fontId="0" fillId="9" borderId="0" xfId="0" applyNumberFormat="1" applyFont="1" applyFill="1" applyAlignment="1">
      <alignment horizontal="right"/>
    </xf>
    <xf numFmtId="168" fontId="0" fillId="6" borderId="0" xfId="0" applyNumberFormat="1" applyFont="1" applyFill="1" applyAlignment="1">
      <alignment horizontal="right"/>
    </xf>
    <xf numFmtId="169" fontId="25" fillId="10" borderId="25" xfId="0" applyNumberFormat="1" applyFont="1" applyFill="1" applyBorder="1"/>
    <xf numFmtId="166" fontId="0" fillId="9" borderId="7" xfId="0" applyNumberFormat="1" applyFont="1" applyFill="1" applyBorder="1" applyAlignment="1">
      <alignment horizontal="left"/>
    </xf>
    <xf numFmtId="166" fontId="0" fillId="9" borderId="7" xfId="0" applyNumberFormat="1" applyFont="1" applyFill="1" applyBorder="1" applyAlignment="1">
      <alignment horizontal="left" indent="4"/>
    </xf>
    <xf numFmtId="166" fontId="0" fillId="9" borderId="2" xfId="0" applyNumberFormat="1" applyFont="1" applyFill="1" applyBorder="1" applyAlignment="1">
      <alignment horizontal="left" indent="4"/>
    </xf>
    <xf numFmtId="166" fontId="0" fillId="9" borderId="0" xfId="0" applyNumberFormat="1" applyFont="1" applyFill="1" applyBorder="1" applyAlignment="1">
      <alignment horizontal="left" indent="4"/>
    </xf>
    <xf numFmtId="169" fontId="0" fillId="9" borderId="0" xfId="0" applyNumberFormat="1" applyFont="1" applyFill="1" applyAlignment="1">
      <alignment horizontal="left" indent="4"/>
    </xf>
    <xf numFmtId="169" fontId="0" fillId="9" borderId="0" xfId="0" applyNumberFormat="1" applyFont="1" applyFill="1" applyBorder="1"/>
    <xf numFmtId="169" fontId="0" fillId="9" borderId="25" xfId="0" applyNumberFormat="1" applyFont="1" applyFill="1" applyBorder="1"/>
    <xf numFmtId="169" fontId="0" fillId="9" borderId="0" xfId="0" applyNumberFormat="1" applyFont="1" applyFill="1" applyBorder="1" applyAlignment="1">
      <alignment horizontal="left" indent="4"/>
    </xf>
    <xf numFmtId="169" fontId="6" fillId="9" borderId="0" xfId="0" applyNumberFormat="1" applyFont="1" applyFill="1" applyAlignment="1">
      <alignment horizontal="left" indent="4"/>
    </xf>
    <xf numFmtId="169" fontId="6" fillId="9" borderId="7" xfId="0" applyNumberFormat="1" applyFont="1" applyFill="1" applyBorder="1" applyAlignment="1">
      <alignment horizontal="left" indent="4"/>
    </xf>
    <xf numFmtId="169" fontId="6" fillId="6" borderId="7" xfId="0" applyNumberFormat="1" applyFont="1" applyFill="1" applyBorder="1"/>
    <xf numFmtId="169" fontId="6" fillId="9" borderId="7" xfId="0" applyNumberFormat="1" applyFont="1" applyFill="1" applyBorder="1"/>
    <xf numFmtId="169" fontId="6" fillId="9" borderId="32" xfId="0" applyNumberFormat="1" applyFont="1" applyFill="1" applyBorder="1"/>
    <xf numFmtId="169" fontId="0" fillId="9" borderId="2" xfId="0" applyNumberFormat="1" applyFont="1" applyFill="1" applyBorder="1" applyAlignment="1">
      <alignment horizontal="left" indent="4"/>
    </xf>
    <xf numFmtId="169" fontId="0" fillId="6" borderId="2" xfId="0" applyNumberFormat="1" applyFont="1" applyFill="1" applyBorder="1"/>
    <xf numFmtId="169" fontId="0" fillId="9" borderId="2" xfId="0" applyNumberFormat="1" applyFont="1" applyFill="1" applyBorder="1"/>
    <xf numFmtId="169" fontId="0" fillId="9" borderId="31" xfId="0" applyNumberFormat="1" applyFont="1" applyFill="1" applyBorder="1"/>
    <xf numFmtId="166" fontId="0" fillId="9" borderId="0" xfId="0" applyNumberFormat="1" applyFont="1" applyFill="1" applyBorder="1" applyAlignment="1">
      <alignment horizontal="left" indent="2"/>
    </xf>
    <xf numFmtId="166" fontId="6" fillId="9" borderId="7" xfId="0" applyNumberFormat="1" applyFont="1" applyFill="1" applyBorder="1" applyAlignment="1">
      <alignment horizontal="left" indent="1"/>
    </xf>
    <xf numFmtId="166" fontId="0" fillId="9" borderId="0" xfId="0" applyNumberFormat="1" applyFont="1" applyFill="1" applyBorder="1" applyAlignment="1">
      <alignment horizontal="left"/>
    </xf>
    <xf numFmtId="166" fontId="0" fillId="0" borderId="0" xfId="0" applyNumberFormat="1" applyFont="1" applyBorder="1"/>
    <xf numFmtId="171" fontId="6" fillId="9" borderId="0" xfId="0" applyNumberFormat="1" applyFont="1" applyFill="1" applyBorder="1"/>
    <xf numFmtId="171" fontId="26" fillId="9" borderId="0" xfId="0" applyNumberFormat="1" applyFont="1" applyFill="1" applyBorder="1"/>
    <xf numFmtId="171" fontId="6" fillId="6" borderId="0" xfId="0" applyNumberFormat="1" applyFont="1" applyFill="1" applyBorder="1"/>
    <xf numFmtId="171" fontId="26" fillId="6" borderId="0" xfId="0" applyNumberFormat="1" applyFont="1" applyFill="1" applyBorder="1"/>
    <xf numFmtId="169" fontId="0" fillId="9" borderId="0" xfId="0" applyNumberFormat="1" applyFont="1" applyFill="1" applyAlignment="1">
      <alignment horizontal="left" indent="1"/>
    </xf>
    <xf numFmtId="169" fontId="6" fillId="9" borderId="7" xfId="0" applyNumberFormat="1" applyFont="1" applyFill="1" applyBorder="1" applyAlignment="1">
      <alignment horizontal="left"/>
    </xf>
    <xf numFmtId="169" fontId="0" fillId="9" borderId="0" xfId="0" applyNumberFormat="1" applyFont="1" applyFill="1" applyBorder="1" applyAlignment="1">
      <alignment horizontal="left" indent="1"/>
    </xf>
    <xf numFmtId="169" fontId="0" fillId="9" borderId="2" xfId="0" applyNumberFormat="1" applyFont="1" applyFill="1" applyBorder="1" applyAlignment="1">
      <alignment horizontal="left" indent="1"/>
    </xf>
    <xf numFmtId="169" fontId="26" fillId="9" borderId="0" xfId="0" applyNumberFormat="1" applyFont="1" applyFill="1" applyBorder="1" applyAlignment="1">
      <alignment horizontal="left"/>
    </xf>
    <xf numFmtId="169" fontId="21" fillId="9" borderId="0" xfId="0" applyNumberFormat="1" applyFont="1" applyFill="1" applyAlignment="1">
      <alignment horizontal="left"/>
    </xf>
    <xf numFmtId="171" fontId="26" fillId="9" borderId="0" xfId="0" applyNumberFormat="1" applyFont="1" applyFill="1" applyAlignment="1">
      <alignment horizontal="left"/>
    </xf>
    <xf numFmtId="171" fontId="5" fillId="9" borderId="0" xfId="1" applyNumberFormat="1" applyFont="1" applyFill="1"/>
    <xf numFmtId="171" fontId="6" fillId="6" borderId="0" xfId="0" applyNumberFormat="1" applyFont="1" applyFill="1" applyBorder="1" applyAlignment="1">
      <alignment horizontal="right"/>
    </xf>
    <xf numFmtId="171" fontId="6" fillId="9" borderId="0" xfId="0" applyNumberFormat="1" applyFont="1" applyFill="1" applyBorder="1" applyAlignment="1">
      <alignment horizontal="right"/>
    </xf>
    <xf numFmtId="171" fontId="6" fillId="9" borderId="25" xfId="0" applyNumberFormat="1" applyFont="1" applyFill="1" applyBorder="1" applyAlignment="1">
      <alignment horizontal="right"/>
    </xf>
    <xf numFmtId="171" fontId="6" fillId="9" borderId="0" xfId="0" applyNumberFormat="1" applyFont="1" applyFill="1" applyAlignment="1">
      <alignment horizontal="right"/>
    </xf>
    <xf numFmtId="171" fontId="6" fillId="6" borderId="0" xfId="0" applyNumberFormat="1" applyFont="1" applyFill="1" applyAlignment="1">
      <alignment horizontal="right"/>
    </xf>
    <xf numFmtId="167" fontId="28" fillId="9" borderId="0" xfId="0" applyNumberFormat="1" applyFont="1" applyFill="1" applyAlignment="1">
      <alignment horizontal="left" indent="1"/>
    </xf>
    <xf numFmtId="167" fontId="8" fillId="9" borderId="0" xfId="1" applyNumberFormat="1" applyFont="1" applyFill="1"/>
    <xf numFmtId="167" fontId="0" fillId="6" borderId="0" xfId="0" applyNumberFormat="1" applyFont="1" applyFill="1" applyBorder="1" applyAlignment="1">
      <alignment horizontal="right"/>
    </xf>
    <xf numFmtId="167" fontId="0" fillId="9" borderId="0" xfId="0" applyNumberFormat="1" applyFont="1" applyFill="1" applyBorder="1" applyAlignment="1">
      <alignment horizontal="right"/>
    </xf>
    <xf numFmtId="167" fontId="0" fillId="9" borderId="25" xfId="0" applyNumberFormat="1" applyFont="1" applyFill="1" applyBorder="1" applyAlignment="1">
      <alignment horizontal="right"/>
    </xf>
    <xf numFmtId="167" fontId="0" fillId="9" borderId="0" xfId="0" applyNumberFormat="1" applyFont="1" applyFill="1" applyAlignment="1">
      <alignment horizontal="right"/>
    </xf>
    <xf numFmtId="167" fontId="0" fillId="6" borderId="0" xfId="0" applyNumberFormat="1" applyFont="1" applyFill="1" applyAlignment="1">
      <alignment horizontal="right"/>
    </xf>
    <xf numFmtId="167" fontId="0" fillId="9" borderId="0" xfId="0" applyNumberFormat="1" applyFont="1" applyFill="1"/>
    <xf numFmtId="167" fontId="0" fillId="0" borderId="0" xfId="0" applyNumberFormat="1" applyFont="1"/>
    <xf numFmtId="166" fontId="5" fillId="9" borderId="0" xfId="1" applyNumberFormat="1" applyFont="1" applyFill="1"/>
    <xf numFmtId="166" fontId="26" fillId="9" borderId="0" xfId="0" applyNumberFormat="1" applyFont="1" applyFill="1" applyBorder="1" applyAlignment="1">
      <alignment horizontal="left"/>
    </xf>
    <xf numFmtId="166" fontId="26" fillId="9" borderId="0" xfId="0" applyNumberFormat="1" applyFont="1" applyFill="1" applyBorder="1" applyAlignment="1">
      <alignment horizontal="left" indent="3"/>
    </xf>
    <xf numFmtId="169" fontId="32" fillId="9" borderId="0" xfId="0" applyNumberFormat="1" applyFont="1" applyFill="1" applyAlignment="1">
      <alignment horizontal="right"/>
    </xf>
    <xf numFmtId="169" fontId="32" fillId="6" borderId="0" xfId="0" applyNumberFormat="1" applyFont="1" applyFill="1" applyAlignment="1">
      <alignment horizontal="right"/>
    </xf>
    <xf numFmtId="166" fontId="5" fillId="9" borderId="0" xfId="0" applyNumberFormat="1" applyFont="1" applyFill="1"/>
    <xf numFmtId="166" fontId="49" fillId="9" borderId="0" xfId="0" applyNumberFormat="1" applyFont="1" applyFill="1"/>
    <xf numFmtId="166" fontId="49" fillId="0" borderId="0" xfId="0" applyNumberFormat="1" applyFont="1"/>
    <xf numFmtId="166" fontId="21" fillId="9" borderId="0" xfId="0" applyNumberFormat="1" applyFont="1" applyFill="1" applyAlignment="1">
      <alignment horizontal="left" indent="1"/>
    </xf>
    <xf numFmtId="166" fontId="21" fillId="9" borderId="0" xfId="0" applyNumberFormat="1" applyFont="1" applyFill="1" applyAlignment="1">
      <alignment horizontal="left" indent="3"/>
    </xf>
    <xf numFmtId="166" fontId="49" fillId="9" borderId="7" xfId="0" applyNumberFormat="1" applyFont="1" applyFill="1" applyBorder="1" applyAlignment="1">
      <alignment horizontal="left"/>
    </xf>
    <xf numFmtId="166" fontId="49" fillId="9" borderId="7" xfId="0" applyNumberFormat="1" applyFont="1" applyFill="1" applyBorder="1" applyAlignment="1">
      <alignment horizontal="left" indent="3"/>
    </xf>
    <xf numFmtId="169" fontId="21" fillId="9" borderId="0" xfId="0" applyNumberFormat="1" applyFont="1" applyFill="1" applyAlignment="1">
      <alignment horizontal="left" indent="3"/>
    </xf>
    <xf numFmtId="169" fontId="21" fillId="6" borderId="0" xfId="0" applyNumberFormat="1" applyFont="1" applyFill="1" applyBorder="1"/>
    <xf numFmtId="169" fontId="21" fillId="9" borderId="25" xfId="0" applyNumberFormat="1" applyFont="1" applyFill="1" applyBorder="1"/>
    <xf numFmtId="169" fontId="21" fillId="6" borderId="0" xfId="0" applyNumberFormat="1" applyFont="1" applyFill="1"/>
    <xf numFmtId="169" fontId="32" fillId="9" borderId="0" xfId="0" applyNumberFormat="1" applyFont="1" applyFill="1"/>
    <xf numFmtId="169" fontId="32" fillId="6" borderId="0" xfId="0" applyNumberFormat="1" applyFont="1" applyFill="1"/>
    <xf numFmtId="169" fontId="28" fillId="9" borderId="0" xfId="9" applyNumberFormat="1" applyFont="1" applyFill="1" applyAlignment="1">
      <alignment horizontal="left" indent="2"/>
    </xf>
    <xf numFmtId="169" fontId="28" fillId="9" borderId="7" xfId="9" applyNumberFormat="1" applyFont="1" applyFill="1" applyBorder="1" applyAlignment="1">
      <alignment horizontal="left" indent="1"/>
    </xf>
    <xf numFmtId="169" fontId="23" fillId="9" borderId="7" xfId="3" applyNumberFormat="1" applyFont="1" applyFill="1" applyBorder="1"/>
    <xf numFmtId="169" fontId="28" fillId="6" borderId="7" xfId="9" applyNumberFormat="1" applyFont="1" applyFill="1" applyBorder="1" applyAlignment="1">
      <alignment horizontal="right"/>
    </xf>
    <xf numFmtId="169" fontId="28" fillId="9" borderId="7" xfId="9" applyNumberFormat="1" applyFont="1" applyFill="1" applyBorder="1" applyAlignment="1">
      <alignment horizontal="right"/>
    </xf>
    <xf numFmtId="169" fontId="28" fillId="9" borderId="32" xfId="9" applyNumberFormat="1" applyFont="1" applyFill="1" applyBorder="1" applyAlignment="1">
      <alignment horizontal="right"/>
    </xf>
    <xf numFmtId="169" fontId="28" fillId="9" borderId="0" xfId="9" applyNumberFormat="1" applyFont="1" applyFill="1" applyBorder="1" applyAlignment="1">
      <alignment horizontal="left" indent="2"/>
    </xf>
    <xf numFmtId="169" fontId="23" fillId="9" borderId="0" xfId="3" applyNumberFormat="1" applyFont="1" applyFill="1" applyBorder="1"/>
    <xf numFmtId="169" fontId="28" fillId="9" borderId="2" xfId="9" applyNumberFormat="1" applyFont="1" applyFill="1" applyBorder="1" applyAlignment="1">
      <alignment horizontal="left" indent="2"/>
    </xf>
    <xf numFmtId="166" fontId="28" fillId="9" borderId="0" xfId="9" applyNumberFormat="1" applyFont="1" applyFill="1" applyAlignment="1">
      <alignment horizontal="left" indent="2"/>
    </xf>
    <xf numFmtId="166" fontId="23" fillId="9" borderId="0" xfId="3" applyNumberFormat="1" applyFont="1" applyFill="1"/>
    <xf numFmtId="166" fontId="27" fillId="9" borderId="0" xfId="3" applyNumberFormat="1" applyFont="1" applyFill="1"/>
    <xf numFmtId="166" fontId="28" fillId="9" borderId="7" xfId="9" applyNumberFormat="1" applyFont="1" applyFill="1" applyBorder="1" applyAlignment="1">
      <alignment horizontal="left" indent="1"/>
    </xf>
    <xf numFmtId="166" fontId="23" fillId="9" borderId="7" xfId="3" applyNumberFormat="1" applyFont="1" applyFill="1" applyBorder="1"/>
    <xf numFmtId="166" fontId="28" fillId="9" borderId="0" xfId="9" applyNumberFormat="1" applyFont="1" applyFill="1" applyBorder="1" applyAlignment="1">
      <alignment horizontal="left" indent="2"/>
    </xf>
    <xf numFmtId="166" fontId="23" fillId="9" borderId="0" xfId="3" applyNumberFormat="1" applyFont="1" applyFill="1" applyBorder="1"/>
    <xf numFmtId="166" fontId="28" fillId="9" borderId="2" xfId="9" applyNumberFormat="1" applyFont="1" applyFill="1" applyBorder="1" applyAlignment="1">
      <alignment horizontal="left" indent="2"/>
    </xf>
    <xf numFmtId="166" fontId="23" fillId="9" borderId="2" xfId="3" applyNumberFormat="1" applyFont="1" applyFill="1" applyBorder="1"/>
    <xf numFmtId="166" fontId="28" fillId="9" borderId="10" xfId="9" applyNumberFormat="1" applyFont="1" applyFill="1" applyBorder="1" applyAlignment="1">
      <alignment horizontal="left" indent="1"/>
    </xf>
    <xf numFmtId="166" fontId="23" fillId="9" borderId="10" xfId="3" applyNumberFormat="1" applyFont="1" applyFill="1" applyBorder="1"/>
    <xf numFmtId="169" fontId="21" fillId="9" borderId="0" xfId="0" applyNumberFormat="1" applyFont="1" applyFill="1" applyBorder="1" applyAlignment="1">
      <alignment horizontal="left"/>
    </xf>
    <xf numFmtId="169" fontId="21" fillId="9" borderId="0" xfId="0" applyNumberFormat="1" applyFont="1" applyFill="1" applyBorder="1" applyAlignment="1">
      <alignment horizontal="left" indent="3"/>
    </xf>
    <xf numFmtId="166" fontId="50" fillId="9" borderId="0" xfId="0" applyNumberFormat="1" applyFont="1" applyFill="1" applyAlignment="1">
      <alignment horizontal="left" indent="1"/>
    </xf>
    <xf numFmtId="166" fontId="50" fillId="9" borderId="0" xfId="0" applyNumberFormat="1" applyFont="1" applyFill="1" applyAlignment="1">
      <alignment horizontal="left" indent="3"/>
    </xf>
    <xf numFmtId="166" fontId="50" fillId="0" borderId="0" xfId="0" applyNumberFormat="1" applyFont="1"/>
    <xf numFmtId="169" fontId="32" fillId="9" borderId="0" xfId="0" applyNumberFormat="1" applyFont="1" applyFill="1" applyBorder="1"/>
    <xf numFmtId="169" fontId="32" fillId="6" borderId="0" xfId="0" applyNumberFormat="1" applyFont="1" applyFill="1" applyBorder="1"/>
    <xf numFmtId="168" fontId="0" fillId="9" borderId="25" xfId="0" applyNumberFormat="1" applyFont="1" applyFill="1" applyBorder="1" applyAlignment="1">
      <alignment horizontal="right"/>
    </xf>
    <xf numFmtId="171" fontId="6" fillId="9" borderId="25" xfId="0" applyNumberFormat="1" applyFont="1" applyFill="1" applyBorder="1"/>
    <xf numFmtId="175" fontId="0" fillId="9" borderId="25" xfId="0" applyNumberFormat="1" applyFont="1" applyFill="1" applyBorder="1"/>
    <xf numFmtId="166" fontId="0" fillId="9" borderId="11" xfId="0" applyNumberFormat="1" applyFont="1" applyFill="1" applyBorder="1" applyAlignment="1">
      <alignment horizontal="left" indent="1"/>
    </xf>
    <xf numFmtId="166" fontId="0" fillId="9" borderId="11" xfId="0" applyNumberFormat="1" applyFont="1" applyFill="1" applyBorder="1" applyAlignment="1">
      <alignment horizontal="left" indent="3"/>
    </xf>
    <xf numFmtId="175" fontId="27" fillId="9" borderId="0" xfId="1" applyNumberFormat="1" applyFont="1" applyFill="1"/>
    <xf numFmtId="175" fontId="26" fillId="9" borderId="0" xfId="0" applyNumberFormat="1" applyFont="1" applyFill="1" applyAlignment="1">
      <alignment horizontal="left" indent="3"/>
    </xf>
    <xf numFmtId="190" fontId="26" fillId="6" borderId="0" xfId="0" applyNumberFormat="1" applyFont="1" applyFill="1" applyBorder="1"/>
    <xf numFmtId="190" fontId="26" fillId="9" borderId="0" xfId="0" applyNumberFormat="1" applyFont="1" applyFill="1" applyBorder="1"/>
    <xf numFmtId="190" fontId="6" fillId="9" borderId="0" xfId="0" applyNumberFormat="1" applyFont="1" applyFill="1" applyBorder="1"/>
    <xf numFmtId="190" fontId="6" fillId="9" borderId="25" xfId="0" applyNumberFormat="1" applyFont="1" applyFill="1" applyBorder="1"/>
    <xf numFmtId="190" fontId="14" fillId="9" borderId="0" xfId="0" applyNumberFormat="1" applyFont="1" applyFill="1"/>
    <xf numFmtId="190" fontId="14" fillId="6" borderId="0" xfId="0" applyNumberFormat="1" applyFont="1" applyFill="1"/>
    <xf numFmtId="172" fontId="26" fillId="6" borderId="0" xfId="0" applyNumberFormat="1" applyFont="1" applyFill="1" applyBorder="1" applyAlignment="1">
      <alignment horizontal="right"/>
    </xf>
    <xf numFmtId="172" fontId="26" fillId="9" borderId="0" xfId="0" applyNumberFormat="1" applyFont="1" applyFill="1" applyBorder="1" applyAlignment="1">
      <alignment horizontal="right"/>
    </xf>
    <xf numFmtId="172" fontId="26" fillId="9" borderId="25" xfId="0" applyNumberFormat="1" applyFont="1" applyFill="1" applyBorder="1" applyAlignment="1">
      <alignment horizontal="right"/>
    </xf>
    <xf numFmtId="172" fontId="26" fillId="9" borderId="0" xfId="0" applyNumberFormat="1" applyFont="1" applyFill="1" applyAlignment="1">
      <alignment horizontal="right"/>
    </xf>
    <xf numFmtId="166" fontId="50" fillId="9" borderId="0" xfId="0" applyNumberFormat="1" applyFont="1" applyFill="1"/>
    <xf numFmtId="166" fontId="25" fillId="10" borderId="0" xfId="0" applyNumberFormat="1" applyFont="1" applyFill="1"/>
    <xf numFmtId="166" fontId="0" fillId="9" borderId="0" xfId="0" applyNumberFormat="1" applyFont="1" applyFill="1" applyAlignment="1">
      <alignment horizontal="right"/>
    </xf>
    <xf numFmtId="166" fontId="0" fillId="9" borderId="0" xfId="0" applyNumberFormat="1" applyFont="1" applyFill="1" applyBorder="1"/>
    <xf numFmtId="166" fontId="0" fillId="9" borderId="0" xfId="0" applyNumberFormat="1" applyFont="1" applyFill="1"/>
    <xf numFmtId="166" fontId="0" fillId="9" borderId="2" xfId="0" applyNumberFormat="1" applyFont="1" applyFill="1" applyBorder="1"/>
    <xf numFmtId="166" fontId="6" fillId="9" borderId="0" xfId="0" applyNumberFormat="1" applyFont="1" applyFill="1"/>
    <xf numFmtId="166" fontId="28" fillId="9" borderId="0" xfId="0" applyNumberFormat="1" applyFont="1" applyFill="1" applyBorder="1"/>
    <xf numFmtId="166" fontId="28" fillId="9" borderId="0" xfId="0" applyNumberFormat="1" applyFont="1" applyFill="1"/>
    <xf numFmtId="166" fontId="28" fillId="9" borderId="2" xfId="0" applyNumberFormat="1" applyFont="1" applyFill="1" applyBorder="1"/>
    <xf numFmtId="166" fontId="26" fillId="9" borderId="0" xfId="0" applyNumberFormat="1" applyFont="1" applyFill="1"/>
    <xf numFmtId="166" fontId="28" fillId="9" borderId="11" xfId="0" applyNumberFormat="1" applyFont="1" applyFill="1" applyBorder="1"/>
    <xf numFmtId="166" fontId="35" fillId="10" borderId="0" xfId="0" applyNumberFormat="1" applyFont="1" applyFill="1" applyBorder="1"/>
    <xf numFmtId="166" fontId="35" fillId="10" borderId="0" xfId="0" applyNumberFormat="1" applyFont="1" applyFill="1"/>
    <xf numFmtId="166" fontId="0" fillId="9" borderId="29" xfId="0" applyNumberFormat="1" applyFont="1" applyFill="1" applyBorder="1"/>
    <xf numFmtId="166" fontId="30" fillId="9" borderId="0" xfId="0" applyNumberFormat="1" applyFont="1" applyFill="1" applyAlignment="1">
      <alignment horizontal="left" indent="1"/>
    </xf>
    <xf numFmtId="166" fontId="29" fillId="9" borderId="0" xfId="0" applyNumberFormat="1" applyFont="1" applyFill="1" applyAlignment="1">
      <alignment horizontal="left" indent="3"/>
    </xf>
    <xf numFmtId="166" fontId="28" fillId="9" borderId="0" xfId="9" applyNumberFormat="1" applyFont="1" applyFill="1"/>
    <xf numFmtId="166" fontId="26" fillId="9" borderId="0" xfId="9" applyNumberFormat="1" applyFont="1" applyFill="1"/>
    <xf numFmtId="166" fontId="36" fillId="10" borderId="0" xfId="9" applyNumberFormat="1" applyFont="1" applyFill="1"/>
    <xf numFmtId="166" fontId="3" fillId="9" borderId="6" xfId="7" applyNumberFormat="1" applyFont="1" applyFill="1" applyBorder="1" applyAlignment="1">
      <alignment horizontal="left"/>
    </xf>
    <xf numFmtId="166" fontId="2" fillId="9" borderId="4" xfId="7" applyNumberFormat="1" applyFont="1" applyFill="1" applyBorder="1" applyAlignment="1">
      <alignment horizontal="left" indent="1"/>
    </xf>
    <xf numFmtId="166" fontId="2" fillId="9" borderId="1" xfId="7" applyNumberFormat="1" applyFont="1" applyFill="1" applyBorder="1" applyAlignment="1">
      <alignment horizontal="left" indent="1"/>
    </xf>
    <xf numFmtId="166" fontId="25" fillId="10" borderId="0" xfId="0" applyNumberFormat="1" applyFont="1" applyFill="1" applyBorder="1"/>
    <xf numFmtId="166" fontId="25" fillId="10" borderId="25" xfId="0" applyNumberFormat="1" applyFont="1" applyFill="1" applyBorder="1"/>
    <xf numFmtId="166" fontId="25" fillId="10" borderId="0" xfId="0" applyNumberFormat="1" applyFont="1" applyFill="1"/>
    <xf numFmtId="166" fontId="0" fillId="6" borderId="0" xfId="0" applyNumberFormat="1" applyFont="1" applyFill="1" applyBorder="1" applyAlignment="1">
      <alignment horizontal="right"/>
    </xf>
    <xf numFmtId="166" fontId="0" fillId="9" borderId="0" xfId="0" applyNumberFormat="1" applyFont="1" applyFill="1" applyBorder="1" applyAlignment="1">
      <alignment horizontal="right"/>
    </xf>
    <xf numFmtId="166" fontId="0" fillId="9" borderId="25" xfId="0" applyNumberFormat="1" applyFont="1" applyFill="1" applyBorder="1" applyAlignment="1">
      <alignment horizontal="right"/>
    </xf>
    <xf numFmtId="166" fontId="0" fillId="9" borderId="0" xfId="0" applyNumberFormat="1" applyFont="1" applyFill="1" applyAlignment="1">
      <alignment horizontal="right"/>
    </xf>
    <xf numFmtId="166" fontId="0" fillId="6" borderId="0" xfId="0" applyNumberFormat="1" applyFont="1" applyFill="1" applyAlignment="1">
      <alignment horizontal="right"/>
    </xf>
    <xf numFmtId="166" fontId="0" fillId="6" borderId="2" xfId="0" applyNumberFormat="1" applyFont="1" applyFill="1" applyBorder="1" applyAlignment="1">
      <alignment horizontal="right"/>
    </xf>
    <xf numFmtId="166" fontId="0" fillId="9" borderId="2" xfId="0" applyNumberFormat="1" applyFont="1" applyFill="1" applyBorder="1" applyAlignment="1">
      <alignment horizontal="right"/>
    </xf>
    <xf numFmtId="166" fontId="0" fillId="9" borderId="31" xfId="0" applyNumberFormat="1" applyFont="1" applyFill="1" applyBorder="1" applyAlignment="1">
      <alignment horizontal="right"/>
    </xf>
    <xf numFmtId="166" fontId="0" fillId="6" borderId="7" xfId="0" applyNumberFormat="1" applyFont="1" applyFill="1" applyBorder="1" applyAlignment="1">
      <alignment horizontal="right"/>
    </xf>
    <xf numFmtId="166" fontId="0" fillId="9" borderId="7" xfId="0" applyNumberFormat="1" applyFont="1" applyFill="1" applyBorder="1" applyAlignment="1">
      <alignment horizontal="right"/>
    </xf>
    <xf numFmtId="166" fontId="0" fillId="9" borderId="32" xfId="0" applyNumberFormat="1" applyFont="1" applyFill="1" applyBorder="1" applyAlignment="1">
      <alignment horizontal="right"/>
    </xf>
    <xf numFmtId="166" fontId="28" fillId="6" borderId="10" xfId="0" applyNumberFormat="1" applyFont="1" applyFill="1" applyBorder="1" applyAlignment="1">
      <alignment horizontal="right"/>
    </xf>
    <xf numFmtId="166" fontId="28" fillId="9" borderId="10" xfId="0" applyNumberFormat="1" applyFont="1" applyFill="1" applyBorder="1" applyAlignment="1">
      <alignment horizontal="right"/>
    </xf>
    <xf numFmtId="166" fontId="0" fillId="9" borderId="33" xfId="0" applyNumberFormat="1" applyFont="1" applyFill="1" applyBorder="1" applyAlignment="1">
      <alignment horizontal="right"/>
    </xf>
    <xf numFmtId="166" fontId="0" fillId="6" borderId="10" xfId="0" applyNumberFormat="1" applyFont="1" applyFill="1" applyBorder="1" applyAlignment="1">
      <alignment horizontal="right"/>
    </xf>
    <xf numFmtId="166" fontId="26" fillId="6" borderId="7" xfId="0" applyNumberFormat="1" applyFont="1" applyFill="1" applyBorder="1" applyAlignment="1">
      <alignment horizontal="right"/>
    </xf>
    <xf numFmtId="166" fontId="26" fillId="9" borderId="7" xfId="0" applyNumberFormat="1" applyFont="1" applyFill="1" applyBorder="1" applyAlignment="1">
      <alignment horizontal="right"/>
    </xf>
    <xf numFmtId="166" fontId="6" fillId="9" borderId="32" xfId="0" applyNumberFormat="1" applyFont="1" applyFill="1" applyBorder="1" applyAlignment="1">
      <alignment horizontal="right"/>
    </xf>
    <xf numFmtId="166" fontId="6" fillId="6" borderId="7" xfId="0" applyNumberFormat="1" applyFont="1" applyFill="1" applyBorder="1" applyAlignment="1">
      <alignment horizontal="right"/>
    </xf>
    <xf numFmtId="166" fontId="6" fillId="6" borderId="0" xfId="0" applyNumberFormat="1" applyFont="1" applyFill="1" applyBorder="1" applyAlignment="1">
      <alignment horizontal="right"/>
    </xf>
    <xf numFmtId="166" fontId="6" fillId="9" borderId="0" xfId="0" applyNumberFormat="1" applyFont="1" applyFill="1" applyBorder="1" applyAlignment="1">
      <alignment horizontal="right"/>
    </xf>
    <xf numFmtId="166" fontId="6" fillId="9" borderId="25" xfId="0" applyNumberFormat="1" applyFont="1" applyFill="1" applyBorder="1" applyAlignment="1">
      <alignment horizontal="right"/>
    </xf>
    <xf numFmtId="166" fontId="6" fillId="9" borderId="0" xfId="0" applyNumberFormat="1" applyFont="1" applyFill="1" applyAlignment="1">
      <alignment horizontal="right"/>
    </xf>
    <xf numFmtId="166" fontId="6" fillId="6" borderId="0" xfId="0" applyNumberFormat="1" applyFont="1" applyFill="1" applyAlignment="1">
      <alignment horizontal="right"/>
    </xf>
    <xf numFmtId="166" fontId="6" fillId="9" borderId="7" xfId="0" applyNumberFormat="1" applyFont="1" applyFill="1" applyBorder="1" applyAlignment="1">
      <alignment horizontal="right"/>
    </xf>
    <xf numFmtId="166" fontId="0" fillId="6" borderId="0" xfId="0" applyNumberFormat="1" applyFont="1" applyFill="1" applyBorder="1"/>
    <xf numFmtId="166" fontId="0" fillId="9" borderId="0" xfId="0" applyNumberFormat="1" applyFont="1" applyFill="1" applyBorder="1"/>
    <xf numFmtId="166" fontId="0" fillId="9" borderId="25" xfId="0" applyNumberFormat="1" applyFont="1" applyFill="1" applyBorder="1"/>
    <xf numFmtId="166" fontId="0" fillId="9" borderId="0" xfId="0" applyNumberFormat="1" applyFont="1" applyFill="1"/>
    <xf numFmtId="166" fontId="0" fillId="6" borderId="0" xfId="0" applyNumberFormat="1" applyFont="1" applyFill="1"/>
    <xf numFmtId="166" fontId="6" fillId="6" borderId="7" xfId="0" applyNumberFormat="1" applyFont="1" applyFill="1" applyBorder="1"/>
    <xf numFmtId="166" fontId="6" fillId="9" borderId="7" xfId="0" applyNumberFormat="1" applyFont="1" applyFill="1" applyBorder="1"/>
    <xf numFmtId="166" fontId="6" fillId="9" borderId="32" xfId="0" applyNumberFormat="1" applyFont="1" applyFill="1" applyBorder="1"/>
    <xf numFmtId="166" fontId="0" fillId="6" borderId="2" xfId="0" applyNumberFormat="1" applyFont="1" applyFill="1" applyBorder="1"/>
    <xf numFmtId="166" fontId="0" fillId="9" borderId="2" xfId="0" applyNumberFormat="1" applyFont="1" applyFill="1" applyBorder="1"/>
    <xf numFmtId="166" fontId="0" fillId="9" borderId="31" xfId="0" applyNumberFormat="1" applyFont="1" applyFill="1" applyBorder="1"/>
    <xf numFmtId="166" fontId="6" fillId="6" borderId="0" xfId="0" applyNumberFormat="1" applyFont="1" applyFill="1" applyBorder="1"/>
    <xf numFmtId="166" fontId="6" fillId="9" borderId="0" xfId="0" applyNumberFormat="1" applyFont="1" applyFill="1" applyBorder="1"/>
    <xf numFmtId="166" fontId="6" fillId="9" borderId="25" xfId="0" applyNumberFormat="1" applyFont="1" applyFill="1" applyBorder="1"/>
    <xf numFmtId="166" fontId="6" fillId="9" borderId="0" xfId="0" applyNumberFormat="1" applyFont="1" applyFill="1"/>
    <xf numFmtId="166" fontId="6" fillId="6" borderId="0" xfId="0" applyNumberFormat="1" applyFont="1" applyFill="1"/>
    <xf numFmtId="166" fontId="0" fillId="6" borderId="7" xfId="0" applyNumberFormat="1" applyFont="1" applyFill="1" applyBorder="1"/>
    <xf numFmtId="166" fontId="0" fillId="9" borderId="7" xfId="0" applyNumberFormat="1" applyFont="1" applyFill="1" applyBorder="1"/>
    <xf numFmtId="166" fontId="0" fillId="9" borderId="32" xfId="0" applyNumberFormat="1" applyFont="1" applyFill="1" applyBorder="1"/>
    <xf numFmtId="166" fontId="26" fillId="9" borderId="7" xfId="0" applyNumberFormat="1" applyFont="1" applyFill="1" applyBorder="1"/>
    <xf numFmtId="166" fontId="26" fillId="6" borderId="7" xfId="0" applyNumberFormat="1" applyFont="1" applyFill="1" applyBorder="1"/>
    <xf numFmtId="166" fontId="28" fillId="9" borderId="0" xfId="0" applyNumberFormat="1" applyFont="1" applyFill="1" applyBorder="1"/>
    <xf numFmtId="166" fontId="28" fillId="9" borderId="0" xfId="0" applyNumberFormat="1" applyFont="1" applyFill="1"/>
    <xf numFmtId="166" fontId="28" fillId="6" borderId="0" xfId="0" applyNumberFormat="1" applyFont="1" applyFill="1"/>
    <xf numFmtId="166" fontId="28" fillId="9" borderId="2" xfId="0" applyNumberFormat="1" applyFont="1" applyFill="1" applyBorder="1"/>
    <xf numFmtId="166" fontId="28" fillId="6" borderId="2" xfId="0" applyNumberFormat="1" applyFont="1" applyFill="1" applyBorder="1"/>
    <xf numFmtId="166" fontId="26" fillId="9" borderId="0" xfId="0" applyNumberFormat="1" applyFont="1" applyFill="1" applyBorder="1"/>
    <xf numFmtId="166" fontId="26" fillId="9" borderId="0" xfId="0" applyNumberFormat="1" applyFont="1" applyFill="1"/>
    <xf numFmtId="166" fontId="26" fillId="6" borderId="0" xfId="0" applyNumberFormat="1" applyFont="1" applyFill="1"/>
    <xf numFmtId="166" fontId="6" fillId="6" borderId="10" xfId="0" applyNumberFormat="1" applyFont="1" applyFill="1" applyBorder="1"/>
    <xf numFmtId="166" fontId="6" fillId="9" borderId="10" xfId="0" applyNumberFormat="1" applyFont="1" applyFill="1" applyBorder="1"/>
    <xf numFmtId="166" fontId="26" fillId="9" borderId="10" xfId="0" applyNumberFormat="1" applyFont="1" applyFill="1" applyBorder="1"/>
    <xf numFmtId="166" fontId="6" fillId="9" borderId="33" xfId="0" applyNumberFormat="1" applyFont="1" applyFill="1" applyBorder="1"/>
    <xf numFmtId="166" fontId="26" fillId="6" borderId="10" xfId="0" applyNumberFormat="1" applyFont="1" applyFill="1" applyBorder="1"/>
    <xf numFmtId="166" fontId="9" fillId="9" borderId="0" xfId="0" applyNumberFormat="1" applyFont="1" applyFill="1"/>
    <xf numFmtId="166" fontId="9" fillId="6" borderId="0" xfId="0" applyNumberFormat="1" applyFont="1" applyFill="1"/>
    <xf numFmtId="166" fontId="50" fillId="6" borderId="0" xfId="0" applyNumberFormat="1" applyFont="1" applyFill="1" applyBorder="1"/>
    <xf numFmtId="166" fontId="50" fillId="9" borderId="0" xfId="0" applyNumberFormat="1" applyFont="1" applyFill="1" applyBorder="1"/>
    <xf numFmtId="166" fontId="50" fillId="9" borderId="25" xfId="0" applyNumberFormat="1" applyFont="1" applyFill="1" applyBorder="1"/>
    <xf numFmtId="166" fontId="50" fillId="9" borderId="0" xfId="0" applyNumberFormat="1" applyFont="1" applyFill="1"/>
    <xf numFmtId="166" fontId="50" fillId="6" borderId="0" xfId="0" applyNumberFormat="1" applyFont="1" applyFill="1"/>
    <xf numFmtId="166" fontId="26" fillId="6" borderId="0" xfId="0" applyNumberFormat="1" applyFont="1" applyFill="1" applyBorder="1"/>
    <xf numFmtId="166" fontId="28" fillId="6" borderId="0" xfId="0" applyNumberFormat="1" applyFont="1" applyFill="1" applyBorder="1"/>
    <xf numFmtId="166" fontId="28" fillId="9" borderId="25" xfId="0" applyNumberFormat="1" applyFont="1" applyFill="1" applyBorder="1"/>
    <xf numFmtId="166" fontId="9" fillId="9" borderId="0" xfId="0" applyNumberFormat="1" applyFont="1" applyFill="1" applyBorder="1"/>
    <xf numFmtId="166" fontId="9" fillId="6" borderId="0" xfId="0" applyNumberFormat="1" applyFont="1" applyFill="1" applyBorder="1"/>
    <xf numFmtId="166" fontId="29" fillId="6" borderId="0" xfId="0" applyNumberFormat="1" applyFont="1" applyFill="1" applyBorder="1"/>
    <xf numFmtId="166" fontId="29" fillId="9" borderId="0" xfId="0" applyNumberFormat="1" applyFont="1" applyFill="1" applyBorder="1"/>
    <xf numFmtId="166" fontId="30" fillId="9" borderId="0" xfId="0" applyNumberFormat="1" applyFont="1" applyFill="1" applyBorder="1"/>
    <xf numFmtId="166" fontId="29" fillId="6" borderId="0" xfId="0" applyNumberFormat="1" applyFont="1" applyFill="1" applyBorder="1" applyAlignment="1">
      <alignment horizontal="right"/>
    </xf>
    <xf numFmtId="166" fontId="21" fillId="9" borderId="0" xfId="0" applyNumberFormat="1" applyFont="1" applyFill="1" applyBorder="1"/>
    <xf numFmtId="166" fontId="21" fillId="6" borderId="0" xfId="0" applyNumberFormat="1" applyFont="1" applyFill="1" applyBorder="1" applyAlignment="1">
      <alignment horizontal="center"/>
    </xf>
    <xf numFmtId="166" fontId="34" fillId="9" borderId="25" xfId="0" applyNumberFormat="1" applyFont="1" applyFill="1" applyBorder="1"/>
    <xf numFmtId="166" fontId="29" fillId="9" borderId="0" xfId="0" applyNumberFormat="1" applyFont="1" applyFill="1" applyAlignment="1">
      <alignment horizontal="left"/>
    </xf>
    <xf numFmtId="166" fontId="21" fillId="6" borderId="0" xfId="0" applyNumberFormat="1" applyFont="1" applyFill="1" applyAlignment="1">
      <alignment horizontal="left"/>
    </xf>
    <xf numFmtId="166" fontId="29" fillId="6" borderId="0" xfId="0" applyNumberFormat="1" applyFont="1" applyFill="1" applyAlignment="1">
      <alignment horizontal="left"/>
    </xf>
    <xf numFmtId="166" fontId="14" fillId="9" borderId="0" xfId="0" applyNumberFormat="1" applyFont="1" applyFill="1"/>
    <xf numFmtId="166" fontId="14" fillId="6" borderId="0" xfId="0" applyNumberFormat="1" applyFont="1" applyFill="1"/>
    <xf numFmtId="166" fontId="21" fillId="6" borderId="0" xfId="0" applyNumberFormat="1" applyFont="1" applyFill="1" applyBorder="1" applyAlignment="1">
      <alignment horizontal="right"/>
    </xf>
    <xf numFmtId="166" fontId="34" fillId="9" borderId="0" xfId="0" applyNumberFormat="1" applyFont="1" applyFill="1" applyBorder="1"/>
    <xf numFmtId="166" fontId="21" fillId="6" borderId="0" xfId="0" applyNumberFormat="1" applyFont="1" applyFill="1" applyBorder="1"/>
    <xf numFmtId="166" fontId="32" fillId="9" borderId="0" xfId="0" applyNumberFormat="1" applyFont="1" applyFill="1"/>
    <xf numFmtId="166" fontId="34" fillId="6" borderId="0" xfId="0" applyNumberFormat="1" applyFont="1" applyFill="1"/>
    <xf numFmtId="166" fontId="31" fillId="6" borderId="0" xfId="0" applyNumberFormat="1" applyFont="1" applyFill="1"/>
    <xf numFmtId="166" fontId="9" fillId="9" borderId="2" xfId="0" applyNumberFormat="1" applyFont="1" applyFill="1" applyBorder="1"/>
    <xf numFmtId="166" fontId="9" fillId="6" borderId="2" xfId="0" applyNumberFormat="1" applyFont="1" applyFill="1" applyBorder="1"/>
    <xf numFmtId="166" fontId="21" fillId="9" borderId="25" xfId="0" applyNumberFormat="1" applyFont="1" applyFill="1" applyBorder="1"/>
    <xf numFmtId="166" fontId="21" fillId="6" borderId="0" xfId="0" applyNumberFormat="1" applyFont="1" applyFill="1"/>
    <xf numFmtId="166" fontId="32" fillId="6" borderId="0" xfId="0" applyNumberFormat="1" applyFont="1" applyFill="1"/>
    <xf numFmtId="166" fontId="28" fillId="6" borderId="10" xfId="0" applyNumberFormat="1" applyFont="1" applyFill="1" applyBorder="1"/>
    <xf numFmtId="166" fontId="28" fillId="9" borderId="10" xfId="0" applyNumberFormat="1" applyFont="1" applyFill="1" applyBorder="1"/>
    <xf numFmtId="166" fontId="0" fillId="9" borderId="10" xfId="0" applyNumberFormat="1" applyFont="1" applyFill="1" applyBorder="1"/>
    <xf numFmtId="166" fontId="0" fillId="6" borderId="10" xfId="0" applyNumberFormat="1" applyFont="1" applyFill="1" applyBorder="1"/>
    <xf numFmtId="166" fontId="0" fillId="9" borderId="33" xfId="0" applyNumberFormat="1" applyFont="1" applyFill="1" applyBorder="1"/>
    <xf numFmtId="166" fontId="9" fillId="9" borderId="10" xfId="0" applyNumberFormat="1" applyFont="1" applyFill="1" applyBorder="1"/>
    <xf numFmtId="166" fontId="9" fillId="6" borderId="10" xfId="0" applyNumberFormat="1" applyFont="1" applyFill="1" applyBorder="1"/>
    <xf numFmtId="166" fontId="29" fillId="6" borderId="7" xfId="0" applyNumberFormat="1" applyFont="1" applyFill="1" applyBorder="1"/>
    <xf numFmtId="166" fontId="29" fillId="9" borderId="7" xfId="0" applyNumberFormat="1" applyFont="1" applyFill="1" applyBorder="1"/>
    <xf numFmtId="166" fontId="21" fillId="9" borderId="7" xfId="0" applyNumberFormat="1" applyFont="1" applyFill="1" applyBorder="1"/>
    <xf numFmtId="166" fontId="21" fillId="6" borderId="7" xfId="0" applyNumberFormat="1" applyFont="1" applyFill="1" applyBorder="1"/>
    <xf numFmtId="166" fontId="21" fillId="9" borderId="32" xfId="0" applyNumberFormat="1" applyFont="1" applyFill="1" applyBorder="1"/>
    <xf numFmtId="166" fontId="32" fillId="9" borderId="7" xfId="0" applyNumberFormat="1" applyFont="1" applyFill="1" applyBorder="1"/>
    <xf numFmtId="166" fontId="32" fillId="6" borderId="7" xfId="0" applyNumberFormat="1" applyFont="1" applyFill="1" applyBorder="1"/>
    <xf numFmtId="166" fontId="23" fillId="9" borderId="0" xfId="0" applyNumberFormat="1" applyFont="1" applyFill="1" applyBorder="1"/>
    <xf numFmtId="166" fontId="28" fillId="6" borderId="0" xfId="0" applyNumberFormat="1" applyFont="1" applyFill="1" applyBorder="1" applyAlignment="1">
      <alignment horizontal="right"/>
    </xf>
    <xf numFmtId="166" fontId="0" fillId="6" borderId="11" xfId="0" applyNumberFormat="1" applyFont="1" applyFill="1" applyBorder="1"/>
    <xf numFmtId="166" fontId="0" fillId="9" borderId="11" xfId="0" applyNumberFormat="1" applyFont="1" applyFill="1" applyBorder="1"/>
    <xf numFmtId="166" fontId="28" fillId="9" borderId="11" xfId="0" applyNumberFormat="1" applyFont="1" applyFill="1" applyBorder="1"/>
    <xf numFmtId="166" fontId="0" fillId="9" borderId="37" xfId="0" applyNumberFormat="1" applyFont="1" applyFill="1" applyBorder="1"/>
    <xf numFmtId="166" fontId="28" fillId="6" borderId="11" xfId="0" applyNumberFormat="1" applyFont="1" applyFill="1" applyBorder="1"/>
    <xf numFmtId="166" fontId="28" fillId="9" borderId="0" xfId="0" applyNumberFormat="1" applyFont="1" applyFill="1" applyBorder="1" applyAlignment="1">
      <alignment horizontal="right"/>
    </xf>
    <xf numFmtId="166" fontId="28" fillId="9" borderId="0" xfId="0" applyNumberFormat="1" applyFont="1" applyFill="1" applyAlignment="1">
      <alignment horizontal="right"/>
    </xf>
    <xf numFmtId="166" fontId="28" fillId="6" borderId="0" xfId="0" applyNumberFormat="1" applyFont="1" applyFill="1" applyAlignment="1">
      <alignment horizontal="right"/>
    </xf>
    <xf numFmtId="166" fontId="28" fillId="9" borderId="25" xfId="0" applyNumberFormat="1" applyFont="1" applyFill="1" applyBorder="1" applyAlignment="1">
      <alignment horizontal="right"/>
    </xf>
    <xf numFmtId="166" fontId="14" fillId="9" borderId="0" xfId="0" applyNumberFormat="1" applyFont="1" applyFill="1" applyBorder="1"/>
    <xf numFmtId="166" fontId="49" fillId="6" borderId="7" xfId="0" applyNumberFormat="1" applyFont="1" applyFill="1" applyBorder="1"/>
    <xf numFmtId="166" fontId="49" fillId="9" borderId="7" xfId="0" applyNumberFormat="1" applyFont="1" applyFill="1" applyBorder="1"/>
    <xf numFmtId="166" fontId="49" fillId="9" borderId="32" xfId="0" applyNumberFormat="1" applyFont="1" applyFill="1" applyBorder="1"/>
    <xf numFmtId="166" fontId="35" fillId="10" borderId="0" xfId="0" applyNumberFormat="1" applyFont="1" applyFill="1" applyBorder="1"/>
    <xf numFmtId="166" fontId="35" fillId="10" borderId="25" xfId="0" applyNumberFormat="1" applyFont="1" applyFill="1" applyBorder="1"/>
    <xf numFmtId="166" fontId="35" fillId="10" borderId="0" xfId="0" applyNumberFormat="1" applyFont="1" applyFill="1"/>
    <xf numFmtId="166" fontId="0" fillId="9" borderId="29" xfId="0" applyNumberFormat="1" applyFont="1" applyFill="1" applyBorder="1"/>
    <xf numFmtId="166" fontId="23" fillId="2" borderId="0" xfId="4" applyNumberFormat="1" applyFont="1" applyFill="1" applyBorder="1" applyAlignment="1">
      <alignment horizontal="right"/>
    </xf>
    <xf numFmtId="166" fontId="23" fillId="2" borderId="25" xfId="4" applyNumberFormat="1" applyFont="1" applyFill="1" applyBorder="1" applyAlignment="1">
      <alignment horizontal="right"/>
    </xf>
    <xf numFmtId="166" fontId="23" fillId="2" borderId="0" xfId="4" applyNumberFormat="1" applyFont="1" applyFill="1" applyAlignment="1">
      <alignment horizontal="right"/>
    </xf>
    <xf numFmtId="166" fontId="26" fillId="9" borderId="8" xfId="0" applyNumberFormat="1" applyFont="1" applyFill="1" applyBorder="1"/>
    <xf numFmtId="166" fontId="26" fillId="9" borderId="38" xfId="0" applyNumberFormat="1" applyFont="1" applyFill="1" applyBorder="1"/>
    <xf numFmtId="166" fontId="26" fillId="9" borderId="6" xfId="0" applyNumberFormat="1" applyFont="1" applyFill="1" applyBorder="1"/>
    <xf numFmtId="166" fontId="26" fillId="9" borderId="5" xfId="0" applyNumberFormat="1" applyFont="1" applyFill="1" applyBorder="1"/>
    <xf numFmtId="166" fontId="26" fillId="9" borderId="29" xfId="0" applyNumberFormat="1" applyFont="1" applyFill="1" applyBorder="1"/>
    <xf numFmtId="166" fontId="26" fillId="9" borderId="4" xfId="0" applyNumberFormat="1" applyFont="1" applyFill="1" applyBorder="1"/>
    <xf numFmtId="166" fontId="30" fillId="9" borderId="0" xfId="0" applyNumberFormat="1" applyFont="1" applyFill="1" applyAlignment="1">
      <alignment horizontal="left" indent="1"/>
    </xf>
    <xf numFmtId="166" fontId="29" fillId="9" borderId="0" xfId="0" applyNumberFormat="1" applyFont="1" applyFill="1" applyAlignment="1">
      <alignment horizontal="left" indent="3"/>
    </xf>
    <xf numFmtId="166" fontId="28" fillId="6" borderId="2" xfId="9" applyNumberFormat="1" applyFont="1" applyFill="1" applyBorder="1"/>
    <xf numFmtId="166" fontId="28" fillId="9" borderId="2" xfId="9" applyNumberFormat="1" applyFont="1" applyFill="1" applyBorder="1"/>
    <xf numFmtId="166" fontId="28" fillId="9" borderId="31" xfId="9" applyNumberFormat="1" applyFont="1" applyFill="1" applyBorder="1"/>
    <xf numFmtId="166" fontId="26" fillId="6" borderId="7" xfId="9" applyNumberFormat="1" applyFont="1" applyFill="1" applyBorder="1"/>
    <xf numFmtId="166" fontId="26" fillId="9" borderId="7" xfId="9" applyNumberFormat="1" applyFont="1" applyFill="1" applyBorder="1"/>
    <xf numFmtId="166" fontId="26" fillId="9" borderId="32" xfId="9" applyNumberFormat="1" applyFont="1" applyFill="1" applyBorder="1"/>
    <xf numFmtId="166" fontId="28" fillId="6" borderId="0" xfId="9" applyNumberFormat="1" applyFont="1" applyFill="1" applyBorder="1"/>
    <xf numFmtId="166" fontId="28" fillId="9" borderId="0" xfId="9" applyNumberFormat="1" applyFont="1" applyFill="1" applyBorder="1"/>
    <xf numFmtId="166" fontId="28" fillId="9" borderId="25" xfId="9" applyNumberFormat="1" applyFont="1" applyFill="1" applyBorder="1"/>
    <xf numFmtId="166" fontId="28" fillId="9" borderId="0" xfId="9" applyNumberFormat="1" applyFont="1" applyFill="1"/>
    <xf numFmtId="166" fontId="28" fillId="6" borderId="0" xfId="9" applyNumberFormat="1" applyFont="1" applyFill="1"/>
    <xf numFmtId="166" fontId="26" fillId="6" borderId="0" xfId="9" applyNumberFormat="1" applyFont="1" applyFill="1" applyBorder="1"/>
    <xf numFmtId="166" fontId="26" fillId="9" borderId="0" xfId="9" applyNumberFormat="1" applyFont="1" applyFill="1" applyBorder="1"/>
    <xf numFmtId="166" fontId="26" fillId="9" borderId="25" xfId="9" applyNumberFormat="1" applyFont="1" applyFill="1" applyBorder="1"/>
    <xf numFmtId="166" fontId="26" fillId="9" borderId="0" xfId="9" applyNumberFormat="1" applyFont="1" applyFill="1"/>
    <xf numFmtId="166" fontId="26" fillId="6" borderId="0" xfId="9" applyNumberFormat="1" applyFont="1" applyFill="1"/>
    <xf numFmtId="166" fontId="36" fillId="10" borderId="0" xfId="9" applyNumberFormat="1" applyFont="1" applyFill="1" applyBorder="1"/>
    <xf numFmtId="166" fontId="36" fillId="10" borderId="25" xfId="9" applyNumberFormat="1" applyFont="1" applyFill="1" applyBorder="1"/>
    <xf numFmtId="166" fontId="36" fillId="10" borderId="0" xfId="9" applyNumberFormat="1" applyFont="1" applyFill="1"/>
    <xf numFmtId="166" fontId="28" fillId="6" borderId="0" xfId="9" applyNumberFormat="1" applyFont="1" applyFill="1" applyBorder="1" applyAlignment="1">
      <alignment horizontal="right"/>
    </xf>
    <xf numFmtId="166" fontId="28" fillId="9" borderId="0" xfId="9" applyNumberFormat="1" applyFont="1" applyFill="1" applyBorder="1" applyAlignment="1">
      <alignment horizontal="right"/>
    </xf>
    <xf numFmtId="166" fontId="28" fillId="9" borderId="25" xfId="9" applyNumberFormat="1" applyFont="1" applyFill="1" applyBorder="1" applyAlignment="1">
      <alignment horizontal="right"/>
    </xf>
    <xf numFmtId="166" fontId="28" fillId="9" borderId="0" xfId="9" applyNumberFormat="1" applyFont="1" applyFill="1" applyAlignment="1">
      <alignment horizontal="right"/>
    </xf>
    <xf numFmtId="166" fontId="28" fillId="6" borderId="0" xfId="9" applyNumberFormat="1" applyFont="1" applyFill="1" applyAlignment="1">
      <alignment horizontal="right"/>
    </xf>
    <xf numFmtId="166" fontId="28" fillId="6" borderId="7" xfId="9" applyNumberFormat="1" applyFont="1" applyFill="1" applyBorder="1" applyAlignment="1">
      <alignment horizontal="right"/>
    </xf>
    <xf numFmtId="166" fontId="28" fillId="9" borderId="7" xfId="9" applyNumberFormat="1" applyFont="1" applyFill="1" applyBorder="1" applyAlignment="1">
      <alignment horizontal="right"/>
    </xf>
    <xf numFmtId="166" fontId="28" fillId="9" borderId="32" xfId="9" applyNumberFormat="1" applyFont="1" applyFill="1" applyBorder="1" applyAlignment="1">
      <alignment horizontal="right"/>
    </xf>
    <xf numFmtId="166" fontId="28" fillId="6" borderId="2" xfId="9" applyNumberFormat="1" applyFont="1" applyFill="1" applyBorder="1" applyAlignment="1">
      <alignment horizontal="right"/>
    </xf>
    <xf numFmtId="166" fontId="28" fillId="9" borderId="2" xfId="9" applyNumberFormat="1" applyFont="1" applyFill="1" applyBorder="1" applyAlignment="1">
      <alignment horizontal="right"/>
    </xf>
    <xf numFmtId="166" fontId="28" fillId="9" borderId="31" xfId="9" applyNumberFormat="1" applyFont="1" applyFill="1" applyBorder="1" applyAlignment="1">
      <alignment horizontal="right"/>
    </xf>
    <xf numFmtId="166" fontId="28" fillId="6" borderId="10" xfId="9" applyNumberFormat="1" applyFont="1" applyFill="1" applyBorder="1" applyAlignment="1">
      <alignment horizontal="right"/>
    </xf>
    <xf numFmtId="166" fontId="28" fillId="9" borderId="10" xfId="9" applyNumberFormat="1" applyFont="1" applyFill="1" applyBorder="1" applyAlignment="1">
      <alignment horizontal="right"/>
    </xf>
    <xf numFmtId="166" fontId="28" fillId="9" borderId="33" xfId="9" applyNumberFormat="1" applyFont="1" applyFill="1" applyBorder="1" applyAlignment="1">
      <alignment horizontal="right"/>
    </xf>
    <xf numFmtId="166" fontId="26" fillId="6" borderId="0" xfId="9" applyNumberFormat="1" applyFont="1" applyFill="1" applyBorder="1" applyAlignment="1">
      <alignment horizontal="right"/>
    </xf>
    <xf numFmtId="166" fontId="26" fillId="9" borderId="0" xfId="9" applyNumberFormat="1" applyFont="1" applyFill="1" applyBorder="1" applyAlignment="1">
      <alignment horizontal="right"/>
    </xf>
    <xf numFmtId="166" fontId="26" fillId="9" borderId="25" xfId="9" applyNumberFormat="1" applyFont="1" applyFill="1" applyBorder="1" applyAlignment="1">
      <alignment horizontal="right"/>
    </xf>
    <xf numFmtId="166" fontId="26" fillId="9" borderId="0" xfId="9" applyNumberFormat="1" applyFont="1" applyFill="1" applyAlignment="1">
      <alignment horizontal="right"/>
    </xf>
    <xf numFmtId="166" fontId="26" fillId="6" borderId="0" xfId="9" applyNumberFormat="1" applyFont="1" applyFill="1" applyAlignment="1">
      <alignment horizontal="right"/>
    </xf>
    <xf numFmtId="0" fontId="54" fillId="0" borderId="0" xfId="13" applyFont="1"/>
    <xf numFmtId="0" fontId="55" fillId="0" borderId="0" xfId="14" applyFont="1"/>
    <xf numFmtId="22" fontId="54" fillId="0" borderId="0" xfId="13" applyNumberFormat="1" applyFont="1"/>
    <xf numFmtId="194" fontId="54" fillId="0" borderId="0" xfId="13" applyNumberFormat="1" applyFont="1"/>
    <xf numFmtId="0" fontId="56" fillId="13" borderId="0" xfId="13" applyFont="1" applyFill="1" applyAlignment="1">
      <alignment horizontal="center"/>
    </xf>
    <xf numFmtId="0" fontId="57" fillId="0" borderId="0" xfId="13" applyFont="1"/>
    <xf numFmtId="0" fontId="54" fillId="0" borderId="2" xfId="13" applyFont="1" applyBorder="1"/>
    <xf numFmtId="0" fontId="59" fillId="0" borderId="0" xfId="15" applyFont="1"/>
    <xf numFmtId="195" fontId="60" fillId="0" borderId="0" xfId="16" applyNumberFormat="1" applyFont="1" applyBorder="1" applyAlignment="1">
      <alignment horizontal="right"/>
    </xf>
    <xf numFmtId="14" fontId="59" fillId="0" borderId="0" xfId="15" applyNumberFormat="1" applyFont="1" applyAlignment="1">
      <alignment horizontal="right"/>
    </xf>
    <xf numFmtId="168" fontId="60" fillId="0" borderId="0" xfId="11" applyNumberFormat="1" applyFont="1" applyFill="1" applyBorder="1" applyAlignment="1">
      <alignment horizontal="right"/>
    </xf>
    <xf numFmtId="0" fontId="59" fillId="0" borderId="0" xfId="15" applyFont="1" applyAlignment="1">
      <alignment horizontal="right"/>
    </xf>
    <xf numFmtId="166" fontId="60" fillId="0" borderId="0" xfId="11" applyNumberFormat="1" applyFont="1" applyBorder="1" applyAlignment="1">
      <alignment horizontal="right"/>
    </xf>
    <xf numFmtId="9" fontId="59" fillId="0" borderId="0" xfId="15" applyNumberFormat="1" applyFont="1" applyAlignment="1">
      <alignment horizontal="right"/>
    </xf>
    <xf numFmtId="168" fontId="60" fillId="0" borderId="0" xfId="11" applyNumberFormat="1" applyFont="1" applyBorder="1" applyAlignment="1">
      <alignment horizontal="right"/>
    </xf>
    <xf numFmtId="196" fontId="59" fillId="0" borderId="0" xfId="16" applyNumberFormat="1" applyFont="1" applyFill="1" applyBorder="1" applyAlignment="1">
      <alignment horizontal="right"/>
    </xf>
    <xf numFmtId="43" fontId="60" fillId="13" borderId="0" xfId="17" applyFont="1" applyFill="1" applyBorder="1" applyAlignment="1">
      <alignment horizontal="right"/>
    </xf>
    <xf numFmtId="0" fontId="61" fillId="0" borderId="0" xfId="15" applyFont="1" applyAlignment="1">
      <alignment horizontal="right"/>
    </xf>
    <xf numFmtId="197" fontId="60" fillId="13" borderId="0" xfId="18" applyNumberFormat="1" applyFont="1" applyFill="1" applyBorder="1" applyAlignment="1">
      <alignment horizontal="right"/>
    </xf>
    <xf numFmtId="0" fontId="59" fillId="0" borderId="2" xfId="15" applyFont="1" applyBorder="1"/>
    <xf numFmtId="196" fontId="62" fillId="0" borderId="0" xfId="16" applyNumberFormat="1" applyFont="1" applyFill="1" applyBorder="1" applyAlignment="1">
      <alignment horizontal="right"/>
    </xf>
    <xf numFmtId="198" fontId="60" fillId="0" borderId="0" xfId="15" applyNumberFormat="1" applyFont="1" applyAlignment="1">
      <alignment horizontal="right"/>
    </xf>
    <xf numFmtId="43" fontId="63" fillId="13" borderId="0" xfId="17" applyFont="1" applyFill="1"/>
    <xf numFmtId="196" fontId="60" fillId="0" borderId="0" xfId="16" applyNumberFormat="1" applyFont="1" applyFill="1" applyBorder="1" applyAlignment="1">
      <alignment horizontal="right"/>
    </xf>
    <xf numFmtId="197" fontId="63" fillId="13" borderId="0" xfId="12" applyNumberFormat="1" applyFont="1" applyFill="1"/>
    <xf numFmtId="0" fontId="63" fillId="13" borderId="0" xfId="13" applyFont="1" applyFill="1"/>
    <xf numFmtId="166" fontId="63" fillId="13" borderId="0" xfId="11" applyNumberFormat="1" applyFont="1" applyFill="1"/>
    <xf numFmtId="0" fontId="59" fillId="0" borderId="0" xfId="15" applyFont="1" applyAlignment="1">
      <alignment horizontal="left"/>
    </xf>
    <xf numFmtId="199" fontId="59" fillId="0" borderId="0" xfId="16" applyNumberFormat="1" applyFont="1" applyBorder="1" applyAlignment="1">
      <alignment horizontal="right"/>
    </xf>
    <xf numFmtId="43" fontId="63" fillId="0" borderId="0" xfId="17" applyFont="1"/>
    <xf numFmtId="0" fontId="63" fillId="0" borderId="2" xfId="13" quotePrefix="1" applyFont="1" applyBorder="1"/>
    <xf numFmtId="0" fontId="63" fillId="0" borderId="2" xfId="13" applyFont="1" applyBorder="1" applyAlignment="1">
      <alignment horizontal="right"/>
    </xf>
    <xf numFmtId="197" fontId="63" fillId="0" borderId="0" xfId="18" applyNumberFormat="1" applyFont="1"/>
    <xf numFmtId="197" fontId="63" fillId="0" borderId="0" xfId="18" applyNumberFormat="1" applyFont="1" applyBorder="1"/>
    <xf numFmtId="43" fontId="63" fillId="0" borderId="0" xfId="17" applyFont="1" applyBorder="1"/>
    <xf numFmtId="166" fontId="54" fillId="0" borderId="0" xfId="11" applyNumberFormat="1" applyFont="1"/>
    <xf numFmtId="166" fontId="54" fillId="0" borderId="0" xfId="11" applyNumberFormat="1" applyFont="1" applyBorder="1"/>
    <xf numFmtId="0" fontId="54" fillId="0" borderId="2" xfId="13" quotePrefix="1" applyFont="1" applyBorder="1"/>
    <xf numFmtId="166" fontId="54" fillId="0" borderId="0" xfId="13" applyNumberFormat="1" applyFont="1"/>
    <xf numFmtId="0" fontId="59" fillId="0" borderId="0" xfId="0" applyFont="1"/>
    <xf numFmtId="197" fontId="54" fillId="0" borderId="0" xfId="18" applyNumberFormat="1" applyFont="1"/>
    <xf numFmtId="43" fontId="54" fillId="0" borderId="0" xfId="17" applyFont="1"/>
    <xf numFmtId="0" fontId="0" fillId="13" borderId="0" xfId="0" applyFill="1"/>
    <xf numFmtId="0" fontId="54" fillId="13" borderId="0" xfId="13" applyFont="1" applyFill="1"/>
    <xf numFmtId="43" fontId="54" fillId="0" borderId="2" xfId="17" applyFont="1" applyBorder="1"/>
    <xf numFmtId="197" fontId="54" fillId="0" borderId="2" xfId="18" applyNumberFormat="1" applyFont="1" applyBorder="1"/>
    <xf numFmtId="0" fontId="64" fillId="0" borderId="0" xfId="13" applyFont="1"/>
    <xf numFmtId="197" fontId="54" fillId="0" borderId="0" xfId="13" applyNumberFormat="1" applyFont="1"/>
    <xf numFmtId="43" fontId="54" fillId="0" borderId="0" xfId="13" applyNumberFormat="1" applyFont="1"/>
    <xf numFmtId="166" fontId="54" fillId="0" borderId="0" xfId="17" applyNumberFormat="1" applyFont="1"/>
    <xf numFmtId="0" fontId="63" fillId="0" borderId="0" xfId="13" applyFont="1"/>
    <xf numFmtId="0" fontId="54" fillId="0" borderId="5" xfId="13" applyFont="1" applyBorder="1"/>
    <xf numFmtId="0" fontId="54" fillId="0" borderId="40" xfId="13" applyFont="1" applyBorder="1"/>
    <xf numFmtId="11" fontId="54" fillId="0" borderId="0" xfId="13" applyNumberFormat="1" applyFont="1"/>
    <xf numFmtId="197" fontId="54" fillId="0" borderId="0" xfId="12" applyNumberFormat="1" applyFont="1"/>
    <xf numFmtId="43" fontId="54" fillId="0" borderId="0" xfId="11" applyFont="1"/>
    <xf numFmtId="0" fontId="59" fillId="0" borderId="0" xfId="19" applyFont="1"/>
    <xf numFmtId="0" fontId="65" fillId="0" borderId="0" xfId="19" applyFont="1"/>
    <xf numFmtId="197" fontId="59" fillId="0" borderId="0" xfId="12" applyNumberFormat="1" applyFont="1"/>
    <xf numFmtId="43" fontId="66" fillId="0" borderId="0" xfId="20" applyFont="1"/>
    <xf numFmtId="0" fontId="67" fillId="0" borderId="0" xfId="19" applyFont="1"/>
    <xf numFmtId="197" fontId="67" fillId="0" borderId="0" xfId="12" applyNumberFormat="1" applyFont="1"/>
    <xf numFmtId="43" fontId="54" fillId="0" borderId="7" xfId="13" applyNumberFormat="1" applyFont="1" applyBorder="1"/>
    <xf numFmtId="197" fontId="54" fillId="0" borderId="7" xfId="12" applyNumberFormat="1" applyFont="1" applyBorder="1"/>
    <xf numFmtId="9" fontId="67" fillId="0" borderId="0" xfId="12" applyFont="1"/>
    <xf numFmtId="9" fontId="67" fillId="0" borderId="0" xfId="19" applyNumberFormat="1" applyFont="1"/>
    <xf numFmtId="9" fontId="59" fillId="0" borderId="0" xfId="12" applyFont="1"/>
    <xf numFmtId="43" fontId="59" fillId="0" borderId="0" xfId="20" applyFont="1"/>
    <xf numFmtId="43" fontId="59" fillId="0" borderId="0" xfId="19" applyNumberFormat="1" applyFont="1"/>
    <xf numFmtId="0" fontId="68" fillId="0" borderId="0" xfId="19" applyFont="1"/>
    <xf numFmtId="0" fontId="69" fillId="13" borderId="0" xfId="19" applyFont="1" applyFill="1" applyAlignment="1">
      <alignment horizontal="center"/>
    </xf>
    <xf numFmtId="0" fontId="70" fillId="13" borderId="0" xfId="19" applyFont="1" applyFill="1" applyAlignment="1">
      <alignment horizontal="center"/>
    </xf>
    <xf numFmtId="0" fontId="68" fillId="14" borderId="0" xfId="19" applyFont="1" applyFill="1"/>
    <xf numFmtId="43" fontId="70" fillId="14" borderId="0" xfId="17" applyFont="1" applyFill="1" applyBorder="1"/>
    <xf numFmtId="200" fontId="70" fillId="0" borderId="0" xfId="19" applyNumberFormat="1" applyFont="1" applyAlignment="1">
      <alignment horizontal="center"/>
    </xf>
    <xf numFmtId="201" fontId="68" fillId="14" borderId="0" xfId="19" applyNumberFormat="1" applyFont="1" applyFill="1"/>
    <xf numFmtId="0" fontId="68" fillId="0" borderId="0" xfId="19" quotePrefix="1" applyFont="1"/>
    <xf numFmtId="200" fontId="71" fillId="0" borderId="0" xfId="19" applyNumberFormat="1" applyFont="1" applyAlignment="1">
      <alignment horizontal="center"/>
    </xf>
    <xf numFmtId="0" fontId="72" fillId="14" borderId="0" xfId="19" applyFont="1" applyFill="1"/>
    <xf numFmtId="197" fontId="72" fillId="14" borderId="0" xfId="19" applyNumberFormat="1" applyFont="1" applyFill="1"/>
    <xf numFmtId="0" fontId="70" fillId="13" borderId="0" xfId="19" quotePrefix="1" applyFont="1" applyFill="1" applyAlignment="1">
      <alignment horizontal="center"/>
    </xf>
    <xf numFmtId="202" fontId="68" fillId="14" borderId="0" xfId="19" applyNumberFormat="1" applyFont="1" applyFill="1"/>
    <xf numFmtId="0" fontId="68" fillId="0" borderId="0" xfId="0" applyFont="1"/>
    <xf numFmtId="0" fontId="73" fillId="0" borderId="0" xfId="19" applyFont="1"/>
    <xf numFmtId="202" fontId="71" fillId="14" borderId="0" xfId="19" applyNumberFormat="1" applyFont="1" applyFill="1"/>
    <xf numFmtId="197" fontId="70" fillId="15" borderId="0" xfId="21" applyNumberFormat="1" applyFont="1" applyFill="1"/>
    <xf numFmtId="166" fontId="74" fillId="0" borderId="0" xfId="17" applyNumberFormat="1" applyFont="1"/>
    <xf numFmtId="197" fontId="74" fillId="4" borderId="0" xfId="19" applyNumberFormat="1" applyFont="1" applyFill="1"/>
    <xf numFmtId="197" fontId="75" fillId="4" borderId="0" xfId="19" applyNumberFormat="1" applyFont="1" applyFill="1"/>
    <xf numFmtId="0" fontId="76" fillId="14" borderId="0" xfId="19" applyFont="1" applyFill="1" applyAlignment="1">
      <alignment horizontal="right"/>
    </xf>
    <xf numFmtId="197" fontId="70" fillId="14" borderId="0" xfId="19" applyNumberFormat="1" applyFont="1" applyFill="1"/>
    <xf numFmtId="197" fontId="68" fillId="0" borderId="0" xfId="19" applyNumberFormat="1" applyFont="1"/>
    <xf numFmtId="0" fontId="77" fillId="14" borderId="0" xfId="13" applyFont="1" applyFill="1"/>
    <xf numFmtId="197" fontId="70" fillId="13" borderId="0" xfId="19" applyNumberFormat="1" applyFont="1" applyFill="1"/>
    <xf numFmtId="0" fontId="73" fillId="14" borderId="0" xfId="19" applyFont="1" applyFill="1"/>
    <xf numFmtId="0" fontId="70" fillId="14" borderId="0" xfId="19" applyFont="1" applyFill="1"/>
    <xf numFmtId="8" fontId="68" fillId="14" borderId="0" xfId="19" applyNumberFormat="1" applyFont="1" applyFill="1"/>
    <xf numFmtId="197" fontId="68" fillId="0" borderId="0" xfId="12" applyNumberFormat="1" applyFont="1"/>
    <xf numFmtId="198" fontId="68" fillId="14" borderId="0" xfId="19" applyNumberFormat="1" applyFont="1" applyFill="1"/>
    <xf numFmtId="197" fontId="75" fillId="0" borderId="0" xfId="19" applyNumberFormat="1" applyFont="1"/>
    <xf numFmtId="197" fontId="74" fillId="0" borderId="0" xfId="19" applyNumberFormat="1" applyFont="1"/>
    <xf numFmtId="197" fontId="74" fillId="0" borderId="0" xfId="19" quotePrefix="1" applyNumberFormat="1" applyFont="1"/>
    <xf numFmtId="198" fontId="68" fillId="0" borderId="0" xfId="19" applyNumberFormat="1" applyFont="1"/>
    <xf numFmtId="0" fontId="70" fillId="0" borderId="0" xfId="19" applyFont="1"/>
    <xf numFmtId="0" fontId="68" fillId="13" borderId="0" xfId="0" applyFont="1" applyFill="1"/>
    <xf numFmtId="0" fontId="68" fillId="13" borderId="0" xfId="19" applyFont="1" applyFill="1"/>
    <xf numFmtId="0" fontId="78" fillId="16" borderId="0" xfId="19" applyFont="1" applyFill="1"/>
    <xf numFmtId="0" fontId="79" fillId="0" borderId="0" xfId="0" applyFont="1"/>
    <xf numFmtId="203" fontId="70" fillId="13" borderId="0" xfId="19" applyNumberFormat="1" applyFont="1" applyFill="1"/>
    <xf numFmtId="168" fontId="68" fillId="0" borderId="0" xfId="17" applyNumberFormat="1" applyFont="1"/>
    <xf numFmtId="0" fontId="68" fillId="0" borderId="41" xfId="19" applyFont="1" applyBorder="1"/>
    <xf numFmtId="0" fontId="72" fillId="0" borderId="41" xfId="19" applyFont="1" applyBorder="1"/>
    <xf numFmtId="0" fontId="72" fillId="0" borderId="42" xfId="19" applyFont="1" applyBorder="1"/>
    <xf numFmtId="0" fontId="68" fillId="13" borderId="2" xfId="19" applyFont="1" applyFill="1" applyBorder="1"/>
    <xf numFmtId="0" fontId="72" fillId="0" borderId="0" xfId="19" applyFont="1"/>
    <xf numFmtId="0" fontId="68" fillId="0" borderId="43" xfId="19" applyFont="1" applyBorder="1"/>
    <xf numFmtId="0" fontId="80" fillId="0" borderId="0" xfId="19" applyFont="1"/>
    <xf numFmtId="204" fontId="68" fillId="4" borderId="0" xfId="19" applyNumberFormat="1" applyFont="1" applyFill="1"/>
    <xf numFmtId="204" fontId="68" fillId="0" borderId="0" xfId="19" applyNumberFormat="1" applyFont="1"/>
    <xf numFmtId="205" fontId="68" fillId="0" borderId="5" xfId="19" applyNumberFormat="1" applyFont="1" applyBorder="1"/>
    <xf numFmtId="205" fontId="68" fillId="0" borderId="0" xfId="19" applyNumberFormat="1" applyFont="1"/>
    <xf numFmtId="166" fontId="68" fillId="13" borderId="0" xfId="22" applyNumberFormat="1" applyFont="1" applyFill="1"/>
    <xf numFmtId="0" fontId="81" fillId="0" borderId="0" xfId="19" applyFont="1"/>
    <xf numFmtId="206" fontId="82" fillId="0" borderId="0" xfId="19" applyNumberFormat="1" applyFont="1"/>
    <xf numFmtId="197" fontId="82" fillId="0" borderId="0" xfId="19" applyNumberFormat="1" applyFont="1"/>
    <xf numFmtId="197" fontId="82" fillId="0" borderId="5" xfId="19" applyNumberFormat="1" applyFont="1" applyBorder="1"/>
    <xf numFmtId="0" fontId="82" fillId="0" borderId="0" xfId="19" applyFont="1"/>
    <xf numFmtId="0" fontId="82" fillId="13" borderId="0" xfId="19" applyFont="1" applyFill="1"/>
    <xf numFmtId="197" fontId="82" fillId="0" borderId="4" xfId="19" applyNumberFormat="1" applyFont="1" applyBorder="1"/>
    <xf numFmtId="43" fontId="68" fillId="13" borderId="0" xfId="19" applyNumberFormat="1" applyFont="1" applyFill="1"/>
    <xf numFmtId="9" fontId="82" fillId="0" borderId="0" xfId="19" applyNumberFormat="1" applyFont="1"/>
    <xf numFmtId="9" fontId="82" fillId="0" borderId="4" xfId="19" applyNumberFormat="1" applyFont="1" applyBorder="1"/>
    <xf numFmtId="204" fontId="82" fillId="0" borderId="0" xfId="19" applyNumberFormat="1" applyFont="1"/>
    <xf numFmtId="9" fontId="82" fillId="0" borderId="5" xfId="19" applyNumberFormat="1" applyFont="1" applyBorder="1"/>
    <xf numFmtId="9" fontId="68" fillId="0" borderId="0" xfId="19" applyNumberFormat="1" applyFont="1"/>
    <xf numFmtId="9" fontId="68" fillId="0" borderId="5" xfId="19" applyNumberFormat="1" applyFont="1" applyBorder="1"/>
    <xf numFmtId="197" fontId="68" fillId="13" borderId="0" xfId="12" applyNumberFormat="1" applyFont="1" applyFill="1"/>
    <xf numFmtId="168" fontId="68" fillId="0" borderId="0" xfId="17" applyNumberFormat="1" applyFont="1" applyBorder="1"/>
    <xf numFmtId="0" fontId="80" fillId="0" borderId="2" xfId="19" applyFont="1" applyBorder="1"/>
    <xf numFmtId="9" fontId="68" fillId="0" borderId="2" xfId="19" applyNumberFormat="1" applyFont="1" applyBorder="1"/>
    <xf numFmtId="168" fontId="68" fillId="0" borderId="2" xfId="17" applyNumberFormat="1" applyFont="1" applyBorder="1"/>
    <xf numFmtId="9" fontId="68" fillId="0" borderId="3" xfId="19" applyNumberFormat="1" applyFont="1" applyBorder="1"/>
    <xf numFmtId="0" fontId="77" fillId="0" borderId="0" xfId="13" applyFont="1"/>
    <xf numFmtId="206" fontId="68" fillId="0" borderId="0" xfId="19" applyNumberFormat="1" applyFont="1"/>
    <xf numFmtId="206" fontId="68" fillId="0" borderId="5" xfId="19" applyNumberFormat="1" applyFont="1" applyBorder="1"/>
    <xf numFmtId="205" fontId="68" fillId="0" borderId="4" xfId="19" applyNumberFormat="1" applyFont="1" applyBorder="1"/>
    <xf numFmtId="0" fontId="80" fillId="0" borderId="0" xfId="19" applyFont="1" applyAlignment="1">
      <alignment horizontal="left" indent="1"/>
    </xf>
    <xf numFmtId="205" fontId="76" fillId="0" borderId="0" xfId="19" applyNumberFormat="1" applyFont="1"/>
    <xf numFmtId="205" fontId="76" fillId="0" borderId="4" xfId="19" applyNumberFormat="1" applyFont="1" applyBorder="1"/>
    <xf numFmtId="0" fontId="80" fillId="0" borderId="44" xfId="19" applyFont="1" applyBorder="1" applyAlignment="1">
      <alignment horizontal="left" indent="1"/>
    </xf>
    <xf numFmtId="201" fontId="68" fillId="0" borderId="44" xfId="19" applyNumberFormat="1" applyFont="1" applyBorder="1"/>
    <xf numFmtId="201" fontId="68" fillId="0" borderId="45" xfId="19" applyNumberFormat="1" applyFont="1" applyBorder="1"/>
    <xf numFmtId="201" fontId="68" fillId="0" borderId="0" xfId="19" applyNumberFormat="1" applyFont="1"/>
    <xf numFmtId="201" fontId="76" fillId="0" borderId="0" xfId="19" applyNumberFormat="1" applyFont="1"/>
    <xf numFmtId="201" fontId="68" fillId="0" borderId="4" xfId="19" applyNumberFormat="1" applyFont="1" applyBorder="1"/>
    <xf numFmtId="0" fontId="68" fillId="0" borderId="5" xfId="19" applyFont="1" applyBorder="1"/>
    <xf numFmtId="201" fontId="68" fillId="0" borderId="5" xfId="19" applyNumberFormat="1" applyFont="1" applyBorder="1"/>
    <xf numFmtId="168" fontId="68" fillId="0" borderId="46" xfId="17" applyNumberFormat="1" applyFont="1" applyBorder="1"/>
    <xf numFmtId="168" fontId="68" fillId="13" borderId="46" xfId="17" applyNumberFormat="1" applyFont="1" applyFill="1" applyBorder="1"/>
    <xf numFmtId="168" fontId="68" fillId="0" borderId="7" xfId="17" applyNumberFormat="1" applyFont="1" applyBorder="1"/>
    <xf numFmtId="0" fontId="68" fillId="0" borderId="46" xfId="19" applyFont="1" applyBorder="1"/>
    <xf numFmtId="0" fontId="73" fillId="0" borderId="0" xfId="23" applyFont="1"/>
    <xf numFmtId="0" fontId="76" fillId="0" borderId="0" xfId="19" applyFont="1" applyAlignment="1">
      <alignment horizontal="right"/>
    </xf>
    <xf numFmtId="0" fontId="68" fillId="0" borderId="0" xfId="23" applyFont="1"/>
    <xf numFmtId="207" fontId="68" fillId="0" borderId="0" xfId="24" applyNumberFormat="1" applyFont="1" applyBorder="1"/>
    <xf numFmtId="37" fontId="68" fillId="0" borderId="0" xfId="13" applyNumberFormat="1" applyFont="1"/>
    <xf numFmtId="0" fontId="68" fillId="0" borderId="0" xfId="23" applyFont="1" applyAlignment="1">
      <alignment horizontal="left" indent="1"/>
    </xf>
    <xf numFmtId="207" fontId="68" fillId="0" borderId="7" xfId="24" applyNumberFormat="1" applyFont="1" applyBorder="1"/>
    <xf numFmtId="0" fontId="68" fillId="0" borderId="0" xfId="21" applyFont="1"/>
    <xf numFmtId="208" fontId="68" fillId="0" borderId="0" xfId="21" applyNumberFormat="1" applyFont="1"/>
    <xf numFmtId="209" fontId="68" fillId="13" borderId="0" xfId="21" applyNumberFormat="1" applyFont="1" applyFill="1"/>
    <xf numFmtId="209" fontId="68" fillId="0" borderId="0" xfId="21" applyNumberFormat="1" applyFont="1"/>
    <xf numFmtId="0" fontId="68" fillId="0" borderId="44" xfId="21" applyFont="1" applyBorder="1"/>
    <xf numFmtId="0" fontId="68" fillId="0" borderId="44" xfId="19" applyFont="1" applyBorder="1"/>
    <xf numFmtId="208" fontId="68" fillId="0" borderId="44" xfId="21" applyNumberFormat="1" applyFont="1" applyBorder="1"/>
    <xf numFmtId="0" fontId="68" fillId="0" borderId="46" xfId="21" applyFont="1" applyBorder="1"/>
    <xf numFmtId="208" fontId="68" fillId="0" borderId="46" xfId="21" applyNumberFormat="1" applyFont="1" applyBorder="1"/>
    <xf numFmtId="0" fontId="72" fillId="0" borderId="0" xfId="21" applyFont="1"/>
    <xf numFmtId="168" fontId="68" fillId="4" borderId="0" xfId="17" applyNumberFormat="1" applyFont="1" applyFill="1"/>
    <xf numFmtId="9" fontId="68" fillId="0" borderId="0" xfId="25" applyFont="1"/>
    <xf numFmtId="202" fontId="72" fillId="0" borderId="0" xfId="19" applyNumberFormat="1" applyFont="1"/>
    <xf numFmtId="202" fontId="72" fillId="0" borderId="9" xfId="19" applyNumberFormat="1" applyFont="1" applyBorder="1"/>
    <xf numFmtId="205" fontId="68" fillId="4" borderId="0" xfId="19" applyNumberFormat="1" applyFont="1" applyFill="1"/>
    <xf numFmtId="210" fontId="68" fillId="0" borderId="0" xfId="26" applyFont="1" applyFill="1" applyBorder="1" applyAlignment="1" applyProtection="1"/>
    <xf numFmtId="201" fontId="72" fillId="0" borderId="0" xfId="26" applyNumberFormat="1" applyFont="1" applyFill="1" applyBorder="1" applyAlignment="1" applyProtection="1"/>
    <xf numFmtId="201" fontId="72" fillId="17" borderId="47" xfId="26" applyNumberFormat="1" applyFont="1" applyFill="1" applyBorder="1" applyAlignment="1" applyProtection="1"/>
    <xf numFmtId="202" fontId="82" fillId="0" borderId="0" xfId="19" applyNumberFormat="1" applyFont="1"/>
    <xf numFmtId="0" fontId="83" fillId="0" borderId="0" xfId="21" applyFont="1"/>
    <xf numFmtId="202" fontId="83" fillId="0" borderId="0" xfId="19" applyNumberFormat="1" applyFont="1"/>
    <xf numFmtId="0" fontId="82" fillId="0" borderId="0" xfId="21" applyFont="1"/>
    <xf numFmtId="195" fontId="68" fillId="0" borderId="0" xfId="19" applyNumberFormat="1" applyFont="1"/>
    <xf numFmtId="0" fontId="84" fillId="0" borderId="0" xfId="19" applyFont="1"/>
    <xf numFmtId="166" fontId="79" fillId="13" borderId="0" xfId="22" applyNumberFormat="1" applyFont="1" applyFill="1"/>
    <xf numFmtId="0" fontId="79" fillId="0" borderId="0" xfId="0" quotePrefix="1" applyFont="1"/>
    <xf numFmtId="0" fontId="81" fillId="0" borderId="0" xfId="19" applyFont="1" applyAlignment="1">
      <alignment horizontal="left" indent="1"/>
    </xf>
    <xf numFmtId="0" fontId="72" fillId="0" borderId="0" xfId="0" applyFont="1"/>
    <xf numFmtId="1" fontId="82" fillId="0" borderId="46" xfId="22" applyNumberFormat="1" applyFont="1" applyBorder="1"/>
    <xf numFmtId="202" fontId="82" fillId="0" borderId="46" xfId="19" applyNumberFormat="1" applyFont="1" applyBorder="1" applyAlignment="1">
      <alignment horizontal="center"/>
    </xf>
    <xf numFmtId="166" fontId="82" fillId="0" borderId="0" xfId="22" applyNumberFormat="1" applyFont="1" applyBorder="1"/>
    <xf numFmtId="166" fontId="82" fillId="0" borderId="0" xfId="22" applyNumberFormat="1" applyFont="1"/>
    <xf numFmtId="197" fontId="82" fillId="0" borderId="0" xfId="12" applyNumberFormat="1" applyFont="1"/>
    <xf numFmtId="197" fontId="68" fillId="0" borderId="7" xfId="19" applyNumberFormat="1" applyFont="1" applyBorder="1"/>
    <xf numFmtId="166" fontId="82" fillId="13" borderId="0" xfId="22" applyNumberFormat="1" applyFont="1" applyFill="1"/>
    <xf numFmtId="166" fontId="68" fillId="0" borderId="0" xfId="27" applyNumberFormat="1" applyFont="1"/>
    <xf numFmtId="166" fontId="82" fillId="0" borderId="0" xfId="27" applyNumberFormat="1" applyFont="1"/>
    <xf numFmtId="166" fontId="82" fillId="0" borderId="0" xfId="24" applyNumberFormat="1" applyFont="1"/>
    <xf numFmtId="197" fontId="82" fillId="0" borderId="0" xfId="28" applyNumberFormat="1" applyFont="1"/>
    <xf numFmtId="0" fontId="85" fillId="0" borderId="0" xfId="19" applyFont="1"/>
    <xf numFmtId="0" fontId="86" fillId="0" borderId="0" xfId="19" applyFont="1"/>
    <xf numFmtId="0" fontId="87" fillId="0" borderId="0" xfId="0" applyFont="1"/>
    <xf numFmtId="0" fontId="88" fillId="0" borderId="0" xfId="0" applyFont="1"/>
    <xf numFmtId="197" fontId="87" fillId="0" borderId="0" xfId="18" applyNumberFormat="1" applyFont="1"/>
    <xf numFmtId="197" fontId="87" fillId="0" borderId="39" xfId="18" applyNumberFormat="1" applyFont="1" applyBorder="1"/>
    <xf numFmtId="43" fontId="86" fillId="0" borderId="0" xfId="19" applyNumberFormat="1" applyFont="1"/>
    <xf numFmtId="166" fontId="63" fillId="0" borderId="0" xfId="17" applyNumberFormat="1" applyFont="1"/>
    <xf numFmtId="0" fontId="4" fillId="0" borderId="0" xfId="5"/>
    <xf numFmtId="166" fontId="86" fillId="0" borderId="0" xfId="11" applyNumberFormat="1" applyFont="1"/>
    <xf numFmtId="197" fontId="0" fillId="0" borderId="0" xfId="12" applyNumberFormat="1" applyFont="1"/>
    <xf numFmtId="197" fontId="85" fillId="0" borderId="0" xfId="12" applyNumberFormat="1" applyFont="1"/>
    <xf numFmtId="204" fontId="68" fillId="0" borderId="0" xfId="19" applyNumberFormat="1" applyFont="1" applyFill="1"/>
    <xf numFmtId="0" fontId="11" fillId="5" borderId="0" xfId="8" applyFont="1" applyFill="1" applyAlignment="1">
      <alignment horizontal="center"/>
    </xf>
    <xf numFmtId="0" fontId="46" fillId="0" borderId="8" xfId="8" applyFont="1" applyBorder="1" applyAlignment="1">
      <alignment vertical="top" wrapText="1"/>
    </xf>
    <xf numFmtId="0" fontId="2" fillId="0" borderId="7" xfId="8" applyBorder="1" applyAlignment="1">
      <alignment vertical="top" wrapText="1"/>
    </xf>
    <xf numFmtId="0" fontId="2" fillId="0" borderId="6" xfId="8" applyBorder="1" applyAlignment="1">
      <alignment vertical="top" wrapText="1"/>
    </xf>
    <xf numFmtId="0" fontId="2" fillId="0" borderId="5" xfId="8" applyBorder="1" applyAlignment="1">
      <alignment vertical="top" wrapText="1"/>
    </xf>
    <xf numFmtId="0" fontId="2" fillId="0" borderId="0" xfId="8" applyAlignment="1">
      <alignment vertical="top" wrapText="1"/>
    </xf>
    <xf numFmtId="0" fontId="2" fillId="0" borderId="4" xfId="8" applyBorder="1" applyAlignment="1">
      <alignment vertical="top" wrapText="1"/>
    </xf>
    <xf numFmtId="0" fontId="2" fillId="0" borderId="3" xfId="8" applyBorder="1" applyAlignment="1">
      <alignment vertical="top" wrapText="1"/>
    </xf>
    <xf numFmtId="0" fontId="2" fillId="0" borderId="2" xfId="8" applyBorder="1" applyAlignment="1">
      <alignment vertical="top" wrapText="1"/>
    </xf>
    <xf numFmtId="0" fontId="2" fillId="0" borderId="1" xfId="8" applyBorder="1" applyAlignment="1">
      <alignment vertical="top" wrapText="1"/>
    </xf>
    <xf numFmtId="173" fontId="2" fillId="4" borderId="0" xfId="8" quotePrefix="1" applyNumberFormat="1" applyFont="1" applyFill="1" applyAlignment="1">
      <alignment horizontal="left" vertical="top" wrapText="1"/>
    </xf>
    <xf numFmtId="0" fontId="45" fillId="3" borderId="0" xfId="5" applyFont="1" applyFill="1"/>
  </cellXfs>
  <cellStyles count="29">
    <cellStyle name="Comma" xfId="11" builtinId="3"/>
    <cellStyle name="Comma 11 2" xfId="17" xr:uid="{4FEA1EA0-C425-48B4-AD25-8019C6630527}"/>
    <cellStyle name="Comma 11 2 2" xfId="20" xr:uid="{6BEDB4A3-9297-44B1-A553-A9899FF3C458}"/>
    <cellStyle name="Comma 2" xfId="16" xr:uid="{8D92E4F8-B9D3-4EAF-83EF-3951453DA6E8}"/>
    <cellStyle name="Comma 2 2" xfId="22" xr:uid="{083BD389-661F-4E52-A46E-E2F2DA1E04CF}"/>
    <cellStyle name="Comma 2 2 2" xfId="24" xr:uid="{33CF8C23-3EB7-40D4-B126-B72D2B5C64BC}"/>
    <cellStyle name="Comma 3" xfId="27" xr:uid="{4E7DC226-85C8-49A6-AF7D-B24B1909AA47}"/>
    <cellStyle name="Comma 3 2" xfId="26" xr:uid="{31FAD362-289A-44E3-BED9-36E84640E745}"/>
    <cellStyle name="Currency" xfId="1" builtinId="4"/>
    <cellStyle name="Currency 2" xfId="2" xr:uid="{00000000-0005-0000-0000-000006000000}"/>
    <cellStyle name="Currency 2 2" xfId="3" xr:uid="{00000000-0005-0000-0000-000007000000}"/>
    <cellStyle name="Good" xfId="4" builtinId="26"/>
    <cellStyle name="Hyperlink" xfId="5" builtinId="8"/>
    <cellStyle name="Hyperlink 2" xfId="6" xr:uid="{00000000-0005-0000-0000-00000A000000}"/>
    <cellStyle name="Hyperlink 3" xfId="14" xr:uid="{6D9FC9FA-6AD0-49B1-BFEA-348ACD799260}"/>
    <cellStyle name="Normal" xfId="0" builtinId="0"/>
    <cellStyle name="Normal 2" xfId="7" xr:uid="{00000000-0005-0000-0000-00000B000000}"/>
    <cellStyle name="Normal 2 2" xfId="15" xr:uid="{9EC409CD-A100-4A14-A6F4-AD2F8C408E30}"/>
    <cellStyle name="Normal 3" xfId="8" xr:uid="{00000000-0005-0000-0000-00000C000000}"/>
    <cellStyle name="Normal 4" xfId="9" xr:uid="{00000000-0005-0000-0000-00000D000000}"/>
    <cellStyle name="Normal 5 2" xfId="13" xr:uid="{3FB1A385-725E-4159-8F85-F0381D818C1A}"/>
    <cellStyle name="Normal_070904a Entry Valuations XRIT" xfId="21" xr:uid="{73BF9F59-77F5-4E45-BD05-04EAC5229DDC}"/>
    <cellStyle name="Normal_GPX Model_v2" xfId="19" xr:uid="{F9FF8C26-37BE-4D1C-98BE-B5202CC568BD}"/>
    <cellStyle name="Normal_GPX Model_v2 2" xfId="23" xr:uid="{1E990C71-4252-47EA-A539-DF8BF1320282}"/>
    <cellStyle name="Percent" xfId="12" builtinId="5"/>
    <cellStyle name="Percent 2" xfId="10" xr:uid="{00000000-0005-0000-0000-00000E000000}"/>
    <cellStyle name="Percent 3" xfId="18" xr:uid="{0C3565A0-76EF-403B-A776-129BD44E2DA8}"/>
    <cellStyle name="Percent 3 2" xfId="25" xr:uid="{0E451F6B-2B48-43A4-B4B0-8A2582A7B283}"/>
    <cellStyle name="Percent 4" xfId="28" xr:uid="{84AE15CD-C30B-42AE-A88D-CF2D5BB52F3D}"/>
  </cellStyles>
  <dxfs count="183">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C6EFCE"/>
        </patternFill>
      </fill>
    </dxf>
    <dxf>
      <fill>
        <patternFill>
          <bgColor rgb="FFFFC7CE"/>
        </patternFill>
      </fill>
    </dxf>
    <dxf>
      <fill>
        <patternFill>
          <bgColor rgb="FFC6EFCE"/>
        </patternFill>
      </fill>
    </dxf>
    <dxf>
      <fill>
        <patternFill>
          <bgColor rgb="FFFFC7CE"/>
        </patternFill>
      </fill>
    </dxf>
    <dxf>
      <fill>
        <patternFill>
          <bgColor rgb="FFFFC7CE"/>
        </patternFill>
      </fill>
    </dxf>
    <dxf>
      <fill>
        <patternFill>
          <bgColor rgb="FFC6EFCE"/>
        </patternFill>
      </fill>
    </dxf>
    <dxf>
      <fill>
        <patternFill>
          <bgColor rgb="FFFFC7CE"/>
        </patternFill>
      </fill>
    </dxf>
    <dxf>
      <fill>
        <patternFill>
          <bgColor rgb="FFC6EFCE"/>
        </patternFill>
      </fill>
    </dxf>
    <dxf>
      <font>
        <color rgb="FFF2F2F2"/>
      </font>
      <fill>
        <patternFill>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'IR and Writeup'!$B$26</c:f>
              <c:strCache>
                <c:ptCount val="1"/>
                <c:pt idx="0">
                  <c:v>Revenues</c:v>
                </c:pt>
              </c:strCache>
            </c:strRef>
          </c:tx>
          <c:spPr>
            <a:ln w="28575" cap="rnd">
              <a:solidFill>
                <a:schemeClr val="accent1"/>
              </a:solidFill>
              <a:round/>
            </a:ln>
            <a:effectLst/>
          </c:spPr>
          <c:marker>
            <c:symbol val="none"/>
          </c:marker>
          <c:cat>
            <c:strRef>
              <c:f>'IR and Writeup'!$C$25:$V$25</c:f>
              <c:strCach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strCache>
            </c:strRef>
          </c:cat>
          <c:val>
            <c:numRef>
              <c:f>'IR and Writeup'!$C$25:$V$25</c:f>
              <c:numCache>
                <c:formatCode>General</c:formatCode>
                <c:ptCount val="20"/>
                <c:pt idx="0">
                  <c:v>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numCache>
            </c:numRef>
          </c:val>
          <c:smooth val="0"/>
          <c:extLst>
            <c:ext xmlns:c16="http://schemas.microsoft.com/office/drawing/2014/chart" uri="{C3380CC4-5D6E-409C-BE32-E72D297353CC}">
              <c16:uniqueId val="{00000000-F54B-45B6-AC61-DB1CF6CA5EF9}"/>
            </c:ext>
          </c:extLst>
        </c:ser>
        <c:dLbls>
          <c:showLegendKey val="0"/>
          <c:showVal val="0"/>
          <c:showCatName val="0"/>
          <c:showSerName val="0"/>
          <c:showPercent val="0"/>
          <c:showBubbleSize val="0"/>
        </c:dLbls>
        <c:smooth val="0"/>
        <c:axId val="679971112"/>
        <c:axId val="679970784"/>
      </c:lineChart>
      <c:catAx>
        <c:axId val="679971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0784"/>
        <c:crosses val="autoZero"/>
        <c:auto val="1"/>
        <c:lblAlgn val="ctr"/>
        <c:lblOffset val="100"/>
        <c:noMultiLvlLbl val="0"/>
      </c:catAx>
      <c:valAx>
        <c:axId val="679970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EBITDA Margin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'IR and Writeup'!$B$27</c:f>
              <c:strCache>
                <c:ptCount val="1"/>
                <c:pt idx="0">
                  <c:v>EBITDA</c:v>
                </c:pt>
              </c:strCache>
            </c:strRef>
          </c:tx>
          <c:spPr>
            <a:ln w="28575" cap="rnd">
              <a:solidFill>
                <a:schemeClr val="accent2"/>
              </a:solidFill>
              <a:round/>
            </a:ln>
            <a:effectLst/>
          </c:spPr>
          <c:marker>
            <c:symbol val="none"/>
          </c:marker>
          <c:cat>
            <c:strRef>
              <c:f>'IR and Writeup'!$C$25:$V$25</c:f>
              <c:strCach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strCache>
            </c:strRef>
          </c:cat>
          <c:val>
            <c:numRef>
              <c:f>'IR and Writeup'!$C$28:$V$28</c:f>
              <c:numCache>
                <c:formatCode>0.0%</c:formatCode>
                <c:ptCount val="20"/>
                <c:pt idx="0">
                  <c:v>0.30557449856242569</c:v>
                </c:pt>
                <c:pt idx="1">
                  <c:v>0.31834119588072324</c:v>
                </c:pt>
                <c:pt idx="2">
                  <c:v>0.31982039619854125</c:v>
                </c:pt>
                <c:pt idx="3">
                  <c:v>0.2454908317381129</c:v>
                </c:pt>
                <c:pt idx="4">
                  <c:v>0.1353552208731478</c:v>
                </c:pt>
                <c:pt idx="5">
                  <c:v>0.14012953235759085</c:v>
                </c:pt>
                <c:pt idx="6">
                  <c:v>0.14748506021601004</c:v>
                </c:pt>
                <c:pt idx="7">
                  <c:v>0.16114429461720811</c:v>
                </c:pt>
                <c:pt idx="8">
                  <c:v>0.11257977586489364</c:v>
                </c:pt>
                <c:pt idx="9">
                  <c:v>0.17289808814886634</c:v>
                </c:pt>
                <c:pt idx="10">
                  <c:v>0</c:v>
                </c:pt>
                <c:pt idx="11">
                  <c:v>0</c:v>
                </c:pt>
                <c:pt idx="12">
                  <c:v>0</c:v>
                </c:pt>
                <c:pt idx="13">
                  <c:v>0</c:v>
                </c:pt>
                <c:pt idx="14">
                  <c:v>0</c:v>
                </c:pt>
                <c:pt idx="15">
                  <c:v>0</c:v>
                </c:pt>
                <c:pt idx="16">
                  <c:v>0</c:v>
                </c:pt>
                <c:pt idx="17">
                  <c:v>0</c:v>
                </c:pt>
                <c:pt idx="18">
                  <c:v>0</c:v>
                </c:pt>
                <c:pt idx="19">
                  <c:v>0</c:v>
                </c:pt>
              </c:numCache>
            </c:numRef>
          </c:val>
          <c:smooth val="0"/>
          <c:extLst>
            <c:ext xmlns:c16="http://schemas.microsoft.com/office/drawing/2014/chart" uri="{C3380CC4-5D6E-409C-BE32-E72D297353CC}">
              <c16:uniqueId val="{00000000-190E-4488-B3A5-7A5E789AE3E6}"/>
            </c:ext>
          </c:extLst>
        </c:ser>
        <c:dLbls>
          <c:showLegendKey val="0"/>
          <c:showVal val="0"/>
          <c:showCatName val="0"/>
          <c:showSerName val="0"/>
          <c:showPercent val="0"/>
          <c:showBubbleSize val="0"/>
        </c:dLbls>
        <c:smooth val="0"/>
        <c:axId val="679971112"/>
        <c:axId val="679970784"/>
      </c:lineChart>
      <c:catAx>
        <c:axId val="679971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0784"/>
        <c:crosses val="autoZero"/>
        <c:auto val="1"/>
        <c:lblAlgn val="ctr"/>
        <c:lblOffset val="100"/>
        <c:noMultiLvlLbl val="0"/>
      </c:catAx>
      <c:valAx>
        <c:axId val="679970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[1]StockPrices!$E$1</c:f>
              <c:strCache>
                <c:ptCount val="1"/>
                <c:pt idx="0">
                  <c:v>Close</c:v>
                </c:pt>
              </c:strCache>
            </c:strRef>
          </c:tx>
          <c:spPr>
            <a:ln w="28575" cap="rnd">
              <a:solidFill>
                <a:schemeClr val="accent1"/>
              </a:solidFill>
              <a:round/>
            </a:ln>
            <a:effectLst/>
          </c:spPr>
          <c:marker>
            <c:symbol val="none"/>
          </c:marker>
          <c:cat>
            <c:numRef>
              <c:f>[1]StockPrices!$A$2:$A$2570</c:f>
              <c:numCache>
                <c:formatCode>General</c:formatCode>
                <c:ptCount val="2569"/>
                <c:pt idx="0">
                  <c:v>40134</c:v>
                </c:pt>
                <c:pt idx="1">
                  <c:v>40135</c:v>
                </c:pt>
                <c:pt idx="2">
                  <c:v>40136</c:v>
                </c:pt>
                <c:pt idx="3">
                  <c:v>40137</c:v>
                </c:pt>
                <c:pt idx="4">
                  <c:v>40140</c:v>
                </c:pt>
                <c:pt idx="5">
                  <c:v>40141</c:v>
                </c:pt>
                <c:pt idx="6">
                  <c:v>40142</c:v>
                </c:pt>
                <c:pt idx="7">
                  <c:v>40144</c:v>
                </c:pt>
                <c:pt idx="8">
                  <c:v>40147</c:v>
                </c:pt>
                <c:pt idx="9">
                  <c:v>40148</c:v>
                </c:pt>
                <c:pt idx="10">
                  <c:v>40149</c:v>
                </c:pt>
                <c:pt idx="11">
                  <c:v>40150</c:v>
                </c:pt>
                <c:pt idx="12">
                  <c:v>40151</c:v>
                </c:pt>
                <c:pt idx="13">
                  <c:v>40154</c:v>
                </c:pt>
                <c:pt idx="14">
                  <c:v>40155</c:v>
                </c:pt>
                <c:pt idx="15">
                  <c:v>40156</c:v>
                </c:pt>
                <c:pt idx="16">
                  <c:v>40157</c:v>
                </c:pt>
                <c:pt idx="17">
                  <c:v>40158</c:v>
                </c:pt>
                <c:pt idx="18">
                  <c:v>40161</c:v>
                </c:pt>
                <c:pt idx="19">
                  <c:v>40162</c:v>
                </c:pt>
                <c:pt idx="20">
                  <c:v>40163</c:v>
                </c:pt>
                <c:pt idx="21">
                  <c:v>40164</c:v>
                </c:pt>
                <c:pt idx="22">
                  <c:v>40165</c:v>
                </c:pt>
                <c:pt idx="23">
                  <c:v>40168</c:v>
                </c:pt>
                <c:pt idx="24">
                  <c:v>40169</c:v>
                </c:pt>
                <c:pt idx="25">
                  <c:v>40170</c:v>
                </c:pt>
                <c:pt idx="26">
                  <c:v>40171</c:v>
                </c:pt>
                <c:pt idx="27">
                  <c:v>40175</c:v>
                </c:pt>
                <c:pt idx="28">
                  <c:v>40176</c:v>
                </c:pt>
                <c:pt idx="29">
                  <c:v>40177</c:v>
                </c:pt>
                <c:pt idx="30">
                  <c:v>40178</c:v>
                </c:pt>
                <c:pt idx="31">
                  <c:v>40182</c:v>
                </c:pt>
                <c:pt idx="32">
                  <c:v>40183</c:v>
                </c:pt>
                <c:pt idx="33">
                  <c:v>40184</c:v>
                </c:pt>
                <c:pt idx="34">
                  <c:v>40185</c:v>
                </c:pt>
                <c:pt idx="35">
                  <c:v>40186</c:v>
                </c:pt>
                <c:pt idx="36">
                  <c:v>40189</c:v>
                </c:pt>
                <c:pt idx="37">
                  <c:v>40190</c:v>
                </c:pt>
                <c:pt idx="38">
                  <c:v>40191</c:v>
                </c:pt>
                <c:pt idx="39">
                  <c:v>40192</c:v>
                </c:pt>
                <c:pt idx="40">
                  <c:v>40193</c:v>
                </c:pt>
                <c:pt idx="41">
                  <c:v>40197</c:v>
                </c:pt>
                <c:pt idx="42">
                  <c:v>40198</c:v>
                </c:pt>
                <c:pt idx="43">
                  <c:v>40199</c:v>
                </c:pt>
                <c:pt idx="44">
                  <c:v>40200</c:v>
                </c:pt>
                <c:pt idx="45">
                  <c:v>40203</c:v>
                </c:pt>
                <c:pt idx="46">
                  <c:v>40204</c:v>
                </c:pt>
                <c:pt idx="47">
                  <c:v>40205</c:v>
                </c:pt>
                <c:pt idx="48">
                  <c:v>40206</c:v>
                </c:pt>
                <c:pt idx="49">
                  <c:v>40207</c:v>
                </c:pt>
                <c:pt idx="50">
                  <c:v>40210</c:v>
                </c:pt>
                <c:pt idx="51">
                  <c:v>40211</c:v>
                </c:pt>
                <c:pt idx="52">
                  <c:v>40212</c:v>
                </c:pt>
                <c:pt idx="53">
                  <c:v>40213</c:v>
                </c:pt>
                <c:pt idx="54">
                  <c:v>40214</c:v>
                </c:pt>
                <c:pt idx="55">
                  <c:v>40217</c:v>
                </c:pt>
                <c:pt idx="56">
                  <c:v>40218</c:v>
                </c:pt>
                <c:pt idx="57">
                  <c:v>40219</c:v>
                </c:pt>
                <c:pt idx="58">
                  <c:v>40220</c:v>
                </c:pt>
                <c:pt idx="59">
                  <c:v>40221</c:v>
                </c:pt>
                <c:pt idx="60">
                  <c:v>40225</c:v>
                </c:pt>
                <c:pt idx="61">
                  <c:v>40226</c:v>
                </c:pt>
                <c:pt idx="62">
                  <c:v>40227</c:v>
                </c:pt>
                <c:pt idx="63">
                  <c:v>40228</c:v>
                </c:pt>
                <c:pt idx="64">
                  <c:v>40231</c:v>
                </c:pt>
                <c:pt idx="65">
                  <c:v>40232</c:v>
                </c:pt>
                <c:pt idx="66">
                  <c:v>40233</c:v>
                </c:pt>
                <c:pt idx="67">
                  <c:v>40234</c:v>
                </c:pt>
                <c:pt idx="68">
                  <c:v>40235</c:v>
                </c:pt>
                <c:pt idx="69">
                  <c:v>40238</c:v>
                </c:pt>
                <c:pt idx="70">
                  <c:v>40239</c:v>
                </c:pt>
                <c:pt idx="71">
                  <c:v>40240</c:v>
                </c:pt>
                <c:pt idx="72">
                  <c:v>40241</c:v>
                </c:pt>
                <c:pt idx="73">
                  <c:v>40242</c:v>
                </c:pt>
                <c:pt idx="74">
                  <c:v>40245</c:v>
                </c:pt>
                <c:pt idx="75">
                  <c:v>40246</c:v>
                </c:pt>
                <c:pt idx="76">
                  <c:v>40247</c:v>
                </c:pt>
                <c:pt idx="77">
                  <c:v>40248</c:v>
                </c:pt>
                <c:pt idx="78">
                  <c:v>40249</c:v>
                </c:pt>
                <c:pt idx="79">
                  <c:v>40252</c:v>
                </c:pt>
                <c:pt idx="80">
                  <c:v>40253</c:v>
                </c:pt>
                <c:pt idx="81">
                  <c:v>40254</c:v>
                </c:pt>
                <c:pt idx="82">
                  <c:v>40255</c:v>
                </c:pt>
                <c:pt idx="83">
                  <c:v>40256</c:v>
                </c:pt>
                <c:pt idx="84">
                  <c:v>40259</c:v>
                </c:pt>
                <c:pt idx="85">
                  <c:v>40260</c:v>
                </c:pt>
                <c:pt idx="86">
                  <c:v>40261</c:v>
                </c:pt>
                <c:pt idx="87">
                  <c:v>40262</c:v>
                </c:pt>
                <c:pt idx="88">
                  <c:v>40263</c:v>
                </c:pt>
                <c:pt idx="89">
                  <c:v>40266</c:v>
                </c:pt>
                <c:pt idx="90">
                  <c:v>40267</c:v>
                </c:pt>
                <c:pt idx="91">
                  <c:v>40268</c:v>
                </c:pt>
                <c:pt idx="92">
                  <c:v>40269</c:v>
                </c:pt>
                <c:pt idx="93">
                  <c:v>40273</c:v>
                </c:pt>
                <c:pt idx="94">
                  <c:v>40274</c:v>
                </c:pt>
                <c:pt idx="95">
                  <c:v>40275</c:v>
                </c:pt>
                <c:pt idx="96">
                  <c:v>40276</c:v>
                </c:pt>
                <c:pt idx="97">
                  <c:v>40277</c:v>
                </c:pt>
                <c:pt idx="98">
                  <c:v>40280</c:v>
                </c:pt>
                <c:pt idx="99">
                  <c:v>40281</c:v>
                </c:pt>
                <c:pt idx="100">
                  <c:v>40282</c:v>
                </c:pt>
                <c:pt idx="101">
                  <c:v>40283</c:v>
                </c:pt>
                <c:pt idx="102">
                  <c:v>40284</c:v>
                </c:pt>
                <c:pt idx="103">
                  <c:v>40287</c:v>
                </c:pt>
                <c:pt idx="104">
                  <c:v>40288</c:v>
                </c:pt>
                <c:pt idx="105">
                  <c:v>40289</c:v>
                </c:pt>
                <c:pt idx="106">
                  <c:v>40290</c:v>
                </c:pt>
                <c:pt idx="107">
                  <c:v>40291</c:v>
                </c:pt>
                <c:pt idx="108">
                  <c:v>40294</c:v>
                </c:pt>
                <c:pt idx="109">
                  <c:v>40295</c:v>
                </c:pt>
                <c:pt idx="110">
                  <c:v>40296</c:v>
                </c:pt>
                <c:pt idx="111">
                  <c:v>40297</c:v>
                </c:pt>
                <c:pt idx="112">
                  <c:v>40298</c:v>
                </c:pt>
                <c:pt idx="113">
                  <c:v>40301</c:v>
                </c:pt>
                <c:pt idx="114">
                  <c:v>40302</c:v>
                </c:pt>
                <c:pt idx="115">
                  <c:v>40303</c:v>
                </c:pt>
                <c:pt idx="116">
                  <c:v>40304</c:v>
                </c:pt>
                <c:pt idx="117">
                  <c:v>40305</c:v>
                </c:pt>
                <c:pt idx="118">
                  <c:v>40308</c:v>
                </c:pt>
                <c:pt idx="119">
                  <c:v>40309</c:v>
                </c:pt>
                <c:pt idx="120">
                  <c:v>40310</c:v>
                </c:pt>
                <c:pt idx="121">
                  <c:v>40311</c:v>
                </c:pt>
                <c:pt idx="122">
                  <c:v>40312</c:v>
                </c:pt>
                <c:pt idx="123">
                  <c:v>40315</c:v>
                </c:pt>
                <c:pt idx="124">
                  <c:v>40316</c:v>
                </c:pt>
                <c:pt idx="125">
                  <c:v>40317</c:v>
                </c:pt>
                <c:pt idx="126">
                  <c:v>40318</c:v>
                </c:pt>
                <c:pt idx="127">
                  <c:v>40319</c:v>
                </c:pt>
                <c:pt idx="128">
                  <c:v>40322</c:v>
                </c:pt>
                <c:pt idx="129">
                  <c:v>40323</c:v>
                </c:pt>
                <c:pt idx="130">
                  <c:v>40324</c:v>
                </c:pt>
                <c:pt idx="131">
                  <c:v>40325</c:v>
                </c:pt>
                <c:pt idx="132">
                  <c:v>40326</c:v>
                </c:pt>
                <c:pt idx="133">
                  <c:v>40330</c:v>
                </c:pt>
                <c:pt idx="134">
                  <c:v>40331</c:v>
                </c:pt>
                <c:pt idx="135">
                  <c:v>40332</c:v>
                </c:pt>
                <c:pt idx="136">
                  <c:v>40333</c:v>
                </c:pt>
                <c:pt idx="137">
                  <c:v>40336</c:v>
                </c:pt>
                <c:pt idx="138">
                  <c:v>40337</c:v>
                </c:pt>
                <c:pt idx="139">
                  <c:v>40338</c:v>
                </c:pt>
                <c:pt idx="140">
                  <c:v>40339</c:v>
                </c:pt>
                <c:pt idx="141">
                  <c:v>40340</c:v>
                </c:pt>
                <c:pt idx="142">
                  <c:v>40343</c:v>
                </c:pt>
                <c:pt idx="143">
                  <c:v>40344</c:v>
                </c:pt>
                <c:pt idx="144">
                  <c:v>40345</c:v>
                </c:pt>
                <c:pt idx="145">
                  <c:v>40346</c:v>
                </c:pt>
                <c:pt idx="146">
                  <c:v>40347</c:v>
                </c:pt>
                <c:pt idx="147">
                  <c:v>40350</c:v>
                </c:pt>
                <c:pt idx="148">
                  <c:v>40351</c:v>
                </c:pt>
                <c:pt idx="149">
                  <c:v>40352</c:v>
                </c:pt>
                <c:pt idx="150">
                  <c:v>40353</c:v>
                </c:pt>
                <c:pt idx="151">
                  <c:v>40354</c:v>
                </c:pt>
                <c:pt idx="152">
                  <c:v>40357</c:v>
                </c:pt>
                <c:pt idx="153">
                  <c:v>40358</c:v>
                </c:pt>
                <c:pt idx="154">
                  <c:v>40359</c:v>
                </c:pt>
                <c:pt idx="155">
                  <c:v>40360</c:v>
                </c:pt>
                <c:pt idx="156">
                  <c:v>40361</c:v>
                </c:pt>
                <c:pt idx="157">
                  <c:v>40365</c:v>
                </c:pt>
                <c:pt idx="158">
                  <c:v>40366</c:v>
                </c:pt>
                <c:pt idx="159">
                  <c:v>40367</c:v>
                </c:pt>
                <c:pt idx="160">
                  <c:v>40368</c:v>
                </c:pt>
                <c:pt idx="161">
                  <c:v>40371</c:v>
                </c:pt>
                <c:pt idx="162">
                  <c:v>40372</c:v>
                </c:pt>
                <c:pt idx="163">
                  <c:v>40373</c:v>
                </c:pt>
                <c:pt idx="164">
                  <c:v>40374</c:v>
                </c:pt>
                <c:pt idx="165">
                  <c:v>40375</c:v>
                </c:pt>
                <c:pt idx="166">
                  <c:v>40378</c:v>
                </c:pt>
                <c:pt idx="167">
                  <c:v>40379</c:v>
                </c:pt>
                <c:pt idx="168">
                  <c:v>40380</c:v>
                </c:pt>
                <c:pt idx="169">
                  <c:v>40381</c:v>
                </c:pt>
                <c:pt idx="170">
                  <c:v>40382</c:v>
                </c:pt>
                <c:pt idx="171">
                  <c:v>40385</c:v>
                </c:pt>
                <c:pt idx="172">
                  <c:v>40386</c:v>
                </c:pt>
                <c:pt idx="173">
                  <c:v>40387</c:v>
                </c:pt>
                <c:pt idx="174">
                  <c:v>40388</c:v>
                </c:pt>
                <c:pt idx="175">
                  <c:v>40389</c:v>
                </c:pt>
                <c:pt idx="176">
                  <c:v>40392</c:v>
                </c:pt>
                <c:pt idx="177">
                  <c:v>40393</c:v>
                </c:pt>
                <c:pt idx="178">
                  <c:v>40394</c:v>
                </c:pt>
                <c:pt idx="179">
                  <c:v>40395</c:v>
                </c:pt>
                <c:pt idx="180">
                  <c:v>40396</c:v>
                </c:pt>
                <c:pt idx="181">
                  <c:v>40399</c:v>
                </c:pt>
                <c:pt idx="182">
                  <c:v>40400</c:v>
                </c:pt>
                <c:pt idx="183">
                  <c:v>40401</c:v>
                </c:pt>
                <c:pt idx="184">
                  <c:v>40402</c:v>
                </c:pt>
                <c:pt idx="185">
                  <c:v>40403</c:v>
                </c:pt>
                <c:pt idx="186">
                  <c:v>40406</c:v>
                </c:pt>
                <c:pt idx="187">
                  <c:v>40407</c:v>
                </c:pt>
                <c:pt idx="188">
                  <c:v>40408</c:v>
                </c:pt>
                <c:pt idx="189">
                  <c:v>40409</c:v>
                </c:pt>
                <c:pt idx="190">
                  <c:v>40410</c:v>
                </c:pt>
                <c:pt idx="191">
                  <c:v>40413</c:v>
                </c:pt>
                <c:pt idx="192">
                  <c:v>40414</c:v>
                </c:pt>
                <c:pt idx="193">
                  <c:v>40415</c:v>
                </c:pt>
                <c:pt idx="194">
                  <c:v>40416</c:v>
                </c:pt>
                <c:pt idx="195">
                  <c:v>40417</c:v>
                </c:pt>
                <c:pt idx="196">
                  <c:v>40420</c:v>
                </c:pt>
                <c:pt idx="197">
                  <c:v>40421</c:v>
                </c:pt>
                <c:pt idx="198">
                  <c:v>40422</c:v>
                </c:pt>
                <c:pt idx="199">
                  <c:v>40423</c:v>
                </c:pt>
                <c:pt idx="200">
                  <c:v>40424</c:v>
                </c:pt>
                <c:pt idx="201">
                  <c:v>40428</c:v>
                </c:pt>
                <c:pt idx="202">
                  <c:v>40429</c:v>
                </c:pt>
                <c:pt idx="203">
                  <c:v>40430</c:v>
                </c:pt>
                <c:pt idx="204">
                  <c:v>40431</c:v>
                </c:pt>
                <c:pt idx="205">
                  <c:v>40434</c:v>
                </c:pt>
                <c:pt idx="206">
                  <c:v>40435</c:v>
                </c:pt>
                <c:pt idx="207">
                  <c:v>40436</c:v>
                </c:pt>
                <c:pt idx="208">
                  <c:v>40437</c:v>
                </c:pt>
                <c:pt idx="209">
                  <c:v>40438</c:v>
                </c:pt>
                <c:pt idx="210">
                  <c:v>40441</c:v>
                </c:pt>
                <c:pt idx="211">
                  <c:v>40442</c:v>
                </c:pt>
                <c:pt idx="212">
                  <c:v>40443</c:v>
                </c:pt>
                <c:pt idx="213">
                  <c:v>40444</c:v>
                </c:pt>
                <c:pt idx="214">
                  <c:v>40445</c:v>
                </c:pt>
                <c:pt idx="215">
                  <c:v>40448</c:v>
                </c:pt>
                <c:pt idx="216">
                  <c:v>40449</c:v>
                </c:pt>
                <c:pt idx="217">
                  <c:v>40450</c:v>
                </c:pt>
                <c:pt idx="218">
                  <c:v>40451</c:v>
                </c:pt>
                <c:pt idx="219">
                  <c:v>40452</c:v>
                </c:pt>
                <c:pt idx="220">
                  <c:v>40455</c:v>
                </c:pt>
                <c:pt idx="221">
                  <c:v>40456</c:v>
                </c:pt>
                <c:pt idx="222">
                  <c:v>40457</c:v>
                </c:pt>
                <c:pt idx="223">
                  <c:v>40458</c:v>
                </c:pt>
                <c:pt idx="224">
                  <c:v>40459</c:v>
                </c:pt>
                <c:pt idx="225">
                  <c:v>40462</c:v>
                </c:pt>
                <c:pt idx="226">
                  <c:v>40463</c:v>
                </c:pt>
                <c:pt idx="227">
                  <c:v>40464</c:v>
                </c:pt>
                <c:pt idx="228">
                  <c:v>40465</c:v>
                </c:pt>
                <c:pt idx="229">
                  <c:v>40466</c:v>
                </c:pt>
                <c:pt idx="230">
                  <c:v>40469</c:v>
                </c:pt>
                <c:pt idx="231">
                  <c:v>40470</c:v>
                </c:pt>
                <c:pt idx="232">
                  <c:v>40471</c:v>
                </c:pt>
                <c:pt idx="233">
                  <c:v>40472</c:v>
                </c:pt>
                <c:pt idx="234">
                  <c:v>40473</c:v>
                </c:pt>
                <c:pt idx="235">
                  <c:v>40476</c:v>
                </c:pt>
                <c:pt idx="236">
                  <c:v>40477</c:v>
                </c:pt>
                <c:pt idx="237">
                  <c:v>40478</c:v>
                </c:pt>
                <c:pt idx="238">
                  <c:v>40479</c:v>
                </c:pt>
                <c:pt idx="239">
                  <c:v>40480</c:v>
                </c:pt>
                <c:pt idx="240">
                  <c:v>40483</c:v>
                </c:pt>
                <c:pt idx="241">
                  <c:v>40484</c:v>
                </c:pt>
                <c:pt idx="242">
                  <c:v>40485</c:v>
                </c:pt>
                <c:pt idx="243">
                  <c:v>40486</c:v>
                </c:pt>
                <c:pt idx="244">
                  <c:v>40487</c:v>
                </c:pt>
                <c:pt idx="245">
                  <c:v>40490</c:v>
                </c:pt>
                <c:pt idx="246">
                  <c:v>40491</c:v>
                </c:pt>
                <c:pt idx="247">
                  <c:v>40492</c:v>
                </c:pt>
                <c:pt idx="248">
                  <c:v>40493</c:v>
                </c:pt>
                <c:pt idx="249">
                  <c:v>40494</c:v>
                </c:pt>
                <c:pt idx="250">
                  <c:v>40497</c:v>
                </c:pt>
                <c:pt idx="251">
                  <c:v>40498</c:v>
                </c:pt>
                <c:pt idx="252">
                  <c:v>40499</c:v>
                </c:pt>
                <c:pt idx="253">
                  <c:v>40500</c:v>
                </c:pt>
                <c:pt idx="254">
                  <c:v>40501</c:v>
                </c:pt>
                <c:pt idx="255">
                  <c:v>40504</c:v>
                </c:pt>
                <c:pt idx="256">
                  <c:v>40505</c:v>
                </c:pt>
                <c:pt idx="257">
                  <c:v>40506</c:v>
                </c:pt>
                <c:pt idx="258">
                  <c:v>40508</c:v>
                </c:pt>
                <c:pt idx="259">
                  <c:v>40511</c:v>
                </c:pt>
                <c:pt idx="260">
                  <c:v>40512</c:v>
                </c:pt>
                <c:pt idx="261">
                  <c:v>40513</c:v>
                </c:pt>
                <c:pt idx="262">
                  <c:v>40514</c:v>
                </c:pt>
                <c:pt idx="263">
                  <c:v>40515</c:v>
                </c:pt>
                <c:pt idx="264">
                  <c:v>40518</c:v>
                </c:pt>
                <c:pt idx="265">
                  <c:v>40519</c:v>
                </c:pt>
                <c:pt idx="266">
                  <c:v>40520</c:v>
                </c:pt>
                <c:pt idx="267">
                  <c:v>40521</c:v>
                </c:pt>
                <c:pt idx="268">
                  <c:v>40522</c:v>
                </c:pt>
                <c:pt idx="269">
                  <c:v>40525</c:v>
                </c:pt>
                <c:pt idx="270">
                  <c:v>40526</c:v>
                </c:pt>
                <c:pt idx="271">
                  <c:v>40527</c:v>
                </c:pt>
                <c:pt idx="272">
                  <c:v>40528</c:v>
                </c:pt>
                <c:pt idx="273">
                  <c:v>40529</c:v>
                </c:pt>
                <c:pt idx="274">
                  <c:v>40532</c:v>
                </c:pt>
                <c:pt idx="275">
                  <c:v>40533</c:v>
                </c:pt>
                <c:pt idx="276">
                  <c:v>40534</c:v>
                </c:pt>
                <c:pt idx="277">
                  <c:v>40535</c:v>
                </c:pt>
                <c:pt idx="278">
                  <c:v>40539</c:v>
                </c:pt>
                <c:pt idx="279">
                  <c:v>40540</c:v>
                </c:pt>
                <c:pt idx="280">
                  <c:v>40541</c:v>
                </c:pt>
                <c:pt idx="281">
                  <c:v>40542</c:v>
                </c:pt>
                <c:pt idx="282">
                  <c:v>40543</c:v>
                </c:pt>
                <c:pt idx="283">
                  <c:v>40546</c:v>
                </c:pt>
                <c:pt idx="284">
                  <c:v>40547</c:v>
                </c:pt>
                <c:pt idx="285">
                  <c:v>40548</c:v>
                </c:pt>
                <c:pt idx="286">
                  <c:v>40549</c:v>
                </c:pt>
                <c:pt idx="287">
                  <c:v>40550</c:v>
                </c:pt>
                <c:pt idx="288">
                  <c:v>40553</c:v>
                </c:pt>
                <c:pt idx="289">
                  <c:v>40554</c:v>
                </c:pt>
                <c:pt idx="290">
                  <c:v>40555</c:v>
                </c:pt>
                <c:pt idx="291">
                  <c:v>40556</c:v>
                </c:pt>
                <c:pt idx="292">
                  <c:v>40557</c:v>
                </c:pt>
                <c:pt idx="293">
                  <c:v>40561</c:v>
                </c:pt>
                <c:pt idx="294">
                  <c:v>40562</c:v>
                </c:pt>
                <c:pt idx="295">
                  <c:v>40563</c:v>
                </c:pt>
                <c:pt idx="296">
                  <c:v>40564</c:v>
                </c:pt>
                <c:pt idx="297">
                  <c:v>40567</c:v>
                </c:pt>
                <c:pt idx="298">
                  <c:v>40568</c:v>
                </c:pt>
                <c:pt idx="299">
                  <c:v>40569</c:v>
                </c:pt>
                <c:pt idx="300">
                  <c:v>40570</c:v>
                </c:pt>
                <c:pt idx="301">
                  <c:v>40571</c:v>
                </c:pt>
                <c:pt idx="302">
                  <c:v>40574</c:v>
                </c:pt>
                <c:pt idx="303">
                  <c:v>40575</c:v>
                </c:pt>
                <c:pt idx="304">
                  <c:v>40576</c:v>
                </c:pt>
                <c:pt idx="305">
                  <c:v>40577</c:v>
                </c:pt>
                <c:pt idx="306">
                  <c:v>40578</c:v>
                </c:pt>
                <c:pt idx="307">
                  <c:v>40581</c:v>
                </c:pt>
                <c:pt idx="308">
                  <c:v>40582</c:v>
                </c:pt>
                <c:pt idx="309">
                  <c:v>40583</c:v>
                </c:pt>
                <c:pt idx="310">
                  <c:v>40584</c:v>
                </c:pt>
                <c:pt idx="311">
                  <c:v>40585</c:v>
                </c:pt>
                <c:pt idx="312">
                  <c:v>40588</c:v>
                </c:pt>
                <c:pt idx="313">
                  <c:v>40589</c:v>
                </c:pt>
                <c:pt idx="314">
                  <c:v>40590</c:v>
                </c:pt>
                <c:pt idx="315">
                  <c:v>40591</c:v>
                </c:pt>
                <c:pt idx="316">
                  <c:v>40592</c:v>
                </c:pt>
                <c:pt idx="317">
                  <c:v>40596</c:v>
                </c:pt>
                <c:pt idx="318">
                  <c:v>40597</c:v>
                </c:pt>
                <c:pt idx="319">
                  <c:v>40598</c:v>
                </c:pt>
                <c:pt idx="320">
                  <c:v>40599</c:v>
                </c:pt>
                <c:pt idx="321">
                  <c:v>40602</c:v>
                </c:pt>
                <c:pt idx="322">
                  <c:v>40603</c:v>
                </c:pt>
                <c:pt idx="323">
                  <c:v>40604</c:v>
                </c:pt>
                <c:pt idx="324">
                  <c:v>40605</c:v>
                </c:pt>
                <c:pt idx="325">
                  <c:v>40606</c:v>
                </c:pt>
                <c:pt idx="326">
                  <c:v>40609</c:v>
                </c:pt>
                <c:pt idx="327">
                  <c:v>40610</c:v>
                </c:pt>
                <c:pt idx="328">
                  <c:v>40611</c:v>
                </c:pt>
                <c:pt idx="329">
                  <c:v>40612</c:v>
                </c:pt>
                <c:pt idx="330">
                  <c:v>40613</c:v>
                </c:pt>
                <c:pt idx="331">
                  <c:v>40616</c:v>
                </c:pt>
                <c:pt idx="332">
                  <c:v>40617</c:v>
                </c:pt>
                <c:pt idx="333">
                  <c:v>40618</c:v>
                </c:pt>
                <c:pt idx="334">
                  <c:v>40619</c:v>
                </c:pt>
                <c:pt idx="335">
                  <c:v>40620</c:v>
                </c:pt>
                <c:pt idx="336">
                  <c:v>40623</c:v>
                </c:pt>
                <c:pt idx="337">
                  <c:v>40624</c:v>
                </c:pt>
                <c:pt idx="338">
                  <c:v>40625</c:v>
                </c:pt>
                <c:pt idx="339">
                  <c:v>40626</c:v>
                </c:pt>
                <c:pt idx="340">
                  <c:v>40627</c:v>
                </c:pt>
                <c:pt idx="341">
                  <c:v>40630</c:v>
                </c:pt>
                <c:pt idx="342">
                  <c:v>40631</c:v>
                </c:pt>
                <c:pt idx="343">
                  <c:v>40632</c:v>
                </c:pt>
                <c:pt idx="344">
                  <c:v>40633</c:v>
                </c:pt>
                <c:pt idx="345">
                  <c:v>40634</c:v>
                </c:pt>
                <c:pt idx="346">
                  <c:v>40637</c:v>
                </c:pt>
                <c:pt idx="347">
                  <c:v>40638</c:v>
                </c:pt>
                <c:pt idx="348">
                  <c:v>40639</c:v>
                </c:pt>
                <c:pt idx="349">
                  <c:v>40640</c:v>
                </c:pt>
                <c:pt idx="350">
                  <c:v>40641</c:v>
                </c:pt>
                <c:pt idx="351">
                  <c:v>40644</c:v>
                </c:pt>
                <c:pt idx="352">
                  <c:v>40645</c:v>
                </c:pt>
                <c:pt idx="353">
                  <c:v>40646</c:v>
                </c:pt>
                <c:pt idx="354">
                  <c:v>40647</c:v>
                </c:pt>
                <c:pt idx="355">
                  <c:v>40648</c:v>
                </c:pt>
                <c:pt idx="356">
                  <c:v>40651</c:v>
                </c:pt>
                <c:pt idx="357">
                  <c:v>40652</c:v>
                </c:pt>
                <c:pt idx="358">
                  <c:v>40653</c:v>
                </c:pt>
                <c:pt idx="359">
                  <c:v>40654</c:v>
                </c:pt>
                <c:pt idx="360">
                  <c:v>40658</c:v>
                </c:pt>
                <c:pt idx="361">
                  <c:v>40659</c:v>
                </c:pt>
                <c:pt idx="362">
                  <c:v>40660</c:v>
                </c:pt>
                <c:pt idx="363">
                  <c:v>40661</c:v>
                </c:pt>
                <c:pt idx="364">
                  <c:v>40662</c:v>
                </c:pt>
                <c:pt idx="365">
                  <c:v>40665</c:v>
                </c:pt>
                <c:pt idx="366">
                  <c:v>40666</c:v>
                </c:pt>
                <c:pt idx="367">
                  <c:v>40667</c:v>
                </c:pt>
                <c:pt idx="368">
                  <c:v>40668</c:v>
                </c:pt>
                <c:pt idx="369">
                  <c:v>40669</c:v>
                </c:pt>
                <c:pt idx="370">
                  <c:v>40672</c:v>
                </c:pt>
                <c:pt idx="371">
                  <c:v>40673</c:v>
                </c:pt>
                <c:pt idx="372">
                  <c:v>40674</c:v>
                </c:pt>
                <c:pt idx="373">
                  <c:v>40675</c:v>
                </c:pt>
                <c:pt idx="374">
                  <c:v>40676</c:v>
                </c:pt>
                <c:pt idx="375">
                  <c:v>40679</c:v>
                </c:pt>
                <c:pt idx="376">
                  <c:v>40680</c:v>
                </c:pt>
                <c:pt idx="377">
                  <c:v>40681</c:v>
                </c:pt>
                <c:pt idx="378">
                  <c:v>40682</c:v>
                </c:pt>
                <c:pt idx="379">
                  <c:v>40683</c:v>
                </c:pt>
                <c:pt idx="380">
                  <c:v>40686</c:v>
                </c:pt>
                <c:pt idx="381">
                  <c:v>40687</c:v>
                </c:pt>
                <c:pt idx="382">
                  <c:v>40688</c:v>
                </c:pt>
                <c:pt idx="383">
                  <c:v>40689</c:v>
                </c:pt>
                <c:pt idx="384">
                  <c:v>40690</c:v>
                </c:pt>
                <c:pt idx="385">
                  <c:v>40694</c:v>
                </c:pt>
                <c:pt idx="386">
                  <c:v>40695</c:v>
                </c:pt>
                <c:pt idx="387">
                  <c:v>40696</c:v>
                </c:pt>
                <c:pt idx="388">
                  <c:v>40697</c:v>
                </c:pt>
                <c:pt idx="389">
                  <c:v>40700</c:v>
                </c:pt>
                <c:pt idx="390">
                  <c:v>40701</c:v>
                </c:pt>
                <c:pt idx="391">
                  <c:v>40702</c:v>
                </c:pt>
                <c:pt idx="392">
                  <c:v>40703</c:v>
                </c:pt>
                <c:pt idx="393">
                  <c:v>40704</c:v>
                </c:pt>
                <c:pt idx="394">
                  <c:v>40707</c:v>
                </c:pt>
                <c:pt idx="395">
                  <c:v>40708</c:v>
                </c:pt>
                <c:pt idx="396">
                  <c:v>40709</c:v>
                </c:pt>
                <c:pt idx="397">
                  <c:v>40710</c:v>
                </c:pt>
                <c:pt idx="398">
                  <c:v>40711</c:v>
                </c:pt>
                <c:pt idx="399">
                  <c:v>40714</c:v>
                </c:pt>
                <c:pt idx="400">
                  <c:v>40715</c:v>
                </c:pt>
                <c:pt idx="401">
                  <c:v>40716</c:v>
                </c:pt>
                <c:pt idx="402">
                  <c:v>40717</c:v>
                </c:pt>
                <c:pt idx="403">
                  <c:v>40718</c:v>
                </c:pt>
                <c:pt idx="404">
                  <c:v>40721</c:v>
                </c:pt>
                <c:pt idx="405">
                  <c:v>40722</c:v>
                </c:pt>
                <c:pt idx="406">
                  <c:v>40723</c:v>
                </c:pt>
                <c:pt idx="407">
                  <c:v>40724</c:v>
                </c:pt>
                <c:pt idx="408">
                  <c:v>40725</c:v>
                </c:pt>
                <c:pt idx="409">
                  <c:v>40729</c:v>
                </c:pt>
                <c:pt idx="410">
                  <c:v>40730</c:v>
                </c:pt>
                <c:pt idx="411">
                  <c:v>40731</c:v>
                </c:pt>
                <c:pt idx="412">
                  <c:v>40732</c:v>
                </c:pt>
                <c:pt idx="413">
                  <c:v>40735</c:v>
                </c:pt>
                <c:pt idx="414">
                  <c:v>40736</c:v>
                </c:pt>
                <c:pt idx="415">
                  <c:v>40737</c:v>
                </c:pt>
                <c:pt idx="416">
                  <c:v>40738</c:v>
                </c:pt>
                <c:pt idx="417">
                  <c:v>40739</c:v>
                </c:pt>
                <c:pt idx="418">
                  <c:v>40742</c:v>
                </c:pt>
                <c:pt idx="419">
                  <c:v>40743</c:v>
                </c:pt>
                <c:pt idx="420">
                  <c:v>40744</c:v>
                </c:pt>
                <c:pt idx="421">
                  <c:v>40745</c:v>
                </c:pt>
                <c:pt idx="422">
                  <c:v>40746</c:v>
                </c:pt>
                <c:pt idx="423">
                  <c:v>40749</c:v>
                </c:pt>
                <c:pt idx="424">
                  <c:v>40750</c:v>
                </c:pt>
                <c:pt idx="425">
                  <c:v>40751</c:v>
                </c:pt>
                <c:pt idx="426">
                  <c:v>40752</c:v>
                </c:pt>
                <c:pt idx="427">
                  <c:v>40753</c:v>
                </c:pt>
                <c:pt idx="428">
                  <c:v>40756</c:v>
                </c:pt>
                <c:pt idx="429">
                  <c:v>40757</c:v>
                </c:pt>
                <c:pt idx="430">
                  <c:v>40758</c:v>
                </c:pt>
                <c:pt idx="431">
                  <c:v>40759</c:v>
                </c:pt>
                <c:pt idx="432">
                  <c:v>40760</c:v>
                </c:pt>
                <c:pt idx="433">
                  <c:v>40763</c:v>
                </c:pt>
                <c:pt idx="434">
                  <c:v>40764</c:v>
                </c:pt>
                <c:pt idx="435">
                  <c:v>40765</c:v>
                </c:pt>
                <c:pt idx="436">
                  <c:v>40766</c:v>
                </c:pt>
                <c:pt idx="437">
                  <c:v>40767</c:v>
                </c:pt>
                <c:pt idx="438">
                  <c:v>40770</c:v>
                </c:pt>
                <c:pt idx="439">
                  <c:v>40771</c:v>
                </c:pt>
                <c:pt idx="440">
                  <c:v>40772</c:v>
                </c:pt>
                <c:pt idx="441">
                  <c:v>40773</c:v>
                </c:pt>
                <c:pt idx="442">
                  <c:v>40774</c:v>
                </c:pt>
                <c:pt idx="443">
                  <c:v>40777</c:v>
                </c:pt>
                <c:pt idx="444">
                  <c:v>40778</c:v>
                </c:pt>
                <c:pt idx="445">
                  <c:v>40779</c:v>
                </c:pt>
                <c:pt idx="446">
                  <c:v>40780</c:v>
                </c:pt>
                <c:pt idx="447">
                  <c:v>40781</c:v>
                </c:pt>
                <c:pt idx="448">
                  <c:v>40784</c:v>
                </c:pt>
                <c:pt idx="449">
                  <c:v>40785</c:v>
                </c:pt>
                <c:pt idx="450">
                  <c:v>40786</c:v>
                </c:pt>
                <c:pt idx="451">
                  <c:v>40787</c:v>
                </c:pt>
                <c:pt idx="452">
                  <c:v>40788</c:v>
                </c:pt>
                <c:pt idx="453">
                  <c:v>40792</c:v>
                </c:pt>
                <c:pt idx="454">
                  <c:v>40793</c:v>
                </c:pt>
                <c:pt idx="455">
                  <c:v>40794</c:v>
                </c:pt>
                <c:pt idx="456">
                  <c:v>40795</c:v>
                </c:pt>
                <c:pt idx="457">
                  <c:v>40798</c:v>
                </c:pt>
                <c:pt idx="458">
                  <c:v>40799</c:v>
                </c:pt>
                <c:pt idx="459">
                  <c:v>40800</c:v>
                </c:pt>
                <c:pt idx="460">
                  <c:v>40801</c:v>
                </c:pt>
                <c:pt idx="461">
                  <c:v>40802</c:v>
                </c:pt>
                <c:pt idx="462">
                  <c:v>40805</c:v>
                </c:pt>
                <c:pt idx="463">
                  <c:v>40806</c:v>
                </c:pt>
                <c:pt idx="464">
                  <c:v>40807</c:v>
                </c:pt>
                <c:pt idx="465">
                  <c:v>40808</c:v>
                </c:pt>
                <c:pt idx="466">
                  <c:v>40809</c:v>
                </c:pt>
                <c:pt idx="467">
                  <c:v>40812</c:v>
                </c:pt>
                <c:pt idx="468">
                  <c:v>40813</c:v>
                </c:pt>
                <c:pt idx="469">
                  <c:v>40814</c:v>
                </c:pt>
                <c:pt idx="470">
                  <c:v>40815</c:v>
                </c:pt>
                <c:pt idx="471">
                  <c:v>40816</c:v>
                </c:pt>
                <c:pt idx="472">
                  <c:v>40819</c:v>
                </c:pt>
                <c:pt idx="473">
                  <c:v>40820</c:v>
                </c:pt>
                <c:pt idx="474">
                  <c:v>40821</c:v>
                </c:pt>
                <c:pt idx="475">
                  <c:v>40822</c:v>
                </c:pt>
                <c:pt idx="476">
                  <c:v>40823</c:v>
                </c:pt>
                <c:pt idx="477">
                  <c:v>40826</c:v>
                </c:pt>
                <c:pt idx="478">
                  <c:v>40827</c:v>
                </c:pt>
                <c:pt idx="479">
                  <c:v>40828</c:v>
                </c:pt>
                <c:pt idx="480">
                  <c:v>40829</c:v>
                </c:pt>
                <c:pt idx="481">
                  <c:v>40830</c:v>
                </c:pt>
                <c:pt idx="482">
                  <c:v>40833</c:v>
                </c:pt>
                <c:pt idx="483">
                  <c:v>40834</c:v>
                </c:pt>
                <c:pt idx="484">
                  <c:v>40835</c:v>
                </c:pt>
                <c:pt idx="485">
                  <c:v>40836</c:v>
                </c:pt>
                <c:pt idx="486">
                  <c:v>40837</c:v>
                </c:pt>
                <c:pt idx="487">
                  <c:v>40840</c:v>
                </c:pt>
                <c:pt idx="488">
                  <c:v>40841</c:v>
                </c:pt>
                <c:pt idx="489">
                  <c:v>40842</c:v>
                </c:pt>
                <c:pt idx="490">
                  <c:v>40843</c:v>
                </c:pt>
                <c:pt idx="491">
                  <c:v>40844</c:v>
                </c:pt>
                <c:pt idx="492">
                  <c:v>40847</c:v>
                </c:pt>
                <c:pt idx="493">
                  <c:v>40848</c:v>
                </c:pt>
                <c:pt idx="494">
                  <c:v>40849</c:v>
                </c:pt>
                <c:pt idx="495">
                  <c:v>40850</c:v>
                </c:pt>
                <c:pt idx="496">
                  <c:v>40851</c:v>
                </c:pt>
                <c:pt idx="497">
                  <c:v>40854</c:v>
                </c:pt>
                <c:pt idx="498">
                  <c:v>40855</c:v>
                </c:pt>
                <c:pt idx="499">
                  <c:v>40856</c:v>
                </c:pt>
                <c:pt idx="500">
                  <c:v>40857</c:v>
                </c:pt>
                <c:pt idx="501">
                  <c:v>40858</c:v>
                </c:pt>
                <c:pt idx="502">
                  <c:v>40861</c:v>
                </c:pt>
                <c:pt idx="503">
                  <c:v>40862</c:v>
                </c:pt>
                <c:pt idx="504">
                  <c:v>40863</c:v>
                </c:pt>
                <c:pt idx="505">
                  <c:v>40864</c:v>
                </c:pt>
                <c:pt idx="506">
                  <c:v>40865</c:v>
                </c:pt>
                <c:pt idx="507">
                  <c:v>40868</c:v>
                </c:pt>
                <c:pt idx="508">
                  <c:v>40869</c:v>
                </c:pt>
                <c:pt idx="509">
                  <c:v>40870</c:v>
                </c:pt>
                <c:pt idx="510">
                  <c:v>40872</c:v>
                </c:pt>
                <c:pt idx="511">
                  <c:v>40875</c:v>
                </c:pt>
                <c:pt idx="512">
                  <c:v>40876</c:v>
                </c:pt>
                <c:pt idx="513">
                  <c:v>40877</c:v>
                </c:pt>
                <c:pt idx="514">
                  <c:v>40878</c:v>
                </c:pt>
                <c:pt idx="515">
                  <c:v>40879</c:v>
                </c:pt>
                <c:pt idx="516">
                  <c:v>40882</c:v>
                </c:pt>
                <c:pt idx="517">
                  <c:v>40883</c:v>
                </c:pt>
                <c:pt idx="518">
                  <c:v>40884</c:v>
                </c:pt>
                <c:pt idx="519">
                  <c:v>40885</c:v>
                </c:pt>
                <c:pt idx="520">
                  <c:v>40886</c:v>
                </c:pt>
                <c:pt idx="521">
                  <c:v>40889</c:v>
                </c:pt>
                <c:pt idx="522">
                  <c:v>40890</c:v>
                </c:pt>
                <c:pt idx="523">
                  <c:v>40891</c:v>
                </c:pt>
                <c:pt idx="524">
                  <c:v>40892</c:v>
                </c:pt>
                <c:pt idx="525">
                  <c:v>40893</c:v>
                </c:pt>
                <c:pt idx="526">
                  <c:v>40896</c:v>
                </c:pt>
                <c:pt idx="527">
                  <c:v>40897</c:v>
                </c:pt>
                <c:pt idx="528">
                  <c:v>40898</c:v>
                </c:pt>
                <c:pt idx="529">
                  <c:v>40899</c:v>
                </c:pt>
                <c:pt idx="530">
                  <c:v>40900</c:v>
                </c:pt>
                <c:pt idx="531">
                  <c:v>40904</c:v>
                </c:pt>
                <c:pt idx="532">
                  <c:v>40905</c:v>
                </c:pt>
                <c:pt idx="533">
                  <c:v>40906</c:v>
                </c:pt>
                <c:pt idx="534">
                  <c:v>40907</c:v>
                </c:pt>
                <c:pt idx="535">
                  <c:v>40911</c:v>
                </c:pt>
                <c:pt idx="536">
                  <c:v>40912</c:v>
                </c:pt>
                <c:pt idx="537">
                  <c:v>40913</c:v>
                </c:pt>
                <c:pt idx="538">
                  <c:v>40914</c:v>
                </c:pt>
                <c:pt idx="539">
                  <c:v>40917</c:v>
                </c:pt>
                <c:pt idx="540">
                  <c:v>40918</c:v>
                </c:pt>
                <c:pt idx="541">
                  <c:v>40919</c:v>
                </c:pt>
                <c:pt idx="542">
                  <c:v>40920</c:v>
                </c:pt>
                <c:pt idx="543">
                  <c:v>40921</c:v>
                </c:pt>
                <c:pt idx="544">
                  <c:v>40925</c:v>
                </c:pt>
                <c:pt idx="545">
                  <c:v>40926</c:v>
                </c:pt>
                <c:pt idx="546">
                  <c:v>40927</c:v>
                </c:pt>
                <c:pt idx="547">
                  <c:v>40928</c:v>
                </c:pt>
                <c:pt idx="548">
                  <c:v>40931</c:v>
                </c:pt>
                <c:pt idx="549">
                  <c:v>40932</c:v>
                </c:pt>
                <c:pt idx="550">
                  <c:v>40933</c:v>
                </c:pt>
                <c:pt idx="551">
                  <c:v>40934</c:v>
                </c:pt>
                <c:pt idx="552">
                  <c:v>40935</c:v>
                </c:pt>
                <c:pt idx="553">
                  <c:v>40938</c:v>
                </c:pt>
                <c:pt idx="554">
                  <c:v>40939</c:v>
                </c:pt>
                <c:pt idx="555">
                  <c:v>40940</c:v>
                </c:pt>
                <c:pt idx="556">
                  <c:v>40941</c:v>
                </c:pt>
                <c:pt idx="557">
                  <c:v>40942</c:v>
                </c:pt>
                <c:pt idx="558">
                  <c:v>40945</c:v>
                </c:pt>
                <c:pt idx="559">
                  <c:v>40946</c:v>
                </c:pt>
                <c:pt idx="560">
                  <c:v>40947</c:v>
                </c:pt>
                <c:pt idx="561">
                  <c:v>40948</c:v>
                </c:pt>
                <c:pt idx="562">
                  <c:v>40949</c:v>
                </c:pt>
                <c:pt idx="563">
                  <c:v>40952</c:v>
                </c:pt>
                <c:pt idx="564">
                  <c:v>40953</c:v>
                </c:pt>
                <c:pt idx="565">
                  <c:v>40954</c:v>
                </c:pt>
                <c:pt idx="566">
                  <c:v>40955</c:v>
                </c:pt>
                <c:pt idx="567">
                  <c:v>40956</c:v>
                </c:pt>
                <c:pt idx="568">
                  <c:v>40960</c:v>
                </c:pt>
                <c:pt idx="569">
                  <c:v>40961</c:v>
                </c:pt>
                <c:pt idx="570">
                  <c:v>40962</c:v>
                </c:pt>
                <c:pt idx="571">
                  <c:v>40963</c:v>
                </c:pt>
                <c:pt idx="572">
                  <c:v>40966</c:v>
                </c:pt>
                <c:pt idx="573">
                  <c:v>40967</c:v>
                </c:pt>
                <c:pt idx="574">
                  <c:v>40968</c:v>
                </c:pt>
                <c:pt idx="575">
                  <c:v>40969</c:v>
                </c:pt>
                <c:pt idx="576">
                  <c:v>40970</c:v>
                </c:pt>
                <c:pt idx="577">
                  <c:v>40973</c:v>
                </c:pt>
                <c:pt idx="578">
                  <c:v>40974</c:v>
                </c:pt>
                <c:pt idx="579">
                  <c:v>40975</c:v>
                </c:pt>
                <c:pt idx="580">
                  <c:v>40976</c:v>
                </c:pt>
                <c:pt idx="581">
                  <c:v>40977</c:v>
                </c:pt>
                <c:pt idx="582">
                  <c:v>40980</c:v>
                </c:pt>
                <c:pt idx="583">
                  <c:v>40981</c:v>
                </c:pt>
                <c:pt idx="584">
                  <c:v>40982</c:v>
                </c:pt>
                <c:pt idx="585">
                  <c:v>40983</c:v>
                </c:pt>
                <c:pt idx="586">
                  <c:v>40984</c:v>
                </c:pt>
                <c:pt idx="587">
                  <c:v>40987</c:v>
                </c:pt>
                <c:pt idx="588">
                  <c:v>40988</c:v>
                </c:pt>
                <c:pt idx="589">
                  <c:v>40989</c:v>
                </c:pt>
                <c:pt idx="590">
                  <c:v>40990</c:v>
                </c:pt>
                <c:pt idx="591">
                  <c:v>40991</c:v>
                </c:pt>
                <c:pt idx="592">
                  <c:v>40994</c:v>
                </c:pt>
                <c:pt idx="593">
                  <c:v>40995</c:v>
                </c:pt>
                <c:pt idx="594">
                  <c:v>40996</c:v>
                </c:pt>
                <c:pt idx="595">
                  <c:v>40997</c:v>
                </c:pt>
                <c:pt idx="596">
                  <c:v>40998</c:v>
                </c:pt>
                <c:pt idx="597">
                  <c:v>41001</c:v>
                </c:pt>
                <c:pt idx="598">
                  <c:v>41002</c:v>
                </c:pt>
                <c:pt idx="599">
                  <c:v>41003</c:v>
                </c:pt>
                <c:pt idx="600">
                  <c:v>41004</c:v>
                </c:pt>
                <c:pt idx="601">
                  <c:v>41008</c:v>
                </c:pt>
                <c:pt idx="602">
                  <c:v>41009</c:v>
                </c:pt>
                <c:pt idx="603">
                  <c:v>41010</c:v>
                </c:pt>
                <c:pt idx="604">
                  <c:v>41011</c:v>
                </c:pt>
                <c:pt idx="605">
                  <c:v>41012</c:v>
                </c:pt>
                <c:pt idx="606">
                  <c:v>41015</c:v>
                </c:pt>
                <c:pt idx="607">
                  <c:v>41016</c:v>
                </c:pt>
                <c:pt idx="608">
                  <c:v>41017</c:v>
                </c:pt>
                <c:pt idx="609">
                  <c:v>41018</c:v>
                </c:pt>
                <c:pt idx="610">
                  <c:v>41019</c:v>
                </c:pt>
                <c:pt idx="611">
                  <c:v>41022</c:v>
                </c:pt>
                <c:pt idx="612">
                  <c:v>41023</c:v>
                </c:pt>
                <c:pt idx="613">
                  <c:v>41024</c:v>
                </c:pt>
                <c:pt idx="614">
                  <c:v>41025</c:v>
                </c:pt>
                <c:pt idx="615">
                  <c:v>41026</c:v>
                </c:pt>
                <c:pt idx="616">
                  <c:v>41029</c:v>
                </c:pt>
                <c:pt idx="617">
                  <c:v>41030</c:v>
                </c:pt>
                <c:pt idx="618">
                  <c:v>41031</c:v>
                </c:pt>
                <c:pt idx="619">
                  <c:v>41032</c:v>
                </c:pt>
                <c:pt idx="620">
                  <c:v>41033</c:v>
                </c:pt>
                <c:pt idx="621">
                  <c:v>41036</c:v>
                </c:pt>
                <c:pt idx="622">
                  <c:v>41037</c:v>
                </c:pt>
                <c:pt idx="623">
                  <c:v>41038</c:v>
                </c:pt>
                <c:pt idx="624">
                  <c:v>41039</c:v>
                </c:pt>
                <c:pt idx="625">
                  <c:v>41040</c:v>
                </c:pt>
                <c:pt idx="626">
                  <c:v>41043</c:v>
                </c:pt>
                <c:pt idx="627">
                  <c:v>41044</c:v>
                </c:pt>
                <c:pt idx="628">
                  <c:v>41045</c:v>
                </c:pt>
                <c:pt idx="629">
                  <c:v>41046</c:v>
                </c:pt>
                <c:pt idx="630">
                  <c:v>41047</c:v>
                </c:pt>
                <c:pt idx="631">
                  <c:v>41050</c:v>
                </c:pt>
                <c:pt idx="632">
                  <c:v>41051</c:v>
                </c:pt>
                <c:pt idx="633">
                  <c:v>41052</c:v>
                </c:pt>
                <c:pt idx="634">
                  <c:v>41053</c:v>
                </c:pt>
                <c:pt idx="635">
                  <c:v>41054</c:v>
                </c:pt>
                <c:pt idx="636">
                  <c:v>41058</c:v>
                </c:pt>
                <c:pt idx="637">
                  <c:v>41059</c:v>
                </c:pt>
                <c:pt idx="638">
                  <c:v>41060</c:v>
                </c:pt>
                <c:pt idx="639">
                  <c:v>41061</c:v>
                </c:pt>
                <c:pt idx="640">
                  <c:v>41064</c:v>
                </c:pt>
                <c:pt idx="641">
                  <c:v>41065</c:v>
                </c:pt>
                <c:pt idx="642">
                  <c:v>41066</c:v>
                </c:pt>
                <c:pt idx="643">
                  <c:v>41067</c:v>
                </c:pt>
                <c:pt idx="644">
                  <c:v>41068</c:v>
                </c:pt>
                <c:pt idx="645">
                  <c:v>41071</c:v>
                </c:pt>
                <c:pt idx="646">
                  <c:v>41072</c:v>
                </c:pt>
                <c:pt idx="647">
                  <c:v>41073</c:v>
                </c:pt>
                <c:pt idx="648">
                  <c:v>41074</c:v>
                </c:pt>
                <c:pt idx="649">
                  <c:v>41075</c:v>
                </c:pt>
                <c:pt idx="650">
                  <c:v>41078</c:v>
                </c:pt>
                <c:pt idx="651">
                  <c:v>41079</c:v>
                </c:pt>
                <c:pt idx="652">
                  <c:v>41080</c:v>
                </c:pt>
                <c:pt idx="653">
                  <c:v>41081</c:v>
                </c:pt>
                <c:pt idx="654">
                  <c:v>41082</c:v>
                </c:pt>
                <c:pt idx="655">
                  <c:v>41085</c:v>
                </c:pt>
                <c:pt idx="656">
                  <c:v>41086</c:v>
                </c:pt>
                <c:pt idx="657">
                  <c:v>41087</c:v>
                </c:pt>
                <c:pt idx="658">
                  <c:v>41088</c:v>
                </c:pt>
                <c:pt idx="659">
                  <c:v>41089</c:v>
                </c:pt>
                <c:pt idx="660">
                  <c:v>41092</c:v>
                </c:pt>
                <c:pt idx="661">
                  <c:v>41093</c:v>
                </c:pt>
                <c:pt idx="662">
                  <c:v>41095</c:v>
                </c:pt>
                <c:pt idx="663">
                  <c:v>41096</c:v>
                </c:pt>
                <c:pt idx="664">
                  <c:v>41099</c:v>
                </c:pt>
                <c:pt idx="665">
                  <c:v>41100</c:v>
                </c:pt>
                <c:pt idx="666">
                  <c:v>41101</c:v>
                </c:pt>
                <c:pt idx="667">
                  <c:v>41102</c:v>
                </c:pt>
                <c:pt idx="668">
                  <c:v>41103</c:v>
                </c:pt>
                <c:pt idx="669">
                  <c:v>41106</c:v>
                </c:pt>
                <c:pt idx="670">
                  <c:v>41107</c:v>
                </c:pt>
                <c:pt idx="671">
                  <c:v>41108</c:v>
                </c:pt>
                <c:pt idx="672">
                  <c:v>41109</c:v>
                </c:pt>
                <c:pt idx="673">
                  <c:v>41110</c:v>
                </c:pt>
                <c:pt idx="674">
                  <c:v>41113</c:v>
                </c:pt>
                <c:pt idx="675">
                  <c:v>41114</c:v>
                </c:pt>
                <c:pt idx="676">
                  <c:v>41115</c:v>
                </c:pt>
                <c:pt idx="677">
                  <c:v>41116</c:v>
                </c:pt>
                <c:pt idx="678">
                  <c:v>41117</c:v>
                </c:pt>
                <c:pt idx="679">
                  <c:v>41120</c:v>
                </c:pt>
                <c:pt idx="680">
                  <c:v>41121</c:v>
                </c:pt>
                <c:pt idx="681">
                  <c:v>41122</c:v>
                </c:pt>
                <c:pt idx="682">
                  <c:v>41123</c:v>
                </c:pt>
                <c:pt idx="683">
                  <c:v>41124</c:v>
                </c:pt>
                <c:pt idx="684">
                  <c:v>41127</c:v>
                </c:pt>
                <c:pt idx="685">
                  <c:v>41128</c:v>
                </c:pt>
                <c:pt idx="686">
                  <c:v>41129</c:v>
                </c:pt>
                <c:pt idx="687">
                  <c:v>41130</c:v>
                </c:pt>
                <c:pt idx="688">
                  <c:v>41131</c:v>
                </c:pt>
                <c:pt idx="689">
                  <c:v>41134</c:v>
                </c:pt>
                <c:pt idx="690">
                  <c:v>41135</c:v>
                </c:pt>
                <c:pt idx="691">
                  <c:v>41136</c:v>
                </c:pt>
                <c:pt idx="692">
                  <c:v>41137</c:v>
                </c:pt>
                <c:pt idx="693">
                  <c:v>41138</c:v>
                </c:pt>
                <c:pt idx="694">
                  <c:v>41141</c:v>
                </c:pt>
                <c:pt idx="695">
                  <c:v>41142</c:v>
                </c:pt>
                <c:pt idx="696">
                  <c:v>41143</c:v>
                </c:pt>
                <c:pt idx="697">
                  <c:v>41144</c:v>
                </c:pt>
                <c:pt idx="698">
                  <c:v>41145</c:v>
                </c:pt>
                <c:pt idx="699">
                  <c:v>41148</c:v>
                </c:pt>
                <c:pt idx="700">
                  <c:v>41149</c:v>
                </c:pt>
                <c:pt idx="701">
                  <c:v>41150</c:v>
                </c:pt>
                <c:pt idx="702">
                  <c:v>41151</c:v>
                </c:pt>
                <c:pt idx="703">
                  <c:v>41152</c:v>
                </c:pt>
                <c:pt idx="704">
                  <c:v>41156</c:v>
                </c:pt>
                <c:pt idx="705">
                  <c:v>41157</c:v>
                </c:pt>
                <c:pt idx="706">
                  <c:v>41158</c:v>
                </c:pt>
                <c:pt idx="707">
                  <c:v>41159</c:v>
                </c:pt>
                <c:pt idx="708">
                  <c:v>41162</c:v>
                </c:pt>
                <c:pt idx="709">
                  <c:v>41163</c:v>
                </c:pt>
                <c:pt idx="710">
                  <c:v>41164</c:v>
                </c:pt>
                <c:pt idx="711">
                  <c:v>41165</c:v>
                </c:pt>
                <c:pt idx="712">
                  <c:v>41166</c:v>
                </c:pt>
                <c:pt idx="713">
                  <c:v>41169</c:v>
                </c:pt>
                <c:pt idx="714">
                  <c:v>41170</c:v>
                </c:pt>
                <c:pt idx="715">
                  <c:v>41171</c:v>
                </c:pt>
                <c:pt idx="716">
                  <c:v>41172</c:v>
                </c:pt>
                <c:pt idx="717">
                  <c:v>41173</c:v>
                </c:pt>
                <c:pt idx="718">
                  <c:v>41176</c:v>
                </c:pt>
                <c:pt idx="719">
                  <c:v>41177</c:v>
                </c:pt>
                <c:pt idx="720">
                  <c:v>41178</c:v>
                </c:pt>
                <c:pt idx="721">
                  <c:v>41179</c:v>
                </c:pt>
                <c:pt idx="722">
                  <c:v>41180</c:v>
                </c:pt>
                <c:pt idx="723">
                  <c:v>41183</c:v>
                </c:pt>
                <c:pt idx="724">
                  <c:v>41184</c:v>
                </c:pt>
                <c:pt idx="725">
                  <c:v>41185</c:v>
                </c:pt>
                <c:pt idx="726">
                  <c:v>41186</c:v>
                </c:pt>
                <c:pt idx="727">
                  <c:v>41187</c:v>
                </c:pt>
                <c:pt idx="728">
                  <c:v>41190</c:v>
                </c:pt>
                <c:pt idx="729">
                  <c:v>41191</c:v>
                </c:pt>
                <c:pt idx="730">
                  <c:v>41192</c:v>
                </c:pt>
                <c:pt idx="731">
                  <c:v>41193</c:v>
                </c:pt>
                <c:pt idx="732">
                  <c:v>41194</c:v>
                </c:pt>
                <c:pt idx="733">
                  <c:v>41197</c:v>
                </c:pt>
                <c:pt idx="734">
                  <c:v>41198</c:v>
                </c:pt>
                <c:pt idx="735">
                  <c:v>41199</c:v>
                </c:pt>
                <c:pt idx="736">
                  <c:v>41200</c:v>
                </c:pt>
                <c:pt idx="737">
                  <c:v>41201</c:v>
                </c:pt>
                <c:pt idx="738">
                  <c:v>41204</c:v>
                </c:pt>
                <c:pt idx="739">
                  <c:v>41205</c:v>
                </c:pt>
                <c:pt idx="740">
                  <c:v>41206</c:v>
                </c:pt>
                <c:pt idx="741">
                  <c:v>41207</c:v>
                </c:pt>
                <c:pt idx="742">
                  <c:v>41208</c:v>
                </c:pt>
                <c:pt idx="743">
                  <c:v>41213</c:v>
                </c:pt>
                <c:pt idx="744">
                  <c:v>41214</c:v>
                </c:pt>
                <c:pt idx="745">
                  <c:v>41215</c:v>
                </c:pt>
                <c:pt idx="746">
                  <c:v>41218</c:v>
                </c:pt>
                <c:pt idx="747">
                  <c:v>41219</c:v>
                </c:pt>
                <c:pt idx="748">
                  <c:v>41220</c:v>
                </c:pt>
                <c:pt idx="749">
                  <c:v>41221</c:v>
                </c:pt>
                <c:pt idx="750">
                  <c:v>41222</c:v>
                </c:pt>
                <c:pt idx="751">
                  <c:v>41225</c:v>
                </c:pt>
                <c:pt idx="752">
                  <c:v>41226</c:v>
                </c:pt>
                <c:pt idx="753">
                  <c:v>41227</c:v>
                </c:pt>
                <c:pt idx="754">
                  <c:v>41228</c:v>
                </c:pt>
                <c:pt idx="755">
                  <c:v>41229</c:v>
                </c:pt>
                <c:pt idx="756">
                  <c:v>41232</c:v>
                </c:pt>
                <c:pt idx="757">
                  <c:v>41233</c:v>
                </c:pt>
                <c:pt idx="758">
                  <c:v>41234</c:v>
                </c:pt>
                <c:pt idx="759">
                  <c:v>41236</c:v>
                </c:pt>
                <c:pt idx="760">
                  <c:v>41239</c:v>
                </c:pt>
                <c:pt idx="761">
                  <c:v>41240</c:v>
                </c:pt>
                <c:pt idx="762">
                  <c:v>41241</c:v>
                </c:pt>
                <c:pt idx="763">
                  <c:v>41242</c:v>
                </c:pt>
                <c:pt idx="764">
                  <c:v>41243</c:v>
                </c:pt>
                <c:pt idx="765">
                  <c:v>41246</c:v>
                </c:pt>
                <c:pt idx="766">
                  <c:v>41247</c:v>
                </c:pt>
                <c:pt idx="767">
                  <c:v>41248</c:v>
                </c:pt>
                <c:pt idx="768">
                  <c:v>41249</c:v>
                </c:pt>
                <c:pt idx="769">
                  <c:v>41250</c:v>
                </c:pt>
                <c:pt idx="770">
                  <c:v>41253</c:v>
                </c:pt>
                <c:pt idx="771">
                  <c:v>41254</c:v>
                </c:pt>
                <c:pt idx="772">
                  <c:v>41255</c:v>
                </c:pt>
                <c:pt idx="773">
                  <c:v>41256</c:v>
                </c:pt>
                <c:pt idx="774">
                  <c:v>41257</c:v>
                </c:pt>
                <c:pt idx="775">
                  <c:v>41260</c:v>
                </c:pt>
                <c:pt idx="776">
                  <c:v>41261</c:v>
                </c:pt>
                <c:pt idx="777">
                  <c:v>41262</c:v>
                </c:pt>
                <c:pt idx="778">
                  <c:v>41263</c:v>
                </c:pt>
                <c:pt idx="779">
                  <c:v>41264</c:v>
                </c:pt>
                <c:pt idx="780">
                  <c:v>41267</c:v>
                </c:pt>
                <c:pt idx="781">
                  <c:v>41269</c:v>
                </c:pt>
                <c:pt idx="782">
                  <c:v>41270</c:v>
                </c:pt>
                <c:pt idx="783">
                  <c:v>41271</c:v>
                </c:pt>
                <c:pt idx="784">
                  <c:v>41274</c:v>
                </c:pt>
                <c:pt idx="785">
                  <c:v>41276</c:v>
                </c:pt>
                <c:pt idx="786">
                  <c:v>41277</c:v>
                </c:pt>
                <c:pt idx="787">
                  <c:v>41278</c:v>
                </c:pt>
                <c:pt idx="788">
                  <c:v>41281</c:v>
                </c:pt>
                <c:pt idx="789">
                  <c:v>41282</c:v>
                </c:pt>
                <c:pt idx="790">
                  <c:v>41283</c:v>
                </c:pt>
                <c:pt idx="791">
                  <c:v>41284</c:v>
                </c:pt>
                <c:pt idx="792">
                  <c:v>41285</c:v>
                </c:pt>
                <c:pt idx="793">
                  <c:v>41288</c:v>
                </c:pt>
                <c:pt idx="794">
                  <c:v>41289</c:v>
                </c:pt>
                <c:pt idx="795">
                  <c:v>41290</c:v>
                </c:pt>
                <c:pt idx="796">
                  <c:v>41291</c:v>
                </c:pt>
                <c:pt idx="797">
                  <c:v>41292</c:v>
                </c:pt>
                <c:pt idx="798">
                  <c:v>41296</c:v>
                </c:pt>
                <c:pt idx="799">
                  <c:v>41297</c:v>
                </c:pt>
                <c:pt idx="800">
                  <c:v>41298</c:v>
                </c:pt>
                <c:pt idx="801">
                  <c:v>41299</c:v>
                </c:pt>
                <c:pt idx="802">
                  <c:v>41302</c:v>
                </c:pt>
                <c:pt idx="803">
                  <c:v>41303</c:v>
                </c:pt>
                <c:pt idx="804">
                  <c:v>41304</c:v>
                </c:pt>
                <c:pt idx="805">
                  <c:v>41305</c:v>
                </c:pt>
                <c:pt idx="806">
                  <c:v>41306</c:v>
                </c:pt>
                <c:pt idx="807">
                  <c:v>41309</c:v>
                </c:pt>
                <c:pt idx="808">
                  <c:v>41310</c:v>
                </c:pt>
                <c:pt idx="809">
                  <c:v>41311</c:v>
                </c:pt>
                <c:pt idx="810">
                  <c:v>41312</c:v>
                </c:pt>
                <c:pt idx="811">
                  <c:v>41313</c:v>
                </c:pt>
                <c:pt idx="812">
                  <c:v>41316</c:v>
                </c:pt>
                <c:pt idx="813">
                  <c:v>41317</c:v>
                </c:pt>
                <c:pt idx="814">
                  <c:v>41318</c:v>
                </c:pt>
                <c:pt idx="815">
                  <c:v>41319</c:v>
                </c:pt>
                <c:pt idx="816">
                  <c:v>41320</c:v>
                </c:pt>
                <c:pt idx="817">
                  <c:v>41324</c:v>
                </c:pt>
                <c:pt idx="818">
                  <c:v>41325</c:v>
                </c:pt>
                <c:pt idx="819">
                  <c:v>41326</c:v>
                </c:pt>
                <c:pt idx="820">
                  <c:v>41327</c:v>
                </c:pt>
                <c:pt idx="821">
                  <c:v>41330</c:v>
                </c:pt>
                <c:pt idx="822">
                  <c:v>41331</c:v>
                </c:pt>
                <c:pt idx="823">
                  <c:v>41332</c:v>
                </c:pt>
                <c:pt idx="824">
                  <c:v>41333</c:v>
                </c:pt>
                <c:pt idx="825">
                  <c:v>41334</c:v>
                </c:pt>
                <c:pt idx="826">
                  <c:v>41337</c:v>
                </c:pt>
                <c:pt idx="827">
                  <c:v>41338</c:v>
                </c:pt>
                <c:pt idx="828">
                  <c:v>41339</c:v>
                </c:pt>
                <c:pt idx="829">
                  <c:v>41340</c:v>
                </c:pt>
                <c:pt idx="830">
                  <c:v>41341</c:v>
                </c:pt>
                <c:pt idx="831">
                  <c:v>41344</c:v>
                </c:pt>
                <c:pt idx="832">
                  <c:v>41345</c:v>
                </c:pt>
                <c:pt idx="833">
                  <c:v>41346</c:v>
                </c:pt>
                <c:pt idx="834">
                  <c:v>41347</c:v>
                </c:pt>
                <c:pt idx="835">
                  <c:v>41348</c:v>
                </c:pt>
                <c:pt idx="836">
                  <c:v>41351</c:v>
                </c:pt>
                <c:pt idx="837">
                  <c:v>41352</c:v>
                </c:pt>
                <c:pt idx="838">
                  <c:v>41353</c:v>
                </c:pt>
                <c:pt idx="839">
                  <c:v>41354</c:v>
                </c:pt>
                <c:pt idx="840">
                  <c:v>41355</c:v>
                </c:pt>
                <c:pt idx="841">
                  <c:v>41358</c:v>
                </c:pt>
                <c:pt idx="842">
                  <c:v>41359</c:v>
                </c:pt>
                <c:pt idx="843">
                  <c:v>41360</c:v>
                </c:pt>
                <c:pt idx="844">
                  <c:v>41361</c:v>
                </c:pt>
                <c:pt idx="845">
                  <c:v>41365</c:v>
                </c:pt>
                <c:pt idx="846">
                  <c:v>41366</c:v>
                </c:pt>
                <c:pt idx="847">
                  <c:v>41367</c:v>
                </c:pt>
                <c:pt idx="848">
                  <c:v>41368</c:v>
                </c:pt>
                <c:pt idx="849">
                  <c:v>41369</c:v>
                </c:pt>
                <c:pt idx="850">
                  <c:v>41372</c:v>
                </c:pt>
                <c:pt idx="851">
                  <c:v>41373</c:v>
                </c:pt>
                <c:pt idx="852">
                  <c:v>41374</c:v>
                </c:pt>
                <c:pt idx="853">
                  <c:v>41375</c:v>
                </c:pt>
                <c:pt idx="854">
                  <c:v>41376</c:v>
                </c:pt>
                <c:pt idx="855">
                  <c:v>41379</c:v>
                </c:pt>
                <c:pt idx="856">
                  <c:v>41380</c:v>
                </c:pt>
                <c:pt idx="857">
                  <c:v>41381</c:v>
                </c:pt>
                <c:pt idx="858">
                  <c:v>41382</c:v>
                </c:pt>
                <c:pt idx="859">
                  <c:v>41383</c:v>
                </c:pt>
                <c:pt idx="860">
                  <c:v>41386</c:v>
                </c:pt>
                <c:pt idx="861">
                  <c:v>41387</c:v>
                </c:pt>
                <c:pt idx="862">
                  <c:v>41388</c:v>
                </c:pt>
                <c:pt idx="863">
                  <c:v>41389</c:v>
                </c:pt>
                <c:pt idx="864">
                  <c:v>41390</c:v>
                </c:pt>
                <c:pt idx="865">
                  <c:v>41393</c:v>
                </c:pt>
                <c:pt idx="866">
                  <c:v>41394</c:v>
                </c:pt>
                <c:pt idx="867">
                  <c:v>41395</c:v>
                </c:pt>
                <c:pt idx="868">
                  <c:v>41396</c:v>
                </c:pt>
                <c:pt idx="869">
                  <c:v>41397</c:v>
                </c:pt>
                <c:pt idx="870">
                  <c:v>41400</c:v>
                </c:pt>
                <c:pt idx="871">
                  <c:v>41401</c:v>
                </c:pt>
                <c:pt idx="872">
                  <c:v>41402</c:v>
                </c:pt>
                <c:pt idx="873">
                  <c:v>41403</c:v>
                </c:pt>
                <c:pt idx="874">
                  <c:v>41404</c:v>
                </c:pt>
                <c:pt idx="875">
                  <c:v>41407</c:v>
                </c:pt>
                <c:pt idx="876">
                  <c:v>41408</c:v>
                </c:pt>
                <c:pt idx="877">
                  <c:v>41409</c:v>
                </c:pt>
                <c:pt idx="878">
                  <c:v>41410</c:v>
                </c:pt>
                <c:pt idx="879">
                  <c:v>41411</c:v>
                </c:pt>
                <c:pt idx="880">
                  <c:v>41414</c:v>
                </c:pt>
                <c:pt idx="881">
                  <c:v>41415</c:v>
                </c:pt>
                <c:pt idx="882">
                  <c:v>41416</c:v>
                </c:pt>
                <c:pt idx="883">
                  <c:v>41417</c:v>
                </c:pt>
                <c:pt idx="884">
                  <c:v>41418</c:v>
                </c:pt>
                <c:pt idx="885">
                  <c:v>41422</c:v>
                </c:pt>
                <c:pt idx="886">
                  <c:v>41423</c:v>
                </c:pt>
                <c:pt idx="887">
                  <c:v>41424</c:v>
                </c:pt>
                <c:pt idx="888">
                  <c:v>41425</c:v>
                </c:pt>
                <c:pt idx="889">
                  <c:v>41428</c:v>
                </c:pt>
                <c:pt idx="890">
                  <c:v>41429</c:v>
                </c:pt>
                <c:pt idx="891">
                  <c:v>41430</c:v>
                </c:pt>
                <c:pt idx="892">
                  <c:v>41431</c:v>
                </c:pt>
                <c:pt idx="893">
                  <c:v>41432</c:v>
                </c:pt>
                <c:pt idx="894">
                  <c:v>41435</c:v>
                </c:pt>
                <c:pt idx="895">
                  <c:v>41436</c:v>
                </c:pt>
                <c:pt idx="896">
                  <c:v>41437</c:v>
                </c:pt>
                <c:pt idx="897">
                  <c:v>41438</c:v>
                </c:pt>
                <c:pt idx="898">
                  <c:v>41439</c:v>
                </c:pt>
                <c:pt idx="899">
                  <c:v>41442</c:v>
                </c:pt>
                <c:pt idx="900">
                  <c:v>41443</c:v>
                </c:pt>
                <c:pt idx="901">
                  <c:v>41444</c:v>
                </c:pt>
                <c:pt idx="902">
                  <c:v>41445</c:v>
                </c:pt>
                <c:pt idx="903">
                  <c:v>41446</c:v>
                </c:pt>
                <c:pt idx="904">
                  <c:v>41449</c:v>
                </c:pt>
                <c:pt idx="905">
                  <c:v>41450</c:v>
                </c:pt>
                <c:pt idx="906">
                  <c:v>41451</c:v>
                </c:pt>
                <c:pt idx="907">
                  <c:v>41452</c:v>
                </c:pt>
                <c:pt idx="908">
                  <c:v>41453</c:v>
                </c:pt>
                <c:pt idx="909">
                  <c:v>41456</c:v>
                </c:pt>
                <c:pt idx="910">
                  <c:v>41457</c:v>
                </c:pt>
                <c:pt idx="911">
                  <c:v>41458</c:v>
                </c:pt>
                <c:pt idx="912">
                  <c:v>41460</c:v>
                </c:pt>
                <c:pt idx="913">
                  <c:v>41463</c:v>
                </c:pt>
                <c:pt idx="914">
                  <c:v>41464</c:v>
                </c:pt>
                <c:pt idx="915">
                  <c:v>41465</c:v>
                </c:pt>
                <c:pt idx="916">
                  <c:v>41466</c:v>
                </c:pt>
                <c:pt idx="917">
                  <c:v>41467</c:v>
                </c:pt>
                <c:pt idx="918">
                  <c:v>41470</c:v>
                </c:pt>
                <c:pt idx="919">
                  <c:v>41471</c:v>
                </c:pt>
                <c:pt idx="920">
                  <c:v>41472</c:v>
                </c:pt>
                <c:pt idx="921">
                  <c:v>41473</c:v>
                </c:pt>
                <c:pt idx="922">
                  <c:v>41474</c:v>
                </c:pt>
                <c:pt idx="923">
                  <c:v>41477</c:v>
                </c:pt>
                <c:pt idx="924">
                  <c:v>41478</c:v>
                </c:pt>
                <c:pt idx="925">
                  <c:v>41479</c:v>
                </c:pt>
                <c:pt idx="926">
                  <c:v>41480</c:v>
                </c:pt>
                <c:pt idx="927">
                  <c:v>41481</c:v>
                </c:pt>
                <c:pt idx="928">
                  <c:v>41484</c:v>
                </c:pt>
                <c:pt idx="929">
                  <c:v>41485</c:v>
                </c:pt>
                <c:pt idx="930">
                  <c:v>41486</c:v>
                </c:pt>
                <c:pt idx="931">
                  <c:v>41487</c:v>
                </c:pt>
                <c:pt idx="932">
                  <c:v>41488</c:v>
                </c:pt>
                <c:pt idx="933">
                  <c:v>41491</c:v>
                </c:pt>
                <c:pt idx="934">
                  <c:v>41492</c:v>
                </c:pt>
                <c:pt idx="935">
                  <c:v>41493</c:v>
                </c:pt>
                <c:pt idx="936">
                  <c:v>41494</c:v>
                </c:pt>
                <c:pt idx="937">
                  <c:v>41495</c:v>
                </c:pt>
                <c:pt idx="938">
                  <c:v>41498</c:v>
                </c:pt>
                <c:pt idx="939">
                  <c:v>41499</c:v>
                </c:pt>
                <c:pt idx="940">
                  <c:v>41500</c:v>
                </c:pt>
                <c:pt idx="941">
                  <c:v>41501</c:v>
                </c:pt>
                <c:pt idx="942">
                  <c:v>41502</c:v>
                </c:pt>
                <c:pt idx="943">
                  <c:v>41505</c:v>
                </c:pt>
                <c:pt idx="944">
                  <c:v>41506</c:v>
                </c:pt>
                <c:pt idx="945">
                  <c:v>41507</c:v>
                </c:pt>
                <c:pt idx="946">
                  <c:v>41508</c:v>
                </c:pt>
                <c:pt idx="947">
                  <c:v>41509</c:v>
                </c:pt>
                <c:pt idx="948">
                  <c:v>41512</c:v>
                </c:pt>
                <c:pt idx="949">
                  <c:v>41513</c:v>
                </c:pt>
                <c:pt idx="950">
                  <c:v>41514</c:v>
                </c:pt>
                <c:pt idx="951">
                  <c:v>41515</c:v>
                </c:pt>
                <c:pt idx="952">
                  <c:v>41516</c:v>
                </c:pt>
                <c:pt idx="953">
                  <c:v>41520</c:v>
                </c:pt>
                <c:pt idx="954">
                  <c:v>41521</c:v>
                </c:pt>
                <c:pt idx="955">
                  <c:v>41522</c:v>
                </c:pt>
                <c:pt idx="956">
                  <c:v>41523</c:v>
                </c:pt>
                <c:pt idx="957">
                  <c:v>41526</c:v>
                </c:pt>
                <c:pt idx="958">
                  <c:v>41527</c:v>
                </c:pt>
                <c:pt idx="959">
                  <c:v>41528</c:v>
                </c:pt>
                <c:pt idx="960">
                  <c:v>41529</c:v>
                </c:pt>
                <c:pt idx="961">
                  <c:v>41530</c:v>
                </c:pt>
                <c:pt idx="962">
                  <c:v>41533</c:v>
                </c:pt>
                <c:pt idx="963">
                  <c:v>41534</c:v>
                </c:pt>
                <c:pt idx="964">
                  <c:v>41535</c:v>
                </c:pt>
                <c:pt idx="965">
                  <c:v>41536</c:v>
                </c:pt>
                <c:pt idx="966">
                  <c:v>41537</c:v>
                </c:pt>
                <c:pt idx="967">
                  <c:v>41540</c:v>
                </c:pt>
                <c:pt idx="968">
                  <c:v>41541</c:v>
                </c:pt>
                <c:pt idx="969">
                  <c:v>41542</c:v>
                </c:pt>
                <c:pt idx="970">
                  <c:v>41543</c:v>
                </c:pt>
                <c:pt idx="971">
                  <c:v>41544</c:v>
                </c:pt>
                <c:pt idx="972">
                  <c:v>41547</c:v>
                </c:pt>
                <c:pt idx="973">
                  <c:v>41548</c:v>
                </c:pt>
                <c:pt idx="974">
                  <c:v>41549</c:v>
                </c:pt>
                <c:pt idx="975">
                  <c:v>41550</c:v>
                </c:pt>
                <c:pt idx="976">
                  <c:v>41551</c:v>
                </c:pt>
                <c:pt idx="977">
                  <c:v>41554</c:v>
                </c:pt>
                <c:pt idx="978">
                  <c:v>41555</c:v>
                </c:pt>
                <c:pt idx="979">
                  <c:v>41556</c:v>
                </c:pt>
                <c:pt idx="980">
                  <c:v>41557</c:v>
                </c:pt>
                <c:pt idx="981">
                  <c:v>41558</c:v>
                </c:pt>
                <c:pt idx="982">
                  <c:v>41561</c:v>
                </c:pt>
                <c:pt idx="983">
                  <c:v>41562</c:v>
                </c:pt>
                <c:pt idx="984">
                  <c:v>41563</c:v>
                </c:pt>
                <c:pt idx="985">
                  <c:v>41564</c:v>
                </c:pt>
                <c:pt idx="986">
                  <c:v>41565</c:v>
                </c:pt>
                <c:pt idx="987">
                  <c:v>41568</c:v>
                </c:pt>
                <c:pt idx="988">
                  <c:v>41569</c:v>
                </c:pt>
                <c:pt idx="989">
                  <c:v>41570</c:v>
                </c:pt>
                <c:pt idx="990">
                  <c:v>41571</c:v>
                </c:pt>
                <c:pt idx="991">
                  <c:v>41572</c:v>
                </c:pt>
                <c:pt idx="992">
                  <c:v>41575</c:v>
                </c:pt>
                <c:pt idx="993">
                  <c:v>41576</c:v>
                </c:pt>
                <c:pt idx="994">
                  <c:v>41577</c:v>
                </c:pt>
                <c:pt idx="995">
                  <c:v>41578</c:v>
                </c:pt>
                <c:pt idx="996">
                  <c:v>41579</c:v>
                </c:pt>
                <c:pt idx="997">
                  <c:v>41582</c:v>
                </c:pt>
                <c:pt idx="998">
                  <c:v>41583</c:v>
                </c:pt>
                <c:pt idx="999">
                  <c:v>41584</c:v>
                </c:pt>
                <c:pt idx="1000">
                  <c:v>41585</c:v>
                </c:pt>
                <c:pt idx="1001">
                  <c:v>41586</c:v>
                </c:pt>
                <c:pt idx="1002">
                  <c:v>41589</c:v>
                </c:pt>
                <c:pt idx="1003">
                  <c:v>41590</c:v>
                </c:pt>
                <c:pt idx="1004">
                  <c:v>41591</c:v>
                </c:pt>
                <c:pt idx="1005">
                  <c:v>41592</c:v>
                </c:pt>
                <c:pt idx="1006">
                  <c:v>41593</c:v>
                </c:pt>
                <c:pt idx="1007">
                  <c:v>41596</c:v>
                </c:pt>
                <c:pt idx="1008">
                  <c:v>41597</c:v>
                </c:pt>
                <c:pt idx="1009">
                  <c:v>41598</c:v>
                </c:pt>
                <c:pt idx="1010">
                  <c:v>41599</c:v>
                </c:pt>
                <c:pt idx="1011">
                  <c:v>41600</c:v>
                </c:pt>
                <c:pt idx="1012">
                  <c:v>41603</c:v>
                </c:pt>
                <c:pt idx="1013">
                  <c:v>41604</c:v>
                </c:pt>
                <c:pt idx="1014">
                  <c:v>41605</c:v>
                </c:pt>
                <c:pt idx="1015">
                  <c:v>41607</c:v>
                </c:pt>
                <c:pt idx="1016">
                  <c:v>41610</c:v>
                </c:pt>
                <c:pt idx="1017">
                  <c:v>41611</c:v>
                </c:pt>
                <c:pt idx="1018">
                  <c:v>41612</c:v>
                </c:pt>
                <c:pt idx="1019">
                  <c:v>41613</c:v>
                </c:pt>
                <c:pt idx="1020">
                  <c:v>41614</c:v>
                </c:pt>
                <c:pt idx="1021">
                  <c:v>41617</c:v>
                </c:pt>
                <c:pt idx="1022">
                  <c:v>41618</c:v>
                </c:pt>
                <c:pt idx="1023">
                  <c:v>41619</c:v>
                </c:pt>
                <c:pt idx="1024">
                  <c:v>41620</c:v>
                </c:pt>
                <c:pt idx="1025">
                  <c:v>41621</c:v>
                </c:pt>
                <c:pt idx="1026">
                  <c:v>41624</c:v>
                </c:pt>
                <c:pt idx="1027">
                  <c:v>41625</c:v>
                </c:pt>
                <c:pt idx="1028">
                  <c:v>41626</c:v>
                </c:pt>
                <c:pt idx="1029">
                  <c:v>41627</c:v>
                </c:pt>
                <c:pt idx="1030">
                  <c:v>41628</c:v>
                </c:pt>
                <c:pt idx="1031">
                  <c:v>41631</c:v>
                </c:pt>
                <c:pt idx="1032">
                  <c:v>41632</c:v>
                </c:pt>
                <c:pt idx="1033">
                  <c:v>41634</c:v>
                </c:pt>
                <c:pt idx="1034">
                  <c:v>41635</c:v>
                </c:pt>
                <c:pt idx="1035">
                  <c:v>41638</c:v>
                </c:pt>
                <c:pt idx="1036">
                  <c:v>41639</c:v>
                </c:pt>
                <c:pt idx="1037">
                  <c:v>41641</c:v>
                </c:pt>
                <c:pt idx="1038">
                  <c:v>41642</c:v>
                </c:pt>
                <c:pt idx="1039">
                  <c:v>41645</c:v>
                </c:pt>
                <c:pt idx="1040">
                  <c:v>41646</c:v>
                </c:pt>
                <c:pt idx="1041">
                  <c:v>41647</c:v>
                </c:pt>
                <c:pt idx="1042">
                  <c:v>41648</c:v>
                </c:pt>
                <c:pt idx="1043">
                  <c:v>41649</c:v>
                </c:pt>
                <c:pt idx="1044">
                  <c:v>41652</c:v>
                </c:pt>
                <c:pt idx="1045">
                  <c:v>41653</c:v>
                </c:pt>
                <c:pt idx="1046">
                  <c:v>41654</c:v>
                </c:pt>
                <c:pt idx="1047">
                  <c:v>41655</c:v>
                </c:pt>
                <c:pt idx="1048">
                  <c:v>41656</c:v>
                </c:pt>
                <c:pt idx="1049">
                  <c:v>41660</c:v>
                </c:pt>
                <c:pt idx="1050">
                  <c:v>41661</c:v>
                </c:pt>
                <c:pt idx="1051">
                  <c:v>41662</c:v>
                </c:pt>
                <c:pt idx="1052">
                  <c:v>41663</c:v>
                </c:pt>
                <c:pt idx="1053">
                  <c:v>41666</c:v>
                </c:pt>
                <c:pt idx="1054">
                  <c:v>41667</c:v>
                </c:pt>
                <c:pt idx="1055">
                  <c:v>41668</c:v>
                </c:pt>
                <c:pt idx="1056">
                  <c:v>41669</c:v>
                </c:pt>
                <c:pt idx="1057">
                  <c:v>41670</c:v>
                </c:pt>
                <c:pt idx="1058">
                  <c:v>41673</c:v>
                </c:pt>
                <c:pt idx="1059">
                  <c:v>41674</c:v>
                </c:pt>
                <c:pt idx="1060">
                  <c:v>41675</c:v>
                </c:pt>
                <c:pt idx="1061">
                  <c:v>41676</c:v>
                </c:pt>
                <c:pt idx="1062">
                  <c:v>41677</c:v>
                </c:pt>
                <c:pt idx="1063">
                  <c:v>41680</c:v>
                </c:pt>
                <c:pt idx="1064">
                  <c:v>41681</c:v>
                </c:pt>
                <c:pt idx="1065">
                  <c:v>41682</c:v>
                </c:pt>
                <c:pt idx="1066">
                  <c:v>41683</c:v>
                </c:pt>
                <c:pt idx="1067">
                  <c:v>41684</c:v>
                </c:pt>
                <c:pt idx="1068">
                  <c:v>41688</c:v>
                </c:pt>
                <c:pt idx="1069">
                  <c:v>41689</c:v>
                </c:pt>
                <c:pt idx="1070">
                  <c:v>41690</c:v>
                </c:pt>
                <c:pt idx="1071">
                  <c:v>41691</c:v>
                </c:pt>
                <c:pt idx="1072">
                  <c:v>41694</c:v>
                </c:pt>
                <c:pt idx="1073">
                  <c:v>41695</c:v>
                </c:pt>
                <c:pt idx="1074">
                  <c:v>41696</c:v>
                </c:pt>
                <c:pt idx="1075">
                  <c:v>41697</c:v>
                </c:pt>
                <c:pt idx="1076">
                  <c:v>41698</c:v>
                </c:pt>
                <c:pt idx="1077">
                  <c:v>41701</c:v>
                </c:pt>
                <c:pt idx="1078">
                  <c:v>41702</c:v>
                </c:pt>
                <c:pt idx="1079">
                  <c:v>41703</c:v>
                </c:pt>
                <c:pt idx="1080">
                  <c:v>41704</c:v>
                </c:pt>
                <c:pt idx="1081">
                  <c:v>41705</c:v>
                </c:pt>
                <c:pt idx="1082">
                  <c:v>41708</c:v>
                </c:pt>
                <c:pt idx="1083">
                  <c:v>41709</c:v>
                </c:pt>
                <c:pt idx="1084">
                  <c:v>41710</c:v>
                </c:pt>
                <c:pt idx="1085">
                  <c:v>41711</c:v>
                </c:pt>
                <c:pt idx="1086">
                  <c:v>41712</c:v>
                </c:pt>
                <c:pt idx="1087">
                  <c:v>41715</c:v>
                </c:pt>
                <c:pt idx="1088">
                  <c:v>41716</c:v>
                </c:pt>
                <c:pt idx="1089">
                  <c:v>41717</c:v>
                </c:pt>
                <c:pt idx="1090">
                  <c:v>41718</c:v>
                </c:pt>
                <c:pt idx="1091">
                  <c:v>41719</c:v>
                </c:pt>
                <c:pt idx="1092">
                  <c:v>41722</c:v>
                </c:pt>
                <c:pt idx="1093">
                  <c:v>41723</c:v>
                </c:pt>
                <c:pt idx="1094">
                  <c:v>41724</c:v>
                </c:pt>
                <c:pt idx="1095">
                  <c:v>41725</c:v>
                </c:pt>
                <c:pt idx="1096">
                  <c:v>41726</c:v>
                </c:pt>
                <c:pt idx="1097">
                  <c:v>41729</c:v>
                </c:pt>
                <c:pt idx="1098">
                  <c:v>41730</c:v>
                </c:pt>
                <c:pt idx="1099">
                  <c:v>41731</c:v>
                </c:pt>
                <c:pt idx="1100">
                  <c:v>41732</c:v>
                </c:pt>
                <c:pt idx="1101">
                  <c:v>41733</c:v>
                </c:pt>
                <c:pt idx="1102">
                  <c:v>41736</c:v>
                </c:pt>
                <c:pt idx="1103">
                  <c:v>41737</c:v>
                </c:pt>
                <c:pt idx="1104">
                  <c:v>41738</c:v>
                </c:pt>
                <c:pt idx="1105">
                  <c:v>41739</c:v>
                </c:pt>
                <c:pt idx="1106">
                  <c:v>41740</c:v>
                </c:pt>
                <c:pt idx="1107">
                  <c:v>41743</c:v>
                </c:pt>
                <c:pt idx="1108">
                  <c:v>41744</c:v>
                </c:pt>
                <c:pt idx="1109">
                  <c:v>41745</c:v>
                </c:pt>
                <c:pt idx="1110">
                  <c:v>41746</c:v>
                </c:pt>
                <c:pt idx="1111">
                  <c:v>41750</c:v>
                </c:pt>
                <c:pt idx="1112">
                  <c:v>41751</c:v>
                </c:pt>
                <c:pt idx="1113">
                  <c:v>41752</c:v>
                </c:pt>
                <c:pt idx="1114">
                  <c:v>41753</c:v>
                </c:pt>
                <c:pt idx="1115">
                  <c:v>41754</c:v>
                </c:pt>
                <c:pt idx="1116">
                  <c:v>41757</c:v>
                </c:pt>
                <c:pt idx="1117">
                  <c:v>41758</c:v>
                </c:pt>
                <c:pt idx="1118">
                  <c:v>41759</c:v>
                </c:pt>
                <c:pt idx="1119">
                  <c:v>41760</c:v>
                </c:pt>
                <c:pt idx="1120">
                  <c:v>41761</c:v>
                </c:pt>
                <c:pt idx="1121">
                  <c:v>41764</c:v>
                </c:pt>
                <c:pt idx="1122">
                  <c:v>41765</c:v>
                </c:pt>
                <c:pt idx="1123">
                  <c:v>41766</c:v>
                </c:pt>
                <c:pt idx="1124">
                  <c:v>41767</c:v>
                </c:pt>
                <c:pt idx="1125">
                  <c:v>41768</c:v>
                </c:pt>
                <c:pt idx="1126">
                  <c:v>41771</c:v>
                </c:pt>
                <c:pt idx="1127">
                  <c:v>41772</c:v>
                </c:pt>
                <c:pt idx="1128">
                  <c:v>41773</c:v>
                </c:pt>
                <c:pt idx="1129">
                  <c:v>41774</c:v>
                </c:pt>
                <c:pt idx="1130">
                  <c:v>41775</c:v>
                </c:pt>
                <c:pt idx="1131">
                  <c:v>41778</c:v>
                </c:pt>
                <c:pt idx="1132">
                  <c:v>41779</c:v>
                </c:pt>
                <c:pt idx="1133">
                  <c:v>41780</c:v>
                </c:pt>
                <c:pt idx="1134">
                  <c:v>41781</c:v>
                </c:pt>
                <c:pt idx="1135">
                  <c:v>41782</c:v>
                </c:pt>
                <c:pt idx="1136">
                  <c:v>41786</c:v>
                </c:pt>
                <c:pt idx="1137">
                  <c:v>41787</c:v>
                </c:pt>
                <c:pt idx="1138">
                  <c:v>41788</c:v>
                </c:pt>
                <c:pt idx="1139">
                  <c:v>41789</c:v>
                </c:pt>
                <c:pt idx="1140">
                  <c:v>41792</c:v>
                </c:pt>
                <c:pt idx="1141">
                  <c:v>41793</c:v>
                </c:pt>
                <c:pt idx="1142">
                  <c:v>41794</c:v>
                </c:pt>
                <c:pt idx="1143">
                  <c:v>41795</c:v>
                </c:pt>
                <c:pt idx="1144">
                  <c:v>41796</c:v>
                </c:pt>
                <c:pt idx="1145">
                  <c:v>41799</c:v>
                </c:pt>
                <c:pt idx="1146">
                  <c:v>41800</c:v>
                </c:pt>
                <c:pt idx="1147">
                  <c:v>41801</c:v>
                </c:pt>
                <c:pt idx="1148">
                  <c:v>41802</c:v>
                </c:pt>
                <c:pt idx="1149">
                  <c:v>41803</c:v>
                </c:pt>
                <c:pt idx="1150">
                  <c:v>41806</c:v>
                </c:pt>
                <c:pt idx="1151">
                  <c:v>41807</c:v>
                </c:pt>
                <c:pt idx="1152">
                  <c:v>41808</c:v>
                </c:pt>
                <c:pt idx="1153">
                  <c:v>41809</c:v>
                </c:pt>
                <c:pt idx="1154">
                  <c:v>41810</c:v>
                </c:pt>
                <c:pt idx="1155">
                  <c:v>41813</c:v>
                </c:pt>
                <c:pt idx="1156">
                  <c:v>41814</c:v>
                </c:pt>
                <c:pt idx="1157">
                  <c:v>41815</c:v>
                </c:pt>
                <c:pt idx="1158">
                  <c:v>41816</c:v>
                </c:pt>
                <c:pt idx="1159">
                  <c:v>41817</c:v>
                </c:pt>
                <c:pt idx="1160">
                  <c:v>41820</c:v>
                </c:pt>
                <c:pt idx="1161">
                  <c:v>41821</c:v>
                </c:pt>
                <c:pt idx="1162">
                  <c:v>41822</c:v>
                </c:pt>
                <c:pt idx="1163">
                  <c:v>41823</c:v>
                </c:pt>
                <c:pt idx="1164">
                  <c:v>41827</c:v>
                </c:pt>
                <c:pt idx="1165">
                  <c:v>41828</c:v>
                </c:pt>
                <c:pt idx="1166">
                  <c:v>41829</c:v>
                </c:pt>
                <c:pt idx="1167">
                  <c:v>41830</c:v>
                </c:pt>
                <c:pt idx="1168">
                  <c:v>41831</c:v>
                </c:pt>
                <c:pt idx="1169">
                  <c:v>41834</c:v>
                </c:pt>
                <c:pt idx="1170">
                  <c:v>41835</c:v>
                </c:pt>
                <c:pt idx="1171">
                  <c:v>41836</c:v>
                </c:pt>
                <c:pt idx="1172">
                  <c:v>41837</c:v>
                </c:pt>
                <c:pt idx="1173">
                  <c:v>41838</c:v>
                </c:pt>
                <c:pt idx="1174">
                  <c:v>41841</c:v>
                </c:pt>
                <c:pt idx="1175">
                  <c:v>41842</c:v>
                </c:pt>
                <c:pt idx="1176">
                  <c:v>41843</c:v>
                </c:pt>
                <c:pt idx="1177">
                  <c:v>41844</c:v>
                </c:pt>
                <c:pt idx="1178">
                  <c:v>41845</c:v>
                </c:pt>
                <c:pt idx="1179">
                  <c:v>41848</c:v>
                </c:pt>
                <c:pt idx="1180">
                  <c:v>41849</c:v>
                </c:pt>
                <c:pt idx="1181">
                  <c:v>41850</c:v>
                </c:pt>
                <c:pt idx="1182">
                  <c:v>41851</c:v>
                </c:pt>
                <c:pt idx="1183">
                  <c:v>41852</c:v>
                </c:pt>
                <c:pt idx="1184">
                  <c:v>41855</c:v>
                </c:pt>
                <c:pt idx="1185">
                  <c:v>41856</c:v>
                </c:pt>
                <c:pt idx="1186">
                  <c:v>41857</c:v>
                </c:pt>
                <c:pt idx="1187">
                  <c:v>41858</c:v>
                </c:pt>
                <c:pt idx="1188">
                  <c:v>41859</c:v>
                </c:pt>
                <c:pt idx="1189">
                  <c:v>41862</c:v>
                </c:pt>
                <c:pt idx="1190">
                  <c:v>41863</c:v>
                </c:pt>
                <c:pt idx="1191">
                  <c:v>41864</c:v>
                </c:pt>
                <c:pt idx="1192">
                  <c:v>41865</c:v>
                </c:pt>
                <c:pt idx="1193">
                  <c:v>41866</c:v>
                </c:pt>
                <c:pt idx="1194">
                  <c:v>41869</c:v>
                </c:pt>
                <c:pt idx="1195">
                  <c:v>41870</c:v>
                </c:pt>
                <c:pt idx="1196">
                  <c:v>41871</c:v>
                </c:pt>
                <c:pt idx="1197">
                  <c:v>41872</c:v>
                </c:pt>
                <c:pt idx="1198">
                  <c:v>41873</c:v>
                </c:pt>
                <c:pt idx="1199">
                  <c:v>41876</c:v>
                </c:pt>
                <c:pt idx="1200">
                  <c:v>41877</c:v>
                </c:pt>
                <c:pt idx="1201">
                  <c:v>41878</c:v>
                </c:pt>
                <c:pt idx="1202">
                  <c:v>41879</c:v>
                </c:pt>
                <c:pt idx="1203">
                  <c:v>41880</c:v>
                </c:pt>
                <c:pt idx="1204">
                  <c:v>41884</c:v>
                </c:pt>
                <c:pt idx="1205">
                  <c:v>41885</c:v>
                </c:pt>
                <c:pt idx="1206">
                  <c:v>41886</c:v>
                </c:pt>
                <c:pt idx="1207">
                  <c:v>41887</c:v>
                </c:pt>
                <c:pt idx="1208">
                  <c:v>41890</c:v>
                </c:pt>
                <c:pt idx="1209">
                  <c:v>41891</c:v>
                </c:pt>
                <c:pt idx="1210">
                  <c:v>41892</c:v>
                </c:pt>
                <c:pt idx="1211">
                  <c:v>41893</c:v>
                </c:pt>
                <c:pt idx="1212">
                  <c:v>41894</c:v>
                </c:pt>
                <c:pt idx="1213">
                  <c:v>41897</c:v>
                </c:pt>
                <c:pt idx="1214">
                  <c:v>41898</c:v>
                </c:pt>
                <c:pt idx="1215">
                  <c:v>41899</c:v>
                </c:pt>
                <c:pt idx="1216">
                  <c:v>41900</c:v>
                </c:pt>
                <c:pt idx="1217">
                  <c:v>41901</c:v>
                </c:pt>
                <c:pt idx="1218">
                  <c:v>41904</c:v>
                </c:pt>
                <c:pt idx="1219">
                  <c:v>41905</c:v>
                </c:pt>
                <c:pt idx="1220">
                  <c:v>41906</c:v>
                </c:pt>
                <c:pt idx="1221">
                  <c:v>41907</c:v>
                </c:pt>
                <c:pt idx="1222">
                  <c:v>41908</c:v>
                </c:pt>
                <c:pt idx="1223">
                  <c:v>41911</c:v>
                </c:pt>
                <c:pt idx="1224">
                  <c:v>41912</c:v>
                </c:pt>
                <c:pt idx="1225">
                  <c:v>41913</c:v>
                </c:pt>
                <c:pt idx="1226">
                  <c:v>41914</c:v>
                </c:pt>
                <c:pt idx="1227">
                  <c:v>41915</c:v>
                </c:pt>
                <c:pt idx="1228">
                  <c:v>41918</c:v>
                </c:pt>
                <c:pt idx="1229">
                  <c:v>41919</c:v>
                </c:pt>
                <c:pt idx="1230">
                  <c:v>41920</c:v>
                </c:pt>
                <c:pt idx="1231">
                  <c:v>41921</c:v>
                </c:pt>
                <c:pt idx="1232">
                  <c:v>41922</c:v>
                </c:pt>
                <c:pt idx="1233">
                  <c:v>41925</c:v>
                </c:pt>
                <c:pt idx="1234">
                  <c:v>41926</c:v>
                </c:pt>
                <c:pt idx="1235">
                  <c:v>41927</c:v>
                </c:pt>
                <c:pt idx="1236">
                  <c:v>41928</c:v>
                </c:pt>
                <c:pt idx="1237">
                  <c:v>41929</c:v>
                </c:pt>
                <c:pt idx="1238">
                  <c:v>41932</c:v>
                </c:pt>
                <c:pt idx="1239">
                  <c:v>41933</c:v>
                </c:pt>
                <c:pt idx="1240">
                  <c:v>41934</c:v>
                </c:pt>
                <c:pt idx="1241">
                  <c:v>41935</c:v>
                </c:pt>
                <c:pt idx="1242">
                  <c:v>41936</c:v>
                </c:pt>
                <c:pt idx="1243">
                  <c:v>41939</c:v>
                </c:pt>
                <c:pt idx="1244">
                  <c:v>41940</c:v>
                </c:pt>
                <c:pt idx="1245">
                  <c:v>41941</c:v>
                </c:pt>
                <c:pt idx="1246">
                  <c:v>41942</c:v>
                </c:pt>
                <c:pt idx="1247">
                  <c:v>41943</c:v>
                </c:pt>
                <c:pt idx="1248">
                  <c:v>41946</c:v>
                </c:pt>
                <c:pt idx="1249">
                  <c:v>41947</c:v>
                </c:pt>
                <c:pt idx="1250">
                  <c:v>41948</c:v>
                </c:pt>
                <c:pt idx="1251">
                  <c:v>41949</c:v>
                </c:pt>
                <c:pt idx="1252">
                  <c:v>41950</c:v>
                </c:pt>
                <c:pt idx="1253">
                  <c:v>41953</c:v>
                </c:pt>
                <c:pt idx="1254">
                  <c:v>41954</c:v>
                </c:pt>
                <c:pt idx="1255">
                  <c:v>41955</c:v>
                </c:pt>
                <c:pt idx="1256">
                  <c:v>41956</c:v>
                </c:pt>
                <c:pt idx="1257">
                  <c:v>41957</c:v>
                </c:pt>
                <c:pt idx="1258">
                  <c:v>41960</c:v>
                </c:pt>
                <c:pt idx="1259">
                  <c:v>41961</c:v>
                </c:pt>
                <c:pt idx="1260">
                  <c:v>41962</c:v>
                </c:pt>
                <c:pt idx="1261">
                  <c:v>41963</c:v>
                </c:pt>
                <c:pt idx="1262">
                  <c:v>41964</c:v>
                </c:pt>
                <c:pt idx="1263">
                  <c:v>41967</c:v>
                </c:pt>
                <c:pt idx="1264">
                  <c:v>41968</c:v>
                </c:pt>
                <c:pt idx="1265">
                  <c:v>41969</c:v>
                </c:pt>
                <c:pt idx="1266">
                  <c:v>41971</c:v>
                </c:pt>
                <c:pt idx="1267">
                  <c:v>41974</c:v>
                </c:pt>
                <c:pt idx="1268">
                  <c:v>41975</c:v>
                </c:pt>
                <c:pt idx="1269">
                  <c:v>41976</c:v>
                </c:pt>
                <c:pt idx="1270">
                  <c:v>41977</c:v>
                </c:pt>
                <c:pt idx="1271">
                  <c:v>41978</c:v>
                </c:pt>
                <c:pt idx="1272">
                  <c:v>41981</c:v>
                </c:pt>
                <c:pt idx="1273">
                  <c:v>41982</c:v>
                </c:pt>
                <c:pt idx="1274">
                  <c:v>41983</c:v>
                </c:pt>
                <c:pt idx="1275">
                  <c:v>41984</c:v>
                </c:pt>
                <c:pt idx="1276">
                  <c:v>41985</c:v>
                </c:pt>
                <c:pt idx="1277">
                  <c:v>41988</c:v>
                </c:pt>
                <c:pt idx="1278">
                  <c:v>41989</c:v>
                </c:pt>
                <c:pt idx="1279">
                  <c:v>41990</c:v>
                </c:pt>
                <c:pt idx="1280">
                  <c:v>41991</c:v>
                </c:pt>
                <c:pt idx="1281">
                  <c:v>41992</c:v>
                </c:pt>
                <c:pt idx="1282">
                  <c:v>41995</c:v>
                </c:pt>
                <c:pt idx="1283">
                  <c:v>41996</c:v>
                </c:pt>
                <c:pt idx="1284">
                  <c:v>41997</c:v>
                </c:pt>
                <c:pt idx="1285">
                  <c:v>41999</c:v>
                </c:pt>
                <c:pt idx="1286">
                  <c:v>42002</c:v>
                </c:pt>
                <c:pt idx="1287">
                  <c:v>42003</c:v>
                </c:pt>
                <c:pt idx="1288">
                  <c:v>42004</c:v>
                </c:pt>
                <c:pt idx="1289">
                  <c:v>42006</c:v>
                </c:pt>
                <c:pt idx="1290">
                  <c:v>42009</c:v>
                </c:pt>
                <c:pt idx="1291">
                  <c:v>42010</c:v>
                </c:pt>
                <c:pt idx="1292">
                  <c:v>42011</c:v>
                </c:pt>
                <c:pt idx="1293">
                  <c:v>42012</c:v>
                </c:pt>
                <c:pt idx="1294">
                  <c:v>42013</c:v>
                </c:pt>
                <c:pt idx="1295">
                  <c:v>42016</c:v>
                </c:pt>
                <c:pt idx="1296">
                  <c:v>42017</c:v>
                </c:pt>
                <c:pt idx="1297">
                  <c:v>42018</c:v>
                </c:pt>
                <c:pt idx="1298">
                  <c:v>42019</c:v>
                </c:pt>
                <c:pt idx="1299">
                  <c:v>42020</c:v>
                </c:pt>
                <c:pt idx="1300">
                  <c:v>42024</c:v>
                </c:pt>
                <c:pt idx="1301">
                  <c:v>42025</c:v>
                </c:pt>
                <c:pt idx="1302">
                  <c:v>42026</c:v>
                </c:pt>
                <c:pt idx="1303">
                  <c:v>42027</c:v>
                </c:pt>
                <c:pt idx="1304">
                  <c:v>42030</c:v>
                </c:pt>
                <c:pt idx="1305">
                  <c:v>42031</c:v>
                </c:pt>
                <c:pt idx="1306">
                  <c:v>42032</c:v>
                </c:pt>
                <c:pt idx="1307">
                  <c:v>42033</c:v>
                </c:pt>
                <c:pt idx="1308">
                  <c:v>42034</c:v>
                </c:pt>
                <c:pt idx="1309">
                  <c:v>42037</c:v>
                </c:pt>
                <c:pt idx="1310">
                  <c:v>42038</c:v>
                </c:pt>
                <c:pt idx="1311">
                  <c:v>42039</c:v>
                </c:pt>
                <c:pt idx="1312">
                  <c:v>42040</c:v>
                </c:pt>
                <c:pt idx="1313">
                  <c:v>42041</c:v>
                </c:pt>
                <c:pt idx="1314">
                  <c:v>42044</c:v>
                </c:pt>
                <c:pt idx="1315">
                  <c:v>42045</c:v>
                </c:pt>
                <c:pt idx="1316">
                  <c:v>42046</c:v>
                </c:pt>
                <c:pt idx="1317">
                  <c:v>42047</c:v>
                </c:pt>
                <c:pt idx="1318">
                  <c:v>42048</c:v>
                </c:pt>
                <c:pt idx="1319">
                  <c:v>42052</c:v>
                </c:pt>
                <c:pt idx="1320">
                  <c:v>42053</c:v>
                </c:pt>
                <c:pt idx="1321">
                  <c:v>42054</c:v>
                </c:pt>
                <c:pt idx="1322">
                  <c:v>42055</c:v>
                </c:pt>
                <c:pt idx="1323">
                  <c:v>42058</c:v>
                </c:pt>
                <c:pt idx="1324">
                  <c:v>42059</c:v>
                </c:pt>
                <c:pt idx="1325">
                  <c:v>42060</c:v>
                </c:pt>
                <c:pt idx="1326">
                  <c:v>42061</c:v>
                </c:pt>
                <c:pt idx="1327">
                  <c:v>42062</c:v>
                </c:pt>
                <c:pt idx="1328">
                  <c:v>42065</c:v>
                </c:pt>
                <c:pt idx="1329">
                  <c:v>42066</c:v>
                </c:pt>
                <c:pt idx="1330">
                  <c:v>42067</c:v>
                </c:pt>
                <c:pt idx="1331">
                  <c:v>42068</c:v>
                </c:pt>
                <c:pt idx="1332">
                  <c:v>42069</c:v>
                </c:pt>
                <c:pt idx="1333">
                  <c:v>42072</c:v>
                </c:pt>
                <c:pt idx="1334">
                  <c:v>42073</c:v>
                </c:pt>
                <c:pt idx="1335">
                  <c:v>42074</c:v>
                </c:pt>
                <c:pt idx="1336">
                  <c:v>42075</c:v>
                </c:pt>
                <c:pt idx="1337">
                  <c:v>42076</c:v>
                </c:pt>
                <c:pt idx="1338">
                  <c:v>42079</c:v>
                </c:pt>
                <c:pt idx="1339">
                  <c:v>42080</c:v>
                </c:pt>
                <c:pt idx="1340">
                  <c:v>42081</c:v>
                </c:pt>
                <c:pt idx="1341">
                  <c:v>42082</c:v>
                </c:pt>
                <c:pt idx="1342">
                  <c:v>42083</c:v>
                </c:pt>
                <c:pt idx="1343">
                  <c:v>42086</c:v>
                </c:pt>
                <c:pt idx="1344">
                  <c:v>42087</c:v>
                </c:pt>
                <c:pt idx="1345">
                  <c:v>42088</c:v>
                </c:pt>
                <c:pt idx="1346">
                  <c:v>42089</c:v>
                </c:pt>
                <c:pt idx="1347">
                  <c:v>42090</c:v>
                </c:pt>
                <c:pt idx="1348">
                  <c:v>42093</c:v>
                </c:pt>
                <c:pt idx="1349">
                  <c:v>42094</c:v>
                </c:pt>
                <c:pt idx="1350">
                  <c:v>42095</c:v>
                </c:pt>
                <c:pt idx="1351">
                  <c:v>42096</c:v>
                </c:pt>
                <c:pt idx="1352">
                  <c:v>42100</c:v>
                </c:pt>
                <c:pt idx="1353">
                  <c:v>42101</c:v>
                </c:pt>
                <c:pt idx="1354">
                  <c:v>42102</c:v>
                </c:pt>
                <c:pt idx="1355">
                  <c:v>42103</c:v>
                </c:pt>
                <c:pt idx="1356">
                  <c:v>42104</c:v>
                </c:pt>
                <c:pt idx="1357">
                  <c:v>42107</c:v>
                </c:pt>
                <c:pt idx="1358">
                  <c:v>42108</c:v>
                </c:pt>
                <c:pt idx="1359">
                  <c:v>42109</c:v>
                </c:pt>
                <c:pt idx="1360">
                  <c:v>42110</c:v>
                </c:pt>
                <c:pt idx="1361">
                  <c:v>42111</c:v>
                </c:pt>
                <c:pt idx="1362">
                  <c:v>42114</c:v>
                </c:pt>
                <c:pt idx="1363">
                  <c:v>42115</c:v>
                </c:pt>
                <c:pt idx="1364">
                  <c:v>42116</c:v>
                </c:pt>
                <c:pt idx="1365">
                  <c:v>42117</c:v>
                </c:pt>
                <c:pt idx="1366">
                  <c:v>42118</c:v>
                </c:pt>
                <c:pt idx="1367">
                  <c:v>42121</c:v>
                </c:pt>
                <c:pt idx="1368">
                  <c:v>42122</c:v>
                </c:pt>
                <c:pt idx="1369">
                  <c:v>42123</c:v>
                </c:pt>
                <c:pt idx="1370">
                  <c:v>42124</c:v>
                </c:pt>
                <c:pt idx="1371">
                  <c:v>42125</c:v>
                </c:pt>
                <c:pt idx="1372">
                  <c:v>42128</c:v>
                </c:pt>
                <c:pt idx="1373">
                  <c:v>42129</c:v>
                </c:pt>
                <c:pt idx="1374">
                  <c:v>42130</c:v>
                </c:pt>
                <c:pt idx="1375">
                  <c:v>42131</c:v>
                </c:pt>
                <c:pt idx="1376">
                  <c:v>42132</c:v>
                </c:pt>
                <c:pt idx="1377">
                  <c:v>42135</c:v>
                </c:pt>
                <c:pt idx="1378">
                  <c:v>42136</c:v>
                </c:pt>
                <c:pt idx="1379">
                  <c:v>42137</c:v>
                </c:pt>
                <c:pt idx="1380">
                  <c:v>42138</c:v>
                </c:pt>
                <c:pt idx="1381">
                  <c:v>42139</c:v>
                </c:pt>
                <c:pt idx="1382">
                  <c:v>42142</c:v>
                </c:pt>
                <c:pt idx="1383">
                  <c:v>42143</c:v>
                </c:pt>
                <c:pt idx="1384">
                  <c:v>42144</c:v>
                </c:pt>
                <c:pt idx="1385">
                  <c:v>42145</c:v>
                </c:pt>
                <c:pt idx="1386">
                  <c:v>42146</c:v>
                </c:pt>
                <c:pt idx="1387">
                  <c:v>42150</c:v>
                </c:pt>
                <c:pt idx="1388">
                  <c:v>42151</c:v>
                </c:pt>
                <c:pt idx="1389">
                  <c:v>42152</c:v>
                </c:pt>
                <c:pt idx="1390">
                  <c:v>42153</c:v>
                </c:pt>
                <c:pt idx="1391">
                  <c:v>42156</c:v>
                </c:pt>
                <c:pt idx="1392">
                  <c:v>42157</c:v>
                </c:pt>
                <c:pt idx="1393">
                  <c:v>42158</c:v>
                </c:pt>
                <c:pt idx="1394">
                  <c:v>42159</c:v>
                </c:pt>
                <c:pt idx="1395">
                  <c:v>42160</c:v>
                </c:pt>
                <c:pt idx="1396">
                  <c:v>42163</c:v>
                </c:pt>
                <c:pt idx="1397">
                  <c:v>42164</c:v>
                </c:pt>
                <c:pt idx="1398">
                  <c:v>42165</c:v>
                </c:pt>
                <c:pt idx="1399">
                  <c:v>42166</c:v>
                </c:pt>
                <c:pt idx="1400">
                  <c:v>42167</c:v>
                </c:pt>
                <c:pt idx="1401">
                  <c:v>42170</c:v>
                </c:pt>
                <c:pt idx="1402">
                  <c:v>42171</c:v>
                </c:pt>
                <c:pt idx="1403">
                  <c:v>42172</c:v>
                </c:pt>
                <c:pt idx="1404">
                  <c:v>42173</c:v>
                </c:pt>
                <c:pt idx="1405">
                  <c:v>42174</c:v>
                </c:pt>
                <c:pt idx="1406">
                  <c:v>42177</c:v>
                </c:pt>
                <c:pt idx="1407">
                  <c:v>42178</c:v>
                </c:pt>
                <c:pt idx="1408">
                  <c:v>42179</c:v>
                </c:pt>
                <c:pt idx="1409">
                  <c:v>42180</c:v>
                </c:pt>
                <c:pt idx="1410">
                  <c:v>42181</c:v>
                </c:pt>
                <c:pt idx="1411">
                  <c:v>42184</c:v>
                </c:pt>
                <c:pt idx="1412">
                  <c:v>42185</c:v>
                </c:pt>
                <c:pt idx="1413">
                  <c:v>42186</c:v>
                </c:pt>
                <c:pt idx="1414">
                  <c:v>42187</c:v>
                </c:pt>
                <c:pt idx="1415">
                  <c:v>42191</c:v>
                </c:pt>
                <c:pt idx="1416">
                  <c:v>42192</c:v>
                </c:pt>
                <c:pt idx="1417">
                  <c:v>42193</c:v>
                </c:pt>
                <c:pt idx="1418">
                  <c:v>42194</c:v>
                </c:pt>
                <c:pt idx="1419">
                  <c:v>42195</c:v>
                </c:pt>
                <c:pt idx="1420">
                  <c:v>42198</c:v>
                </c:pt>
                <c:pt idx="1421">
                  <c:v>42199</c:v>
                </c:pt>
                <c:pt idx="1422">
                  <c:v>42200</c:v>
                </c:pt>
                <c:pt idx="1423">
                  <c:v>42201</c:v>
                </c:pt>
                <c:pt idx="1424">
                  <c:v>42202</c:v>
                </c:pt>
                <c:pt idx="1425">
                  <c:v>42205</c:v>
                </c:pt>
                <c:pt idx="1426">
                  <c:v>42206</c:v>
                </c:pt>
                <c:pt idx="1427">
                  <c:v>42207</c:v>
                </c:pt>
                <c:pt idx="1428">
                  <c:v>42208</c:v>
                </c:pt>
                <c:pt idx="1429">
                  <c:v>42209</c:v>
                </c:pt>
                <c:pt idx="1430">
                  <c:v>42212</c:v>
                </c:pt>
                <c:pt idx="1431">
                  <c:v>42213</c:v>
                </c:pt>
                <c:pt idx="1432">
                  <c:v>42214</c:v>
                </c:pt>
                <c:pt idx="1433">
                  <c:v>42215</c:v>
                </c:pt>
                <c:pt idx="1434">
                  <c:v>42216</c:v>
                </c:pt>
                <c:pt idx="1435">
                  <c:v>42219</c:v>
                </c:pt>
                <c:pt idx="1436">
                  <c:v>42220</c:v>
                </c:pt>
                <c:pt idx="1437">
                  <c:v>42221</c:v>
                </c:pt>
                <c:pt idx="1438">
                  <c:v>42222</c:v>
                </c:pt>
                <c:pt idx="1439">
                  <c:v>42223</c:v>
                </c:pt>
                <c:pt idx="1440">
                  <c:v>42226</c:v>
                </c:pt>
                <c:pt idx="1441">
                  <c:v>42227</c:v>
                </c:pt>
                <c:pt idx="1442">
                  <c:v>42228</c:v>
                </c:pt>
                <c:pt idx="1443">
                  <c:v>42229</c:v>
                </c:pt>
                <c:pt idx="1444">
                  <c:v>42230</c:v>
                </c:pt>
                <c:pt idx="1445">
                  <c:v>42233</c:v>
                </c:pt>
                <c:pt idx="1446">
                  <c:v>42234</c:v>
                </c:pt>
                <c:pt idx="1447">
                  <c:v>42235</c:v>
                </c:pt>
                <c:pt idx="1448">
                  <c:v>42236</c:v>
                </c:pt>
                <c:pt idx="1449">
                  <c:v>42237</c:v>
                </c:pt>
                <c:pt idx="1450">
                  <c:v>42240</c:v>
                </c:pt>
                <c:pt idx="1451">
                  <c:v>42241</c:v>
                </c:pt>
                <c:pt idx="1452">
                  <c:v>42242</c:v>
                </c:pt>
                <c:pt idx="1453">
                  <c:v>42243</c:v>
                </c:pt>
                <c:pt idx="1454">
                  <c:v>42244</c:v>
                </c:pt>
                <c:pt idx="1455">
                  <c:v>42247</c:v>
                </c:pt>
                <c:pt idx="1456">
                  <c:v>42248</c:v>
                </c:pt>
                <c:pt idx="1457">
                  <c:v>42249</c:v>
                </c:pt>
                <c:pt idx="1458">
                  <c:v>42250</c:v>
                </c:pt>
                <c:pt idx="1459">
                  <c:v>42251</c:v>
                </c:pt>
                <c:pt idx="1460">
                  <c:v>42255</c:v>
                </c:pt>
                <c:pt idx="1461">
                  <c:v>42256</c:v>
                </c:pt>
                <c:pt idx="1462">
                  <c:v>42257</c:v>
                </c:pt>
                <c:pt idx="1463">
                  <c:v>42258</c:v>
                </c:pt>
                <c:pt idx="1464">
                  <c:v>42261</c:v>
                </c:pt>
                <c:pt idx="1465">
                  <c:v>42262</c:v>
                </c:pt>
                <c:pt idx="1466">
                  <c:v>42263</c:v>
                </c:pt>
                <c:pt idx="1467">
                  <c:v>42264</c:v>
                </c:pt>
                <c:pt idx="1468">
                  <c:v>42265</c:v>
                </c:pt>
                <c:pt idx="1469">
                  <c:v>42268</c:v>
                </c:pt>
                <c:pt idx="1470">
                  <c:v>42269</c:v>
                </c:pt>
                <c:pt idx="1471">
                  <c:v>42270</c:v>
                </c:pt>
                <c:pt idx="1472">
                  <c:v>42271</c:v>
                </c:pt>
                <c:pt idx="1473">
                  <c:v>42272</c:v>
                </c:pt>
                <c:pt idx="1474">
                  <c:v>42275</c:v>
                </c:pt>
                <c:pt idx="1475">
                  <c:v>42276</c:v>
                </c:pt>
                <c:pt idx="1476">
                  <c:v>42277</c:v>
                </c:pt>
                <c:pt idx="1477">
                  <c:v>42278</c:v>
                </c:pt>
                <c:pt idx="1478">
                  <c:v>42279</c:v>
                </c:pt>
                <c:pt idx="1479">
                  <c:v>42282</c:v>
                </c:pt>
                <c:pt idx="1480">
                  <c:v>42283</c:v>
                </c:pt>
                <c:pt idx="1481">
                  <c:v>42284</c:v>
                </c:pt>
                <c:pt idx="1482">
                  <c:v>42285</c:v>
                </c:pt>
                <c:pt idx="1483">
                  <c:v>42286</c:v>
                </c:pt>
                <c:pt idx="1484">
                  <c:v>42289</c:v>
                </c:pt>
                <c:pt idx="1485">
                  <c:v>42290</c:v>
                </c:pt>
                <c:pt idx="1486">
                  <c:v>42291</c:v>
                </c:pt>
                <c:pt idx="1487">
                  <c:v>42292</c:v>
                </c:pt>
                <c:pt idx="1488">
                  <c:v>42293</c:v>
                </c:pt>
                <c:pt idx="1489">
                  <c:v>42296</c:v>
                </c:pt>
                <c:pt idx="1490">
                  <c:v>42297</c:v>
                </c:pt>
                <c:pt idx="1491">
                  <c:v>42298</c:v>
                </c:pt>
                <c:pt idx="1492">
                  <c:v>42299</c:v>
                </c:pt>
                <c:pt idx="1493">
                  <c:v>42300</c:v>
                </c:pt>
                <c:pt idx="1494">
                  <c:v>42303</c:v>
                </c:pt>
                <c:pt idx="1495">
                  <c:v>42304</c:v>
                </c:pt>
                <c:pt idx="1496">
                  <c:v>42305</c:v>
                </c:pt>
                <c:pt idx="1497">
                  <c:v>42306</c:v>
                </c:pt>
                <c:pt idx="1498">
                  <c:v>42307</c:v>
                </c:pt>
                <c:pt idx="1499">
                  <c:v>42310</c:v>
                </c:pt>
                <c:pt idx="1500">
                  <c:v>42311</c:v>
                </c:pt>
                <c:pt idx="1501">
                  <c:v>42312</c:v>
                </c:pt>
                <c:pt idx="1502">
                  <c:v>42313</c:v>
                </c:pt>
                <c:pt idx="1503">
                  <c:v>42314</c:v>
                </c:pt>
                <c:pt idx="1504">
                  <c:v>42317</c:v>
                </c:pt>
                <c:pt idx="1505">
                  <c:v>42318</c:v>
                </c:pt>
                <c:pt idx="1506">
                  <c:v>42319</c:v>
                </c:pt>
                <c:pt idx="1507">
                  <c:v>42320</c:v>
                </c:pt>
                <c:pt idx="1508">
                  <c:v>42321</c:v>
                </c:pt>
                <c:pt idx="1509">
                  <c:v>42324</c:v>
                </c:pt>
                <c:pt idx="1510">
                  <c:v>42325</c:v>
                </c:pt>
                <c:pt idx="1511">
                  <c:v>42326</c:v>
                </c:pt>
                <c:pt idx="1512">
                  <c:v>42327</c:v>
                </c:pt>
                <c:pt idx="1513">
                  <c:v>42328</c:v>
                </c:pt>
                <c:pt idx="1514">
                  <c:v>42331</c:v>
                </c:pt>
                <c:pt idx="1515">
                  <c:v>42332</c:v>
                </c:pt>
                <c:pt idx="1516">
                  <c:v>42333</c:v>
                </c:pt>
                <c:pt idx="1517">
                  <c:v>42335</c:v>
                </c:pt>
                <c:pt idx="1518">
                  <c:v>42338</c:v>
                </c:pt>
                <c:pt idx="1519">
                  <c:v>42339</c:v>
                </c:pt>
                <c:pt idx="1520">
                  <c:v>42340</c:v>
                </c:pt>
                <c:pt idx="1521">
                  <c:v>42341</c:v>
                </c:pt>
                <c:pt idx="1522">
                  <c:v>42342</c:v>
                </c:pt>
                <c:pt idx="1523">
                  <c:v>42345</c:v>
                </c:pt>
                <c:pt idx="1524">
                  <c:v>42346</c:v>
                </c:pt>
                <c:pt idx="1525">
                  <c:v>42347</c:v>
                </c:pt>
                <c:pt idx="1526">
                  <c:v>42348</c:v>
                </c:pt>
                <c:pt idx="1527">
                  <c:v>42349</c:v>
                </c:pt>
                <c:pt idx="1528">
                  <c:v>42352</c:v>
                </c:pt>
                <c:pt idx="1529">
                  <c:v>42353</c:v>
                </c:pt>
                <c:pt idx="1530">
                  <c:v>42354</c:v>
                </c:pt>
                <c:pt idx="1531">
                  <c:v>42355</c:v>
                </c:pt>
                <c:pt idx="1532">
                  <c:v>42356</c:v>
                </c:pt>
                <c:pt idx="1533">
                  <c:v>42359</c:v>
                </c:pt>
                <c:pt idx="1534">
                  <c:v>42360</c:v>
                </c:pt>
                <c:pt idx="1535">
                  <c:v>42361</c:v>
                </c:pt>
                <c:pt idx="1536">
                  <c:v>42362</c:v>
                </c:pt>
                <c:pt idx="1537">
                  <c:v>42366</c:v>
                </c:pt>
                <c:pt idx="1538">
                  <c:v>42367</c:v>
                </c:pt>
                <c:pt idx="1539">
                  <c:v>42368</c:v>
                </c:pt>
                <c:pt idx="1540">
                  <c:v>42369</c:v>
                </c:pt>
                <c:pt idx="1541">
                  <c:v>42373</c:v>
                </c:pt>
                <c:pt idx="1542">
                  <c:v>42374</c:v>
                </c:pt>
                <c:pt idx="1543">
                  <c:v>42375</c:v>
                </c:pt>
                <c:pt idx="1544">
                  <c:v>42376</c:v>
                </c:pt>
                <c:pt idx="1545">
                  <c:v>42377</c:v>
                </c:pt>
                <c:pt idx="1546">
                  <c:v>42380</c:v>
                </c:pt>
                <c:pt idx="1547">
                  <c:v>42381</c:v>
                </c:pt>
                <c:pt idx="1548">
                  <c:v>42382</c:v>
                </c:pt>
                <c:pt idx="1549">
                  <c:v>42383</c:v>
                </c:pt>
                <c:pt idx="1550">
                  <c:v>42384</c:v>
                </c:pt>
                <c:pt idx="1551">
                  <c:v>42388</c:v>
                </c:pt>
                <c:pt idx="1552">
                  <c:v>42389</c:v>
                </c:pt>
                <c:pt idx="1553">
                  <c:v>42390</c:v>
                </c:pt>
                <c:pt idx="1554">
                  <c:v>42391</c:v>
                </c:pt>
                <c:pt idx="1555">
                  <c:v>42394</c:v>
                </c:pt>
                <c:pt idx="1556">
                  <c:v>42395</c:v>
                </c:pt>
                <c:pt idx="1557">
                  <c:v>42396</c:v>
                </c:pt>
                <c:pt idx="1558">
                  <c:v>42397</c:v>
                </c:pt>
                <c:pt idx="1559">
                  <c:v>42398</c:v>
                </c:pt>
                <c:pt idx="1560">
                  <c:v>42401</c:v>
                </c:pt>
                <c:pt idx="1561">
                  <c:v>42402</c:v>
                </c:pt>
                <c:pt idx="1562">
                  <c:v>42403</c:v>
                </c:pt>
                <c:pt idx="1563">
                  <c:v>42404</c:v>
                </c:pt>
                <c:pt idx="1564">
                  <c:v>42405</c:v>
                </c:pt>
                <c:pt idx="1565">
                  <c:v>42408</c:v>
                </c:pt>
                <c:pt idx="1566">
                  <c:v>42409</c:v>
                </c:pt>
                <c:pt idx="1567">
                  <c:v>42410</c:v>
                </c:pt>
                <c:pt idx="1568">
                  <c:v>42411</c:v>
                </c:pt>
                <c:pt idx="1569">
                  <c:v>42412</c:v>
                </c:pt>
                <c:pt idx="1570">
                  <c:v>42416</c:v>
                </c:pt>
                <c:pt idx="1571">
                  <c:v>42417</c:v>
                </c:pt>
                <c:pt idx="1572">
                  <c:v>42418</c:v>
                </c:pt>
                <c:pt idx="1573">
                  <c:v>42419</c:v>
                </c:pt>
                <c:pt idx="1574">
                  <c:v>42422</c:v>
                </c:pt>
                <c:pt idx="1575">
                  <c:v>42423</c:v>
                </c:pt>
                <c:pt idx="1576">
                  <c:v>42424</c:v>
                </c:pt>
                <c:pt idx="1577">
                  <c:v>42425</c:v>
                </c:pt>
                <c:pt idx="1578">
                  <c:v>42426</c:v>
                </c:pt>
                <c:pt idx="1579">
                  <c:v>42429</c:v>
                </c:pt>
                <c:pt idx="1580">
                  <c:v>42430</c:v>
                </c:pt>
                <c:pt idx="1581">
                  <c:v>42431</c:v>
                </c:pt>
                <c:pt idx="1582">
                  <c:v>42432</c:v>
                </c:pt>
                <c:pt idx="1583">
                  <c:v>42433</c:v>
                </c:pt>
                <c:pt idx="1584">
                  <c:v>42436</c:v>
                </c:pt>
                <c:pt idx="1585">
                  <c:v>42437</c:v>
                </c:pt>
                <c:pt idx="1586">
                  <c:v>42438</c:v>
                </c:pt>
                <c:pt idx="1587">
                  <c:v>42439</c:v>
                </c:pt>
                <c:pt idx="1588">
                  <c:v>42440</c:v>
                </c:pt>
                <c:pt idx="1589">
                  <c:v>42443</c:v>
                </c:pt>
                <c:pt idx="1590">
                  <c:v>42444</c:v>
                </c:pt>
                <c:pt idx="1591">
                  <c:v>42445</c:v>
                </c:pt>
                <c:pt idx="1592">
                  <c:v>42446</c:v>
                </c:pt>
                <c:pt idx="1593">
                  <c:v>42447</c:v>
                </c:pt>
                <c:pt idx="1594">
                  <c:v>42450</c:v>
                </c:pt>
                <c:pt idx="1595">
                  <c:v>42451</c:v>
                </c:pt>
                <c:pt idx="1596">
                  <c:v>42452</c:v>
                </c:pt>
                <c:pt idx="1597">
                  <c:v>42453</c:v>
                </c:pt>
                <c:pt idx="1598">
                  <c:v>42457</c:v>
                </c:pt>
                <c:pt idx="1599">
                  <c:v>42458</c:v>
                </c:pt>
                <c:pt idx="1600">
                  <c:v>42459</c:v>
                </c:pt>
                <c:pt idx="1601">
                  <c:v>42460</c:v>
                </c:pt>
                <c:pt idx="1602">
                  <c:v>42461</c:v>
                </c:pt>
                <c:pt idx="1603">
                  <c:v>42464</c:v>
                </c:pt>
                <c:pt idx="1604">
                  <c:v>42465</c:v>
                </c:pt>
                <c:pt idx="1605">
                  <c:v>42466</c:v>
                </c:pt>
                <c:pt idx="1606">
                  <c:v>42467</c:v>
                </c:pt>
                <c:pt idx="1607">
                  <c:v>42468</c:v>
                </c:pt>
                <c:pt idx="1608">
                  <c:v>42471</c:v>
                </c:pt>
                <c:pt idx="1609">
                  <c:v>42472</c:v>
                </c:pt>
                <c:pt idx="1610">
                  <c:v>42473</c:v>
                </c:pt>
                <c:pt idx="1611">
                  <c:v>42474</c:v>
                </c:pt>
                <c:pt idx="1612">
                  <c:v>42475</c:v>
                </c:pt>
                <c:pt idx="1613">
                  <c:v>42478</c:v>
                </c:pt>
                <c:pt idx="1614">
                  <c:v>42479</c:v>
                </c:pt>
                <c:pt idx="1615">
                  <c:v>42480</c:v>
                </c:pt>
                <c:pt idx="1616">
                  <c:v>42481</c:v>
                </c:pt>
                <c:pt idx="1617">
                  <c:v>42482</c:v>
                </c:pt>
                <c:pt idx="1618">
                  <c:v>42485</c:v>
                </c:pt>
                <c:pt idx="1619">
                  <c:v>42486</c:v>
                </c:pt>
                <c:pt idx="1620">
                  <c:v>42487</c:v>
                </c:pt>
                <c:pt idx="1621">
                  <c:v>42488</c:v>
                </c:pt>
                <c:pt idx="1622">
                  <c:v>42489</c:v>
                </c:pt>
                <c:pt idx="1623">
                  <c:v>42492</c:v>
                </c:pt>
                <c:pt idx="1624">
                  <c:v>42493</c:v>
                </c:pt>
                <c:pt idx="1625">
                  <c:v>42494</c:v>
                </c:pt>
                <c:pt idx="1626">
                  <c:v>42495</c:v>
                </c:pt>
                <c:pt idx="1627">
                  <c:v>42496</c:v>
                </c:pt>
                <c:pt idx="1628">
                  <c:v>42499</c:v>
                </c:pt>
                <c:pt idx="1629">
                  <c:v>42500</c:v>
                </c:pt>
                <c:pt idx="1630">
                  <c:v>42501</c:v>
                </c:pt>
                <c:pt idx="1631">
                  <c:v>42502</c:v>
                </c:pt>
                <c:pt idx="1632">
                  <c:v>42503</c:v>
                </c:pt>
                <c:pt idx="1633">
                  <c:v>42506</c:v>
                </c:pt>
                <c:pt idx="1634">
                  <c:v>42507</c:v>
                </c:pt>
                <c:pt idx="1635">
                  <c:v>42508</c:v>
                </c:pt>
                <c:pt idx="1636">
                  <c:v>42509</c:v>
                </c:pt>
                <c:pt idx="1637">
                  <c:v>42510</c:v>
                </c:pt>
                <c:pt idx="1638">
                  <c:v>42513</c:v>
                </c:pt>
                <c:pt idx="1639">
                  <c:v>42514</c:v>
                </c:pt>
                <c:pt idx="1640">
                  <c:v>42515</c:v>
                </c:pt>
                <c:pt idx="1641">
                  <c:v>42516</c:v>
                </c:pt>
                <c:pt idx="1642">
                  <c:v>42517</c:v>
                </c:pt>
                <c:pt idx="1643">
                  <c:v>42521</c:v>
                </c:pt>
                <c:pt idx="1644">
                  <c:v>42522</c:v>
                </c:pt>
                <c:pt idx="1645">
                  <c:v>42523</c:v>
                </c:pt>
                <c:pt idx="1646">
                  <c:v>42524</c:v>
                </c:pt>
                <c:pt idx="1647">
                  <c:v>42527</c:v>
                </c:pt>
                <c:pt idx="1648">
                  <c:v>42528</c:v>
                </c:pt>
                <c:pt idx="1649">
                  <c:v>42529</c:v>
                </c:pt>
                <c:pt idx="1650">
                  <c:v>42530</c:v>
                </c:pt>
                <c:pt idx="1651">
                  <c:v>42531</c:v>
                </c:pt>
                <c:pt idx="1652">
                  <c:v>42534</c:v>
                </c:pt>
                <c:pt idx="1653">
                  <c:v>42535</c:v>
                </c:pt>
                <c:pt idx="1654">
                  <c:v>42536</c:v>
                </c:pt>
                <c:pt idx="1655">
                  <c:v>42537</c:v>
                </c:pt>
                <c:pt idx="1656">
                  <c:v>42538</c:v>
                </c:pt>
                <c:pt idx="1657">
                  <c:v>42541</c:v>
                </c:pt>
                <c:pt idx="1658">
                  <c:v>42542</c:v>
                </c:pt>
                <c:pt idx="1659">
                  <c:v>42543</c:v>
                </c:pt>
                <c:pt idx="1660">
                  <c:v>42544</c:v>
                </c:pt>
                <c:pt idx="1661">
                  <c:v>42545</c:v>
                </c:pt>
                <c:pt idx="1662">
                  <c:v>42548</c:v>
                </c:pt>
                <c:pt idx="1663">
                  <c:v>42549</c:v>
                </c:pt>
                <c:pt idx="1664">
                  <c:v>42550</c:v>
                </c:pt>
                <c:pt idx="1665">
                  <c:v>42551</c:v>
                </c:pt>
                <c:pt idx="1666">
                  <c:v>42552</c:v>
                </c:pt>
                <c:pt idx="1667">
                  <c:v>42556</c:v>
                </c:pt>
                <c:pt idx="1668">
                  <c:v>42557</c:v>
                </c:pt>
                <c:pt idx="1669">
                  <c:v>42558</c:v>
                </c:pt>
                <c:pt idx="1670">
                  <c:v>42559</c:v>
                </c:pt>
                <c:pt idx="1671">
                  <c:v>42562</c:v>
                </c:pt>
                <c:pt idx="1672">
                  <c:v>42563</c:v>
                </c:pt>
                <c:pt idx="1673">
                  <c:v>42564</c:v>
                </c:pt>
                <c:pt idx="1674">
                  <c:v>42565</c:v>
                </c:pt>
                <c:pt idx="1675">
                  <c:v>42566</c:v>
                </c:pt>
                <c:pt idx="1676">
                  <c:v>42569</c:v>
                </c:pt>
                <c:pt idx="1677">
                  <c:v>42570</c:v>
                </c:pt>
                <c:pt idx="1678">
                  <c:v>42571</c:v>
                </c:pt>
                <c:pt idx="1679">
                  <c:v>42572</c:v>
                </c:pt>
                <c:pt idx="1680">
                  <c:v>42573</c:v>
                </c:pt>
                <c:pt idx="1681">
                  <c:v>42576</c:v>
                </c:pt>
                <c:pt idx="1682">
                  <c:v>42577</c:v>
                </c:pt>
                <c:pt idx="1683">
                  <c:v>42578</c:v>
                </c:pt>
                <c:pt idx="1684">
                  <c:v>42579</c:v>
                </c:pt>
                <c:pt idx="1685">
                  <c:v>42580</c:v>
                </c:pt>
                <c:pt idx="1686">
                  <c:v>42583</c:v>
                </c:pt>
                <c:pt idx="1687">
                  <c:v>42584</c:v>
                </c:pt>
                <c:pt idx="1688">
                  <c:v>42585</c:v>
                </c:pt>
                <c:pt idx="1689">
                  <c:v>42586</c:v>
                </c:pt>
                <c:pt idx="1690">
                  <c:v>42587</c:v>
                </c:pt>
                <c:pt idx="1691">
                  <c:v>42590</c:v>
                </c:pt>
                <c:pt idx="1692">
                  <c:v>42591</c:v>
                </c:pt>
                <c:pt idx="1693">
                  <c:v>42592</c:v>
                </c:pt>
                <c:pt idx="1694">
                  <c:v>42593</c:v>
                </c:pt>
                <c:pt idx="1695">
                  <c:v>42594</c:v>
                </c:pt>
                <c:pt idx="1696">
                  <c:v>42597</c:v>
                </c:pt>
                <c:pt idx="1697">
                  <c:v>42598</c:v>
                </c:pt>
                <c:pt idx="1698">
                  <c:v>42599</c:v>
                </c:pt>
                <c:pt idx="1699">
                  <c:v>42600</c:v>
                </c:pt>
                <c:pt idx="1700">
                  <c:v>42601</c:v>
                </c:pt>
                <c:pt idx="1701">
                  <c:v>42604</c:v>
                </c:pt>
                <c:pt idx="1702">
                  <c:v>42605</c:v>
                </c:pt>
                <c:pt idx="1703">
                  <c:v>42606</c:v>
                </c:pt>
                <c:pt idx="1704">
                  <c:v>42607</c:v>
                </c:pt>
                <c:pt idx="1705">
                  <c:v>42608</c:v>
                </c:pt>
                <c:pt idx="1706">
                  <c:v>42611</c:v>
                </c:pt>
                <c:pt idx="1707">
                  <c:v>42612</c:v>
                </c:pt>
                <c:pt idx="1708">
                  <c:v>42613</c:v>
                </c:pt>
                <c:pt idx="1709">
                  <c:v>42614</c:v>
                </c:pt>
                <c:pt idx="1710">
                  <c:v>42615</c:v>
                </c:pt>
                <c:pt idx="1711">
                  <c:v>42619</c:v>
                </c:pt>
                <c:pt idx="1712">
                  <c:v>42620</c:v>
                </c:pt>
                <c:pt idx="1713">
                  <c:v>42621</c:v>
                </c:pt>
                <c:pt idx="1714">
                  <c:v>42622</c:v>
                </c:pt>
                <c:pt idx="1715">
                  <c:v>42625</c:v>
                </c:pt>
                <c:pt idx="1716">
                  <c:v>42626</c:v>
                </c:pt>
                <c:pt idx="1717">
                  <c:v>42627</c:v>
                </c:pt>
                <c:pt idx="1718">
                  <c:v>42628</c:v>
                </c:pt>
                <c:pt idx="1719">
                  <c:v>42629</c:v>
                </c:pt>
                <c:pt idx="1720">
                  <c:v>42632</c:v>
                </c:pt>
                <c:pt idx="1721">
                  <c:v>42633</c:v>
                </c:pt>
                <c:pt idx="1722">
                  <c:v>42634</c:v>
                </c:pt>
                <c:pt idx="1723">
                  <c:v>42635</c:v>
                </c:pt>
                <c:pt idx="1724">
                  <c:v>42636</c:v>
                </c:pt>
                <c:pt idx="1725">
                  <c:v>42639</c:v>
                </c:pt>
                <c:pt idx="1726">
                  <c:v>42640</c:v>
                </c:pt>
                <c:pt idx="1727">
                  <c:v>42641</c:v>
                </c:pt>
                <c:pt idx="1728">
                  <c:v>42642</c:v>
                </c:pt>
                <c:pt idx="1729">
                  <c:v>42643</c:v>
                </c:pt>
                <c:pt idx="1730">
                  <c:v>42646</c:v>
                </c:pt>
                <c:pt idx="1731">
                  <c:v>42647</c:v>
                </c:pt>
                <c:pt idx="1732">
                  <c:v>42648</c:v>
                </c:pt>
                <c:pt idx="1733">
                  <c:v>42649</c:v>
                </c:pt>
                <c:pt idx="1734">
                  <c:v>42650</c:v>
                </c:pt>
                <c:pt idx="1735">
                  <c:v>42653</c:v>
                </c:pt>
                <c:pt idx="1736">
                  <c:v>42654</c:v>
                </c:pt>
                <c:pt idx="1737">
                  <c:v>42655</c:v>
                </c:pt>
                <c:pt idx="1738">
                  <c:v>42656</c:v>
                </c:pt>
                <c:pt idx="1739">
                  <c:v>42657</c:v>
                </c:pt>
                <c:pt idx="1740">
                  <c:v>42660</c:v>
                </c:pt>
                <c:pt idx="1741">
                  <c:v>42661</c:v>
                </c:pt>
                <c:pt idx="1742">
                  <c:v>42662</c:v>
                </c:pt>
                <c:pt idx="1743">
                  <c:v>42663</c:v>
                </c:pt>
                <c:pt idx="1744">
                  <c:v>42664</c:v>
                </c:pt>
                <c:pt idx="1745">
                  <c:v>42667</c:v>
                </c:pt>
                <c:pt idx="1746">
                  <c:v>42668</c:v>
                </c:pt>
                <c:pt idx="1747">
                  <c:v>42669</c:v>
                </c:pt>
                <c:pt idx="1748">
                  <c:v>42670</c:v>
                </c:pt>
                <c:pt idx="1749">
                  <c:v>42671</c:v>
                </c:pt>
                <c:pt idx="1750">
                  <c:v>42674</c:v>
                </c:pt>
                <c:pt idx="1751">
                  <c:v>42675</c:v>
                </c:pt>
                <c:pt idx="1752">
                  <c:v>42676</c:v>
                </c:pt>
                <c:pt idx="1753">
                  <c:v>42677</c:v>
                </c:pt>
                <c:pt idx="1754">
                  <c:v>42678</c:v>
                </c:pt>
                <c:pt idx="1755">
                  <c:v>42681</c:v>
                </c:pt>
                <c:pt idx="1756">
                  <c:v>42682</c:v>
                </c:pt>
                <c:pt idx="1757">
                  <c:v>42683</c:v>
                </c:pt>
                <c:pt idx="1758">
                  <c:v>42684</c:v>
                </c:pt>
                <c:pt idx="1759">
                  <c:v>42685</c:v>
                </c:pt>
                <c:pt idx="1760">
                  <c:v>42688</c:v>
                </c:pt>
                <c:pt idx="1761">
                  <c:v>42689</c:v>
                </c:pt>
                <c:pt idx="1762">
                  <c:v>42690</c:v>
                </c:pt>
                <c:pt idx="1763">
                  <c:v>42691</c:v>
                </c:pt>
                <c:pt idx="1764">
                  <c:v>42692</c:v>
                </c:pt>
                <c:pt idx="1765">
                  <c:v>42695</c:v>
                </c:pt>
                <c:pt idx="1766">
                  <c:v>42696</c:v>
                </c:pt>
                <c:pt idx="1767">
                  <c:v>42697</c:v>
                </c:pt>
                <c:pt idx="1768">
                  <c:v>42699</c:v>
                </c:pt>
                <c:pt idx="1769">
                  <c:v>42702</c:v>
                </c:pt>
                <c:pt idx="1770">
                  <c:v>42703</c:v>
                </c:pt>
                <c:pt idx="1771">
                  <c:v>42704</c:v>
                </c:pt>
                <c:pt idx="1772">
                  <c:v>42705</c:v>
                </c:pt>
                <c:pt idx="1773">
                  <c:v>42706</c:v>
                </c:pt>
                <c:pt idx="1774">
                  <c:v>42709</c:v>
                </c:pt>
                <c:pt idx="1775">
                  <c:v>42710</c:v>
                </c:pt>
                <c:pt idx="1776">
                  <c:v>42711</c:v>
                </c:pt>
                <c:pt idx="1777">
                  <c:v>42712</c:v>
                </c:pt>
                <c:pt idx="1778">
                  <c:v>42713</c:v>
                </c:pt>
                <c:pt idx="1779">
                  <c:v>42716</c:v>
                </c:pt>
                <c:pt idx="1780">
                  <c:v>42717</c:v>
                </c:pt>
                <c:pt idx="1781">
                  <c:v>42718</c:v>
                </c:pt>
                <c:pt idx="1782">
                  <c:v>42719</c:v>
                </c:pt>
                <c:pt idx="1783">
                  <c:v>42720</c:v>
                </c:pt>
                <c:pt idx="1784">
                  <c:v>42723</c:v>
                </c:pt>
                <c:pt idx="1785">
                  <c:v>42724</c:v>
                </c:pt>
                <c:pt idx="1786">
                  <c:v>42725</c:v>
                </c:pt>
                <c:pt idx="1787">
                  <c:v>42726</c:v>
                </c:pt>
                <c:pt idx="1788">
                  <c:v>42727</c:v>
                </c:pt>
                <c:pt idx="1789">
                  <c:v>42731</c:v>
                </c:pt>
                <c:pt idx="1790">
                  <c:v>42732</c:v>
                </c:pt>
                <c:pt idx="1791">
                  <c:v>42733</c:v>
                </c:pt>
                <c:pt idx="1792">
                  <c:v>42734</c:v>
                </c:pt>
                <c:pt idx="1793">
                  <c:v>42738</c:v>
                </c:pt>
                <c:pt idx="1794">
                  <c:v>42739</c:v>
                </c:pt>
                <c:pt idx="1795">
                  <c:v>42740</c:v>
                </c:pt>
                <c:pt idx="1796">
                  <c:v>42741</c:v>
                </c:pt>
                <c:pt idx="1797">
                  <c:v>42744</c:v>
                </c:pt>
                <c:pt idx="1798">
                  <c:v>42745</c:v>
                </c:pt>
                <c:pt idx="1799">
                  <c:v>42746</c:v>
                </c:pt>
                <c:pt idx="1800">
                  <c:v>42747</c:v>
                </c:pt>
                <c:pt idx="1801">
                  <c:v>42748</c:v>
                </c:pt>
                <c:pt idx="1802">
                  <c:v>42752</c:v>
                </c:pt>
                <c:pt idx="1803">
                  <c:v>42753</c:v>
                </c:pt>
                <c:pt idx="1804">
                  <c:v>42754</c:v>
                </c:pt>
                <c:pt idx="1805">
                  <c:v>42755</c:v>
                </c:pt>
                <c:pt idx="1806">
                  <c:v>42758</c:v>
                </c:pt>
                <c:pt idx="1807">
                  <c:v>42759</c:v>
                </c:pt>
                <c:pt idx="1808">
                  <c:v>42760</c:v>
                </c:pt>
                <c:pt idx="1809">
                  <c:v>42761</c:v>
                </c:pt>
                <c:pt idx="1810">
                  <c:v>42762</c:v>
                </c:pt>
                <c:pt idx="1811">
                  <c:v>42765</c:v>
                </c:pt>
                <c:pt idx="1812">
                  <c:v>42766</c:v>
                </c:pt>
                <c:pt idx="1813">
                  <c:v>42767</c:v>
                </c:pt>
                <c:pt idx="1814">
                  <c:v>42768</c:v>
                </c:pt>
                <c:pt idx="1815">
                  <c:v>42769</c:v>
                </c:pt>
                <c:pt idx="1816">
                  <c:v>42772</c:v>
                </c:pt>
                <c:pt idx="1817">
                  <c:v>42773</c:v>
                </c:pt>
                <c:pt idx="1818">
                  <c:v>42774</c:v>
                </c:pt>
                <c:pt idx="1819">
                  <c:v>42775</c:v>
                </c:pt>
                <c:pt idx="1820">
                  <c:v>42776</c:v>
                </c:pt>
                <c:pt idx="1821">
                  <c:v>42779</c:v>
                </c:pt>
                <c:pt idx="1822">
                  <c:v>42780</c:v>
                </c:pt>
                <c:pt idx="1823">
                  <c:v>42781</c:v>
                </c:pt>
                <c:pt idx="1824">
                  <c:v>42782</c:v>
                </c:pt>
                <c:pt idx="1825">
                  <c:v>42783</c:v>
                </c:pt>
                <c:pt idx="1826">
                  <c:v>42787</c:v>
                </c:pt>
                <c:pt idx="1827">
                  <c:v>42788</c:v>
                </c:pt>
                <c:pt idx="1828">
                  <c:v>42789</c:v>
                </c:pt>
                <c:pt idx="1829">
                  <c:v>42790</c:v>
                </c:pt>
                <c:pt idx="1830">
                  <c:v>42793</c:v>
                </c:pt>
                <c:pt idx="1831">
                  <c:v>42794</c:v>
                </c:pt>
                <c:pt idx="1832">
                  <c:v>42795</c:v>
                </c:pt>
                <c:pt idx="1833">
                  <c:v>42796</c:v>
                </c:pt>
                <c:pt idx="1834">
                  <c:v>42797</c:v>
                </c:pt>
                <c:pt idx="1835">
                  <c:v>42800</c:v>
                </c:pt>
                <c:pt idx="1836">
                  <c:v>42801</c:v>
                </c:pt>
                <c:pt idx="1837">
                  <c:v>42802</c:v>
                </c:pt>
                <c:pt idx="1838">
                  <c:v>42803</c:v>
                </c:pt>
                <c:pt idx="1839">
                  <c:v>42804</c:v>
                </c:pt>
                <c:pt idx="1840">
                  <c:v>42807</c:v>
                </c:pt>
                <c:pt idx="1841">
                  <c:v>42808</c:v>
                </c:pt>
                <c:pt idx="1842">
                  <c:v>42809</c:v>
                </c:pt>
                <c:pt idx="1843">
                  <c:v>42810</c:v>
                </c:pt>
                <c:pt idx="1844">
                  <c:v>42811</c:v>
                </c:pt>
                <c:pt idx="1845">
                  <c:v>42814</c:v>
                </c:pt>
                <c:pt idx="1846">
                  <c:v>42815</c:v>
                </c:pt>
                <c:pt idx="1847">
                  <c:v>42816</c:v>
                </c:pt>
                <c:pt idx="1848">
                  <c:v>42817</c:v>
                </c:pt>
                <c:pt idx="1849">
                  <c:v>42818</c:v>
                </c:pt>
                <c:pt idx="1850">
                  <c:v>42821</c:v>
                </c:pt>
                <c:pt idx="1851">
                  <c:v>42822</c:v>
                </c:pt>
                <c:pt idx="1852">
                  <c:v>42823</c:v>
                </c:pt>
                <c:pt idx="1853">
                  <c:v>42824</c:v>
                </c:pt>
                <c:pt idx="1854">
                  <c:v>42825</c:v>
                </c:pt>
                <c:pt idx="1855">
                  <c:v>42828</c:v>
                </c:pt>
                <c:pt idx="1856">
                  <c:v>42829</c:v>
                </c:pt>
                <c:pt idx="1857">
                  <c:v>42830</c:v>
                </c:pt>
                <c:pt idx="1858">
                  <c:v>42831</c:v>
                </c:pt>
                <c:pt idx="1859">
                  <c:v>42832</c:v>
                </c:pt>
                <c:pt idx="1860">
                  <c:v>42835</c:v>
                </c:pt>
                <c:pt idx="1861">
                  <c:v>42836</c:v>
                </c:pt>
                <c:pt idx="1862">
                  <c:v>42837</c:v>
                </c:pt>
                <c:pt idx="1863">
                  <c:v>42838</c:v>
                </c:pt>
                <c:pt idx="1864">
                  <c:v>42842</c:v>
                </c:pt>
                <c:pt idx="1865">
                  <c:v>42843</c:v>
                </c:pt>
                <c:pt idx="1866">
                  <c:v>42844</c:v>
                </c:pt>
                <c:pt idx="1867">
                  <c:v>42845</c:v>
                </c:pt>
                <c:pt idx="1868">
                  <c:v>42846</c:v>
                </c:pt>
                <c:pt idx="1869">
                  <c:v>42849</c:v>
                </c:pt>
                <c:pt idx="1870">
                  <c:v>42850</c:v>
                </c:pt>
                <c:pt idx="1871">
                  <c:v>42851</c:v>
                </c:pt>
                <c:pt idx="1872">
                  <c:v>42852</c:v>
                </c:pt>
                <c:pt idx="1873">
                  <c:v>42853</c:v>
                </c:pt>
                <c:pt idx="1874">
                  <c:v>42856</c:v>
                </c:pt>
                <c:pt idx="1875">
                  <c:v>42857</c:v>
                </c:pt>
                <c:pt idx="1876">
                  <c:v>42858</c:v>
                </c:pt>
                <c:pt idx="1877">
                  <c:v>42859</c:v>
                </c:pt>
                <c:pt idx="1878">
                  <c:v>42860</c:v>
                </c:pt>
                <c:pt idx="1879">
                  <c:v>42863</c:v>
                </c:pt>
                <c:pt idx="1880">
                  <c:v>42864</c:v>
                </c:pt>
                <c:pt idx="1881">
                  <c:v>42865</c:v>
                </c:pt>
                <c:pt idx="1882">
                  <c:v>42866</c:v>
                </c:pt>
                <c:pt idx="1883">
                  <c:v>42867</c:v>
                </c:pt>
                <c:pt idx="1884">
                  <c:v>42870</c:v>
                </c:pt>
                <c:pt idx="1885">
                  <c:v>42871</c:v>
                </c:pt>
                <c:pt idx="1886">
                  <c:v>42872</c:v>
                </c:pt>
                <c:pt idx="1887">
                  <c:v>42873</c:v>
                </c:pt>
                <c:pt idx="1888">
                  <c:v>42874</c:v>
                </c:pt>
                <c:pt idx="1889">
                  <c:v>42877</c:v>
                </c:pt>
                <c:pt idx="1890">
                  <c:v>42878</c:v>
                </c:pt>
                <c:pt idx="1891">
                  <c:v>42879</c:v>
                </c:pt>
                <c:pt idx="1892">
                  <c:v>42880</c:v>
                </c:pt>
                <c:pt idx="1893">
                  <c:v>42881</c:v>
                </c:pt>
                <c:pt idx="1894">
                  <c:v>42885</c:v>
                </c:pt>
                <c:pt idx="1895">
                  <c:v>42886</c:v>
                </c:pt>
                <c:pt idx="1896">
                  <c:v>42887</c:v>
                </c:pt>
                <c:pt idx="1897">
                  <c:v>42888</c:v>
                </c:pt>
                <c:pt idx="1898">
                  <c:v>42891</c:v>
                </c:pt>
                <c:pt idx="1899">
                  <c:v>42892</c:v>
                </c:pt>
                <c:pt idx="1900">
                  <c:v>42893</c:v>
                </c:pt>
                <c:pt idx="1901">
                  <c:v>42894</c:v>
                </c:pt>
                <c:pt idx="1902">
                  <c:v>42895</c:v>
                </c:pt>
                <c:pt idx="1903">
                  <c:v>42898</c:v>
                </c:pt>
                <c:pt idx="1904">
                  <c:v>42899</c:v>
                </c:pt>
                <c:pt idx="1905">
                  <c:v>42900</c:v>
                </c:pt>
                <c:pt idx="1906">
                  <c:v>42901</c:v>
                </c:pt>
                <c:pt idx="1907">
                  <c:v>42902</c:v>
                </c:pt>
                <c:pt idx="1908">
                  <c:v>42905</c:v>
                </c:pt>
                <c:pt idx="1909">
                  <c:v>42906</c:v>
                </c:pt>
                <c:pt idx="1910">
                  <c:v>42907</c:v>
                </c:pt>
                <c:pt idx="1911">
                  <c:v>42908</c:v>
                </c:pt>
                <c:pt idx="1912">
                  <c:v>42909</c:v>
                </c:pt>
                <c:pt idx="1913">
                  <c:v>42912</c:v>
                </c:pt>
                <c:pt idx="1914">
                  <c:v>42913</c:v>
                </c:pt>
                <c:pt idx="1915">
                  <c:v>42914</c:v>
                </c:pt>
                <c:pt idx="1916">
                  <c:v>42915</c:v>
                </c:pt>
                <c:pt idx="1917">
                  <c:v>42916</c:v>
                </c:pt>
                <c:pt idx="1918">
                  <c:v>42919</c:v>
                </c:pt>
                <c:pt idx="1919">
                  <c:v>42921</c:v>
                </c:pt>
                <c:pt idx="1920">
                  <c:v>42922</c:v>
                </c:pt>
                <c:pt idx="1921">
                  <c:v>42923</c:v>
                </c:pt>
                <c:pt idx="1922">
                  <c:v>42926</c:v>
                </c:pt>
                <c:pt idx="1923">
                  <c:v>42927</c:v>
                </c:pt>
                <c:pt idx="1924">
                  <c:v>42928</c:v>
                </c:pt>
                <c:pt idx="1925">
                  <c:v>42929</c:v>
                </c:pt>
                <c:pt idx="1926">
                  <c:v>42930</c:v>
                </c:pt>
                <c:pt idx="1927">
                  <c:v>42933</c:v>
                </c:pt>
                <c:pt idx="1928">
                  <c:v>42934</c:v>
                </c:pt>
                <c:pt idx="1929">
                  <c:v>42935</c:v>
                </c:pt>
                <c:pt idx="1930">
                  <c:v>42936</c:v>
                </c:pt>
                <c:pt idx="1931">
                  <c:v>42937</c:v>
                </c:pt>
                <c:pt idx="1932">
                  <c:v>42940</c:v>
                </c:pt>
                <c:pt idx="1933">
                  <c:v>42941</c:v>
                </c:pt>
                <c:pt idx="1934">
                  <c:v>42942</c:v>
                </c:pt>
                <c:pt idx="1935">
                  <c:v>42943</c:v>
                </c:pt>
                <c:pt idx="1936">
                  <c:v>42944</c:v>
                </c:pt>
                <c:pt idx="1937">
                  <c:v>42947</c:v>
                </c:pt>
                <c:pt idx="1938">
                  <c:v>42948</c:v>
                </c:pt>
                <c:pt idx="1939">
                  <c:v>42949</c:v>
                </c:pt>
                <c:pt idx="1940">
                  <c:v>42950</c:v>
                </c:pt>
                <c:pt idx="1941">
                  <c:v>42951</c:v>
                </c:pt>
                <c:pt idx="1942">
                  <c:v>42954</c:v>
                </c:pt>
                <c:pt idx="1943">
                  <c:v>42955</c:v>
                </c:pt>
                <c:pt idx="1944">
                  <c:v>42956</c:v>
                </c:pt>
                <c:pt idx="1945">
                  <c:v>42957</c:v>
                </c:pt>
                <c:pt idx="1946">
                  <c:v>42958</c:v>
                </c:pt>
                <c:pt idx="1947">
                  <c:v>42961</c:v>
                </c:pt>
                <c:pt idx="1948">
                  <c:v>42962</c:v>
                </c:pt>
                <c:pt idx="1949">
                  <c:v>42963</c:v>
                </c:pt>
                <c:pt idx="1950">
                  <c:v>42964</c:v>
                </c:pt>
                <c:pt idx="1951">
                  <c:v>42965</c:v>
                </c:pt>
                <c:pt idx="1952">
                  <c:v>42968</c:v>
                </c:pt>
                <c:pt idx="1953">
                  <c:v>42969</c:v>
                </c:pt>
                <c:pt idx="1954">
                  <c:v>42970</c:v>
                </c:pt>
                <c:pt idx="1955">
                  <c:v>42971</c:v>
                </c:pt>
                <c:pt idx="1956">
                  <c:v>42972</c:v>
                </c:pt>
                <c:pt idx="1957">
                  <c:v>42975</c:v>
                </c:pt>
                <c:pt idx="1958">
                  <c:v>42976</c:v>
                </c:pt>
                <c:pt idx="1959">
                  <c:v>42977</c:v>
                </c:pt>
                <c:pt idx="1960">
                  <c:v>42978</c:v>
                </c:pt>
                <c:pt idx="1961">
                  <c:v>42979</c:v>
                </c:pt>
                <c:pt idx="1962">
                  <c:v>42983</c:v>
                </c:pt>
                <c:pt idx="1963">
                  <c:v>42984</c:v>
                </c:pt>
                <c:pt idx="1964">
                  <c:v>42985</c:v>
                </c:pt>
                <c:pt idx="1965">
                  <c:v>42986</c:v>
                </c:pt>
                <c:pt idx="1966">
                  <c:v>42989</c:v>
                </c:pt>
                <c:pt idx="1967">
                  <c:v>42990</c:v>
                </c:pt>
                <c:pt idx="1968">
                  <c:v>42991</c:v>
                </c:pt>
                <c:pt idx="1969">
                  <c:v>42992</c:v>
                </c:pt>
                <c:pt idx="1970">
                  <c:v>42993</c:v>
                </c:pt>
                <c:pt idx="1971">
                  <c:v>42996</c:v>
                </c:pt>
                <c:pt idx="1972">
                  <c:v>42997</c:v>
                </c:pt>
                <c:pt idx="1973">
                  <c:v>42998</c:v>
                </c:pt>
                <c:pt idx="1974">
                  <c:v>42999</c:v>
                </c:pt>
                <c:pt idx="1975">
                  <c:v>43000</c:v>
                </c:pt>
                <c:pt idx="1976">
                  <c:v>43003</c:v>
                </c:pt>
                <c:pt idx="1977">
                  <c:v>43004</c:v>
                </c:pt>
                <c:pt idx="1978">
                  <c:v>43005</c:v>
                </c:pt>
                <c:pt idx="1979">
                  <c:v>43006</c:v>
                </c:pt>
                <c:pt idx="1980">
                  <c:v>43007</c:v>
                </c:pt>
                <c:pt idx="1981">
                  <c:v>43010</c:v>
                </c:pt>
                <c:pt idx="1982">
                  <c:v>43011</c:v>
                </c:pt>
                <c:pt idx="1983">
                  <c:v>43012</c:v>
                </c:pt>
                <c:pt idx="1984">
                  <c:v>43013</c:v>
                </c:pt>
                <c:pt idx="1985">
                  <c:v>43014</c:v>
                </c:pt>
                <c:pt idx="1986">
                  <c:v>43017</c:v>
                </c:pt>
                <c:pt idx="1987">
                  <c:v>43018</c:v>
                </c:pt>
                <c:pt idx="1988">
                  <c:v>43019</c:v>
                </c:pt>
                <c:pt idx="1989">
                  <c:v>43020</c:v>
                </c:pt>
                <c:pt idx="1990">
                  <c:v>43021</c:v>
                </c:pt>
                <c:pt idx="1991">
                  <c:v>43024</c:v>
                </c:pt>
                <c:pt idx="1992">
                  <c:v>43025</c:v>
                </c:pt>
                <c:pt idx="1993">
                  <c:v>43026</c:v>
                </c:pt>
                <c:pt idx="1994">
                  <c:v>43027</c:v>
                </c:pt>
                <c:pt idx="1995">
                  <c:v>43028</c:v>
                </c:pt>
                <c:pt idx="1996">
                  <c:v>43031</c:v>
                </c:pt>
                <c:pt idx="1997">
                  <c:v>43032</c:v>
                </c:pt>
                <c:pt idx="1998">
                  <c:v>43033</c:v>
                </c:pt>
                <c:pt idx="1999">
                  <c:v>43034</c:v>
                </c:pt>
                <c:pt idx="2000">
                  <c:v>43035</c:v>
                </c:pt>
                <c:pt idx="2001">
                  <c:v>43038</c:v>
                </c:pt>
                <c:pt idx="2002">
                  <c:v>43039</c:v>
                </c:pt>
                <c:pt idx="2003">
                  <c:v>43040</c:v>
                </c:pt>
                <c:pt idx="2004">
                  <c:v>43041</c:v>
                </c:pt>
                <c:pt idx="2005">
                  <c:v>43042</c:v>
                </c:pt>
                <c:pt idx="2006">
                  <c:v>43045</c:v>
                </c:pt>
                <c:pt idx="2007">
                  <c:v>43046</c:v>
                </c:pt>
                <c:pt idx="2008">
                  <c:v>43047</c:v>
                </c:pt>
                <c:pt idx="2009">
                  <c:v>43048</c:v>
                </c:pt>
                <c:pt idx="2010">
                  <c:v>43049</c:v>
                </c:pt>
                <c:pt idx="2011">
                  <c:v>43052</c:v>
                </c:pt>
                <c:pt idx="2012">
                  <c:v>43053</c:v>
                </c:pt>
                <c:pt idx="2013">
                  <c:v>43054</c:v>
                </c:pt>
                <c:pt idx="2014">
                  <c:v>43055</c:v>
                </c:pt>
                <c:pt idx="2015">
                  <c:v>43056</c:v>
                </c:pt>
                <c:pt idx="2016">
                  <c:v>43059</c:v>
                </c:pt>
                <c:pt idx="2017">
                  <c:v>43060</c:v>
                </c:pt>
                <c:pt idx="2018">
                  <c:v>43061</c:v>
                </c:pt>
                <c:pt idx="2019">
                  <c:v>43063</c:v>
                </c:pt>
                <c:pt idx="2020">
                  <c:v>43066</c:v>
                </c:pt>
                <c:pt idx="2021">
                  <c:v>43067</c:v>
                </c:pt>
                <c:pt idx="2022">
                  <c:v>43068</c:v>
                </c:pt>
                <c:pt idx="2023">
                  <c:v>43069</c:v>
                </c:pt>
                <c:pt idx="2024">
                  <c:v>43070</c:v>
                </c:pt>
                <c:pt idx="2025">
                  <c:v>43073</c:v>
                </c:pt>
                <c:pt idx="2026">
                  <c:v>43074</c:v>
                </c:pt>
                <c:pt idx="2027">
                  <c:v>43075</c:v>
                </c:pt>
                <c:pt idx="2028">
                  <c:v>43076</c:v>
                </c:pt>
                <c:pt idx="2029">
                  <c:v>43077</c:v>
                </c:pt>
                <c:pt idx="2030">
                  <c:v>43080</c:v>
                </c:pt>
                <c:pt idx="2031">
                  <c:v>43081</c:v>
                </c:pt>
                <c:pt idx="2032">
                  <c:v>43082</c:v>
                </c:pt>
                <c:pt idx="2033">
                  <c:v>43083</c:v>
                </c:pt>
                <c:pt idx="2034">
                  <c:v>43084</c:v>
                </c:pt>
                <c:pt idx="2035">
                  <c:v>43087</c:v>
                </c:pt>
                <c:pt idx="2036">
                  <c:v>43088</c:v>
                </c:pt>
                <c:pt idx="2037">
                  <c:v>43089</c:v>
                </c:pt>
                <c:pt idx="2038">
                  <c:v>43090</c:v>
                </c:pt>
                <c:pt idx="2039">
                  <c:v>43091</c:v>
                </c:pt>
                <c:pt idx="2040">
                  <c:v>43095</c:v>
                </c:pt>
                <c:pt idx="2041">
                  <c:v>43096</c:v>
                </c:pt>
                <c:pt idx="2042">
                  <c:v>43097</c:v>
                </c:pt>
                <c:pt idx="2043">
                  <c:v>43098</c:v>
                </c:pt>
                <c:pt idx="2044">
                  <c:v>43102</c:v>
                </c:pt>
                <c:pt idx="2045">
                  <c:v>43103</c:v>
                </c:pt>
                <c:pt idx="2046">
                  <c:v>43104</c:v>
                </c:pt>
                <c:pt idx="2047">
                  <c:v>43105</c:v>
                </c:pt>
                <c:pt idx="2048">
                  <c:v>43108</c:v>
                </c:pt>
                <c:pt idx="2049">
                  <c:v>43109</c:v>
                </c:pt>
                <c:pt idx="2050">
                  <c:v>43110</c:v>
                </c:pt>
                <c:pt idx="2051">
                  <c:v>43111</c:v>
                </c:pt>
                <c:pt idx="2052">
                  <c:v>43112</c:v>
                </c:pt>
                <c:pt idx="2053">
                  <c:v>43116</c:v>
                </c:pt>
                <c:pt idx="2054">
                  <c:v>43117</c:v>
                </c:pt>
                <c:pt idx="2055">
                  <c:v>43118</c:v>
                </c:pt>
                <c:pt idx="2056">
                  <c:v>43119</c:v>
                </c:pt>
                <c:pt idx="2057">
                  <c:v>43122</c:v>
                </c:pt>
                <c:pt idx="2058">
                  <c:v>43123</c:v>
                </c:pt>
                <c:pt idx="2059">
                  <c:v>43124</c:v>
                </c:pt>
                <c:pt idx="2060">
                  <c:v>43125</c:v>
                </c:pt>
                <c:pt idx="2061">
                  <c:v>43126</c:v>
                </c:pt>
                <c:pt idx="2062">
                  <c:v>43129</c:v>
                </c:pt>
                <c:pt idx="2063">
                  <c:v>43130</c:v>
                </c:pt>
                <c:pt idx="2064">
                  <c:v>43131</c:v>
                </c:pt>
                <c:pt idx="2065">
                  <c:v>43132</c:v>
                </c:pt>
                <c:pt idx="2066">
                  <c:v>43133</c:v>
                </c:pt>
                <c:pt idx="2067">
                  <c:v>43136</c:v>
                </c:pt>
                <c:pt idx="2068">
                  <c:v>43137</c:v>
                </c:pt>
                <c:pt idx="2069">
                  <c:v>43138</c:v>
                </c:pt>
                <c:pt idx="2070">
                  <c:v>43139</c:v>
                </c:pt>
                <c:pt idx="2071">
                  <c:v>43140</c:v>
                </c:pt>
                <c:pt idx="2072">
                  <c:v>43143</c:v>
                </c:pt>
                <c:pt idx="2073">
                  <c:v>43144</c:v>
                </c:pt>
                <c:pt idx="2074">
                  <c:v>43145</c:v>
                </c:pt>
                <c:pt idx="2075">
                  <c:v>43146</c:v>
                </c:pt>
                <c:pt idx="2076">
                  <c:v>43147</c:v>
                </c:pt>
                <c:pt idx="2077">
                  <c:v>43151</c:v>
                </c:pt>
                <c:pt idx="2078">
                  <c:v>43152</c:v>
                </c:pt>
                <c:pt idx="2079">
                  <c:v>43153</c:v>
                </c:pt>
                <c:pt idx="2080">
                  <c:v>43154</c:v>
                </c:pt>
                <c:pt idx="2081">
                  <c:v>43157</c:v>
                </c:pt>
                <c:pt idx="2082">
                  <c:v>43158</c:v>
                </c:pt>
                <c:pt idx="2083">
                  <c:v>43159</c:v>
                </c:pt>
                <c:pt idx="2084">
                  <c:v>43160</c:v>
                </c:pt>
                <c:pt idx="2085">
                  <c:v>43161</c:v>
                </c:pt>
                <c:pt idx="2086">
                  <c:v>43164</c:v>
                </c:pt>
                <c:pt idx="2087">
                  <c:v>43165</c:v>
                </c:pt>
                <c:pt idx="2088">
                  <c:v>43166</c:v>
                </c:pt>
                <c:pt idx="2089">
                  <c:v>43167</c:v>
                </c:pt>
                <c:pt idx="2090">
                  <c:v>43168</c:v>
                </c:pt>
                <c:pt idx="2091">
                  <c:v>43171</c:v>
                </c:pt>
                <c:pt idx="2092">
                  <c:v>43172</c:v>
                </c:pt>
                <c:pt idx="2093">
                  <c:v>43173</c:v>
                </c:pt>
                <c:pt idx="2094">
                  <c:v>43174</c:v>
                </c:pt>
                <c:pt idx="2095">
                  <c:v>43175</c:v>
                </c:pt>
                <c:pt idx="2096">
                  <c:v>43178</c:v>
                </c:pt>
                <c:pt idx="2097">
                  <c:v>43179</c:v>
                </c:pt>
                <c:pt idx="2098">
                  <c:v>43180</c:v>
                </c:pt>
                <c:pt idx="2099">
                  <c:v>43181</c:v>
                </c:pt>
                <c:pt idx="2100">
                  <c:v>43182</c:v>
                </c:pt>
                <c:pt idx="2101">
                  <c:v>43185</c:v>
                </c:pt>
                <c:pt idx="2102">
                  <c:v>43186</c:v>
                </c:pt>
                <c:pt idx="2103">
                  <c:v>43187</c:v>
                </c:pt>
                <c:pt idx="2104">
                  <c:v>43188</c:v>
                </c:pt>
                <c:pt idx="2105">
                  <c:v>43192</c:v>
                </c:pt>
                <c:pt idx="2106">
                  <c:v>43193</c:v>
                </c:pt>
                <c:pt idx="2107">
                  <c:v>43194</c:v>
                </c:pt>
                <c:pt idx="2108">
                  <c:v>43195</c:v>
                </c:pt>
                <c:pt idx="2109">
                  <c:v>43196</c:v>
                </c:pt>
                <c:pt idx="2110">
                  <c:v>43199</c:v>
                </c:pt>
                <c:pt idx="2111">
                  <c:v>43200</c:v>
                </c:pt>
                <c:pt idx="2112">
                  <c:v>43201</c:v>
                </c:pt>
                <c:pt idx="2113">
                  <c:v>43202</c:v>
                </c:pt>
                <c:pt idx="2114">
                  <c:v>43203</c:v>
                </c:pt>
                <c:pt idx="2115">
                  <c:v>43206</c:v>
                </c:pt>
                <c:pt idx="2116">
                  <c:v>43207</c:v>
                </c:pt>
                <c:pt idx="2117">
                  <c:v>43208</c:v>
                </c:pt>
                <c:pt idx="2118">
                  <c:v>43209</c:v>
                </c:pt>
                <c:pt idx="2119">
                  <c:v>43210</c:v>
                </c:pt>
                <c:pt idx="2120">
                  <c:v>43213</c:v>
                </c:pt>
                <c:pt idx="2121">
                  <c:v>43214</c:v>
                </c:pt>
                <c:pt idx="2122">
                  <c:v>43215</c:v>
                </c:pt>
                <c:pt idx="2123">
                  <c:v>43216</c:v>
                </c:pt>
                <c:pt idx="2124">
                  <c:v>43217</c:v>
                </c:pt>
                <c:pt idx="2125">
                  <c:v>43220</c:v>
                </c:pt>
                <c:pt idx="2126">
                  <c:v>43221</c:v>
                </c:pt>
                <c:pt idx="2127">
                  <c:v>43222</c:v>
                </c:pt>
                <c:pt idx="2128">
                  <c:v>43223</c:v>
                </c:pt>
                <c:pt idx="2129">
                  <c:v>43224</c:v>
                </c:pt>
                <c:pt idx="2130">
                  <c:v>43227</c:v>
                </c:pt>
                <c:pt idx="2131">
                  <c:v>43228</c:v>
                </c:pt>
                <c:pt idx="2132">
                  <c:v>43229</c:v>
                </c:pt>
                <c:pt idx="2133">
                  <c:v>43230</c:v>
                </c:pt>
                <c:pt idx="2134">
                  <c:v>43231</c:v>
                </c:pt>
                <c:pt idx="2135">
                  <c:v>43234</c:v>
                </c:pt>
                <c:pt idx="2136">
                  <c:v>43235</c:v>
                </c:pt>
                <c:pt idx="2137">
                  <c:v>43236</c:v>
                </c:pt>
                <c:pt idx="2138">
                  <c:v>43237</c:v>
                </c:pt>
                <c:pt idx="2139">
                  <c:v>43238</c:v>
                </c:pt>
                <c:pt idx="2140">
                  <c:v>43241</c:v>
                </c:pt>
                <c:pt idx="2141">
                  <c:v>43242</c:v>
                </c:pt>
                <c:pt idx="2142">
                  <c:v>43243</c:v>
                </c:pt>
                <c:pt idx="2143">
                  <c:v>43244</c:v>
                </c:pt>
                <c:pt idx="2144">
                  <c:v>43245</c:v>
                </c:pt>
                <c:pt idx="2145">
                  <c:v>43249</c:v>
                </c:pt>
                <c:pt idx="2146">
                  <c:v>43250</c:v>
                </c:pt>
                <c:pt idx="2147">
                  <c:v>43251</c:v>
                </c:pt>
                <c:pt idx="2148">
                  <c:v>43252</c:v>
                </c:pt>
                <c:pt idx="2149">
                  <c:v>43255</c:v>
                </c:pt>
                <c:pt idx="2150">
                  <c:v>43256</c:v>
                </c:pt>
                <c:pt idx="2151">
                  <c:v>43257</c:v>
                </c:pt>
                <c:pt idx="2152">
                  <c:v>43258</c:v>
                </c:pt>
                <c:pt idx="2153">
                  <c:v>43259</c:v>
                </c:pt>
                <c:pt idx="2154">
                  <c:v>43262</c:v>
                </c:pt>
                <c:pt idx="2155">
                  <c:v>43263</c:v>
                </c:pt>
                <c:pt idx="2156">
                  <c:v>43264</c:v>
                </c:pt>
                <c:pt idx="2157">
                  <c:v>43265</c:v>
                </c:pt>
                <c:pt idx="2158">
                  <c:v>43266</c:v>
                </c:pt>
                <c:pt idx="2159">
                  <c:v>43269</c:v>
                </c:pt>
                <c:pt idx="2160">
                  <c:v>43270</c:v>
                </c:pt>
                <c:pt idx="2161">
                  <c:v>43271</c:v>
                </c:pt>
                <c:pt idx="2162">
                  <c:v>43272</c:v>
                </c:pt>
                <c:pt idx="2163">
                  <c:v>43273</c:v>
                </c:pt>
                <c:pt idx="2164">
                  <c:v>43276</c:v>
                </c:pt>
                <c:pt idx="2165">
                  <c:v>43277</c:v>
                </c:pt>
                <c:pt idx="2166">
                  <c:v>43278</c:v>
                </c:pt>
                <c:pt idx="2167">
                  <c:v>43279</c:v>
                </c:pt>
                <c:pt idx="2168">
                  <c:v>43280</c:v>
                </c:pt>
                <c:pt idx="2169">
                  <c:v>43283</c:v>
                </c:pt>
                <c:pt idx="2170">
                  <c:v>43284</c:v>
                </c:pt>
                <c:pt idx="2171">
                  <c:v>43286</c:v>
                </c:pt>
                <c:pt idx="2172">
                  <c:v>43287</c:v>
                </c:pt>
                <c:pt idx="2173">
                  <c:v>43290</c:v>
                </c:pt>
                <c:pt idx="2174">
                  <c:v>43291</c:v>
                </c:pt>
                <c:pt idx="2175">
                  <c:v>43292</c:v>
                </c:pt>
                <c:pt idx="2176">
                  <c:v>43293</c:v>
                </c:pt>
                <c:pt idx="2177">
                  <c:v>43294</c:v>
                </c:pt>
                <c:pt idx="2178">
                  <c:v>43297</c:v>
                </c:pt>
                <c:pt idx="2179">
                  <c:v>43298</c:v>
                </c:pt>
                <c:pt idx="2180">
                  <c:v>43299</c:v>
                </c:pt>
                <c:pt idx="2181">
                  <c:v>43300</c:v>
                </c:pt>
                <c:pt idx="2182">
                  <c:v>43301</c:v>
                </c:pt>
                <c:pt idx="2183">
                  <c:v>43304</c:v>
                </c:pt>
                <c:pt idx="2184">
                  <c:v>43305</c:v>
                </c:pt>
                <c:pt idx="2185">
                  <c:v>43306</c:v>
                </c:pt>
                <c:pt idx="2186">
                  <c:v>43307</c:v>
                </c:pt>
                <c:pt idx="2187">
                  <c:v>43308</c:v>
                </c:pt>
                <c:pt idx="2188">
                  <c:v>43311</c:v>
                </c:pt>
                <c:pt idx="2189">
                  <c:v>43312</c:v>
                </c:pt>
                <c:pt idx="2190">
                  <c:v>43313</c:v>
                </c:pt>
                <c:pt idx="2191">
                  <c:v>43314</c:v>
                </c:pt>
                <c:pt idx="2192">
                  <c:v>43315</c:v>
                </c:pt>
                <c:pt idx="2193">
                  <c:v>43318</c:v>
                </c:pt>
                <c:pt idx="2194">
                  <c:v>43319</c:v>
                </c:pt>
                <c:pt idx="2195">
                  <c:v>43320</c:v>
                </c:pt>
                <c:pt idx="2196">
                  <c:v>43321</c:v>
                </c:pt>
                <c:pt idx="2197">
                  <c:v>43322</c:v>
                </c:pt>
                <c:pt idx="2198">
                  <c:v>43325</c:v>
                </c:pt>
                <c:pt idx="2199">
                  <c:v>43326</c:v>
                </c:pt>
                <c:pt idx="2200">
                  <c:v>43327</c:v>
                </c:pt>
                <c:pt idx="2201">
                  <c:v>43328</c:v>
                </c:pt>
                <c:pt idx="2202">
                  <c:v>43329</c:v>
                </c:pt>
                <c:pt idx="2203">
                  <c:v>43332</c:v>
                </c:pt>
                <c:pt idx="2204">
                  <c:v>43333</c:v>
                </c:pt>
                <c:pt idx="2205">
                  <c:v>43334</c:v>
                </c:pt>
                <c:pt idx="2206">
                  <c:v>43335</c:v>
                </c:pt>
                <c:pt idx="2207">
                  <c:v>43336</c:v>
                </c:pt>
                <c:pt idx="2208">
                  <c:v>43339</c:v>
                </c:pt>
                <c:pt idx="2209">
                  <c:v>43340</c:v>
                </c:pt>
                <c:pt idx="2210">
                  <c:v>43341</c:v>
                </c:pt>
                <c:pt idx="2211">
                  <c:v>43342</c:v>
                </c:pt>
                <c:pt idx="2212">
                  <c:v>43343</c:v>
                </c:pt>
                <c:pt idx="2213">
                  <c:v>43347</c:v>
                </c:pt>
                <c:pt idx="2214">
                  <c:v>43348</c:v>
                </c:pt>
                <c:pt idx="2215">
                  <c:v>43349</c:v>
                </c:pt>
                <c:pt idx="2216">
                  <c:v>43350</c:v>
                </c:pt>
                <c:pt idx="2217">
                  <c:v>43353</c:v>
                </c:pt>
                <c:pt idx="2218">
                  <c:v>43354</c:v>
                </c:pt>
                <c:pt idx="2219">
                  <c:v>43355</c:v>
                </c:pt>
                <c:pt idx="2220">
                  <c:v>43356</c:v>
                </c:pt>
                <c:pt idx="2221">
                  <c:v>43357</c:v>
                </c:pt>
                <c:pt idx="2222">
                  <c:v>43360</c:v>
                </c:pt>
                <c:pt idx="2223">
                  <c:v>43361</c:v>
                </c:pt>
                <c:pt idx="2224">
                  <c:v>43362</c:v>
                </c:pt>
                <c:pt idx="2225">
                  <c:v>43363</c:v>
                </c:pt>
                <c:pt idx="2226">
                  <c:v>43364</c:v>
                </c:pt>
                <c:pt idx="2227">
                  <c:v>43367</c:v>
                </c:pt>
                <c:pt idx="2228">
                  <c:v>43368</c:v>
                </c:pt>
                <c:pt idx="2229">
                  <c:v>43369</c:v>
                </c:pt>
                <c:pt idx="2230">
                  <c:v>43370</c:v>
                </c:pt>
                <c:pt idx="2231">
                  <c:v>43371</c:v>
                </c:pt>
                <c:pt idx="2232">
                  <c:v>43374</c:v>
                </c:pt>
                <c:pt idx="2233">
                  <c:v>43375</c:v>
                </c:pt>
                <c:pt idx="2234">
                  <c:v>43376</c:v>
                </c:pt>
                <c:pt idx="2235">
                  <c:v>43377</c:v>
                </c:pt>
                <c:pt idx="2236">
                  <c:v>43378</c:v>
                </c:pt>
                <c:pt idx="2237">
                  <c:v>43381</c:v>
                </c:pt>
                <c:pt idx="2238">
                  <c:v>43382</c:v>
                </c:pt>
                <c:pt idx="2239">
                  <c:v>43383</c:v>
                </c:pt>
                <c:pt idx="2240">
                  <c:v>43384</c:v>
                </c:pt>
                <c:pt idx="2241">
                  <c:v>43385</c:v>
                </c:pt>
                <c:pt idx="2242">
                  <c:v>43388</c:v>
                </c:pt>
                <c:pt idx="2243">
                  <c:v>43389</c:v>
                </c:pt>
                <c:pt idx="2244">
                  <c:v>43390</c:v>
                </c:pt>
                <c:pt idx="2245">
                  <c:v>43391</c:v>
                </c:pt>
                <c:pt idx="2246">
                  <c:v>43392</c:v>
                </c:pt>
                <c:pt idx="2247">
                  <c:v>43395</c:v>
                </c:pt>
                <c:pt idx="2248">
                  <c:v>43396</c:v>
                </c:pt>
                <c:pt idx="2249">
                  <c:v>43397</c:v>
                </c:pt>
                <c:pt idx="2250">
                  <c:v>43398</c:v>
                </c:pt>
                <c:pt idx="2251">
                  <c:v>43399</c:v>
                </c:pt>
                <c:pt idx="2252">
                  <c:v>43402</c:v>
                </c:pt>
                <c:pt idx="2253">
                  <c:v>43403</c:v>
                </c:pt>
                <c:pt idx="2254">
                  <c:v>43404</c:v>
                </c:pt>
                <c:pt idx="2255">
                  <c:v>43405</c:v>
                </c:pt>
                <c:pt idx="2256">
                  <c:v>43406</c:v>
                </c:pt>
                <c:pt idx="2257">
                  <c:v>43409</c:v>
                </c:pt>
                <c:pt idx="2258">
                  <c:v>43410</c:v>
                </c:pt>
                <c:pt idx="2259">
                  <c:v>43411</c:v>
                </c:pt>
                <c:pt idx="2260">
                  <c:v>43412</c:v>
                </c:pt>
                <c:pt idx="2261">
                  <c:v>43413</c:v>
                </c:pt>
                <c:pt idx="2262">
                  <c:v>43416</c:v>
                </c:pt>
                <c:pt idx="2263">
                  <c:v>43417</c:v>
                </c:pt>
                <c:pt idx="2264">
                  <c:v>43418</c:v>
                </c:pt>
                <c:pt idx="2265">
                  <c:v>43419</c:v>
                </c:pt>
                <c:pt idx="2266">
                  <c:v>43420</c:v>
                </c:pt>
                <c:pt idx="2267">
                  <c:v>43423</c:v>
                </c:pt>
                <c:pt idx="2268">
                  <c:v>43424</c:v>
                </c:pt>
                <c:pt idx="2269">
                  <c:v>43425</c:v>
                </c:pt>
                <c:pt idx="2270">
                  <c:v>43427</c:v>
                </c:pt>
                <c:pt idx="2271">
                  <c:v>43430</c:v>
                </c:pt>
                <c:pt idx="2272">
                  <c:v>43431</c:v>
                </c:pt>
                <c:pt idx="2273">
                  <c:v>43432</c:v>
                </c:pt>
                <c:pt idx="2274">
                  <c:v>43433</c:v>
                </c:pt>
                <c:pt idx="2275">
                  <c:v>43434</c:v>
                </c:pt>
                <c:pt idx="2276">
                  <c:v>43437</c:v>
                </c:pt>
                <c:pt idx="2277">
                  <c:v>43438</c:v>
                </c:pt>
                <c:pt idx="2278">
                  <c:v>43440</c:v>
                </c:pt>
                <c:pt idx="2279">
                  <c:v>43441</c:v>
                </c:pt>
                <c:pt idx="2280">
                  <c:v>43444</c:v>
                </c:pt>
                <c:pt idx="2281">
                  <c:v>43445</c:v>
                </c:pt>
                <c:pt idx="2282">
                  <c:v>43446</c:v>
                </c:pt>
                <c:pt idx="2283">
                  <c:v>43447</c:v>
                </c:pt>
                <c:pt idx="2284">
                  <c:v>43448</c:v>
                </c:pt>
                <c:pt idx="2285">
                  <c:v>43451</c:v>
                </c:pt>
                <c:pt idx="2286">
                  <c:v>43452</c:v>
                </c:pt>
                <c:pt idx="2287">
                  <c:v>43453</c:v>
                </c:pt>
                <c:pt idx="2288">
                  <c:v>43454</c:v>
                </c:pt>
                <c:pt idx="2289">
                  <c:v>43455</c:v>
                </c:pt>
                <c:pt idx="2290">
                  <c:v>43458</c:v>
                </c:pt>
                <c:pt idx="2291">
                  <c:v>43460</c:v>
                </c:pt>
                <c:pt idx="2292">
                  <c:v>43461</c:v>
                </c:pt>
                <c:pt idx="2293">
                  <c:v>43462</c:v>
                </c:pt>
                <c:pt idx="2294">
                  <c:v>43465</c:v>
                </c:pt>
                <c:pt idx="2295">
                  <c:v>43467</c:v>
                </c:pt>
                <c:pt idx="2296">
                  <c:v>43468</c:v>
                </c:pt>
                <c:pt idx="2297">
                  <c:v>43469</c:v>
                </c:pt>
                <c:pt idx="2298">
                  <c:v>43472</c:v>
                </c:pt>
                <c:pt idx="2299">
                  <c:v>43473</c:v>
                </c:pt>
                <c:pt idx="2300">
                  <c:v>43474</c:v>
                </c:pt>
                <c:pt idx="2301">
                  <c:v>43475</c:v>
                </c:pt>
                <c:pt idx="2302">
                  <c:v>43476</c:v>
                </c:pt>
                <c:pt idx="2303">
                  <c:v>43479</c:v>
                </c:pt>
                <c:pt idx="2304">
                  <c:v>43480</c:v>
                </c:pt>
                <c:pt idx="2305">
                  <c:v>43481</c:v>
                </c:pt>
                <c:pt idx="2306">
                  <c:v>43482</c:v>
                </c:pt>
                <c:pt idx="2307">
                  <c:v>43483</c:v>
                </c:pt>
                <c:pt idx="2308">
                  <c:v>43487</c:v>
                </c:pt>
                <c:pt idx="2309">
                  <c:v>43488</c:v>
                </c:pt>
                <c:pt idx="2310">
                  <c:v>43489</c:v>
                </c:pt>
                <c:pt idx="2311">
                  <c:v>43490</c:v>
                </c:pt>
                <c:pt idx="2312">
                  <c:v>43493</c:v>
                </c:pt>
                <c:pt idx="2313">
                  <c:v>43494</c:v>
                </c:pt>
                <c:pt idx="2314">
                  <c:v>43495</c:v>
                </c:pt>
                <c:pt idx="2315">
                  <c:v>43496</c:v>
                </c:pt>
                <c:pt idx="2316">
                  <c:v>43497</c:v>
                </c:pt>
                <c:pt idx="2317">
                  <c:v>43500</c:v>
                </c:pt>
                <c:pt idx="2318">
                  <c:v>43501</c:v>
                </c:pt>
                <c:pt idx="2319">
                  <c:v>43502</c:v>
                </c:pt>
                <c:pt idx="2320">
                  <c:v>43503</c:v>
                </c:pt>
                <c:pt idx="2321">
                  <c:v>43504</c:v>
                </c:pt>
                <c:pt idx="2322">
                  <c:v>43507</c:v>
                </c:pt>
                <c:pt idx="2323">
                  <c:v>43508</c:v>
                </c:pt>
                <c:pt idx="2324">
                  <c:v>43509</c:v>
                </c:pt>
                <c:pt idx="2325">
                  <c:v>43510</c:v>
                </c:pt>
                <c:pt idx="2326">
                  <c:v>43511</c:v>
                </c:pt>
                <c:pt idx="2327">
                  <c:v>43515</c:v>
                </c:pt>
                <c:pt idx="2328">
                  <c:v>43516</c:v>
                </c:pt>
                <c:pt idx="2329">
                  <c:v>43517</c:v>
                </c:pt>
                <c:pt idx="2330">
                  <c:v>43518</c:v>
                </c:pt>
                <c:pt idx="2331">
                  <c:v>43521</c:v>
                </c:pt>
                <c:pt idx="2332">
                  <c:v>43522</c:v>
                </c:pt>
                <c:pt idx="2333">
                  <c:v>43523</c:v>
                </c:pt>
                <c:pt idx="2334">
                  <c:v>43524</c:v>
                </c:pt>
                <c:pt idx="2335">
                  <c:v>43525</c:v>
                </c:pt>
                <c:pt idx="2336">
                  <c:v>43528</c:v>
                </c:pt>
                <c:pt idx="2337">
                  <c:v>43529</c:v>
                </c:pt>
                <c:pt idx="2338">
                  <c:v>43530</c:v>
                </c:pt>
                <c:pt idx="2339">
                  <c:v>43531</c:v>
                </c:pt>
                <c:pt idx="2340">
                  <c:v>43532</c:v>
                </c:pt>
                <c:pt idx="2341">
                  <c:v>43535</c:v>
                </c:pt>
                <c:pt idx="2342">
                  <c:v>43536</c:v>
                </c:pt>
                <c:pt idx="2343">
                  <c:v>43537</c:v>
                </c:pt>
                <c:pt idx="2344">
                  <c:v>43538</c:v>
                </c:pt>
                <c:pt idx="2345">
                  <c:v>43539</c:v>
                </c:pt>
                <c:pt idx="2346">
                  <c:v>43542</c:v>
                </c:pt>
                <c:pt idx="2347">
                  <c:v>43543</c:v>
                </c:pt>
                <c:pt idx="2348">
                  <c:v>43544</c:v>
                </c:pt>
                <c:pt idx="2349">
                  <c:v>43545</c:v>
                </c:pt>
                <c:pt idx="2350">
                  <c:v>43546</c:v>
                </c:pt>
                <c:pt idx="2351">
                  <c:v>43549</c:v>
                </c:pt>
                <c:pt idx="2352">
                  <c:v>43550</c:v>
                </c:pt>
                <c:pt idx="2353">
                  <c:v>43551</c:v>
                </c:pt>
                <c:pt idx="2354">
                  <c:v>43552</c:v>
                </c:pt>
                <c:pt idx="2355">
                  <c:v>43553</c:v>
                </c:pt>
                <c:pt idx="2356">
                  <c:v>43556</c:v>
                </c:pt>
                <c:pt idx="2357">
                  <c:v>43557</c:v>
                </c:pt>
                <c:pt idx="2358">
                  <c:v>43558</c:v>
                </c:pt>
                <c:pt idx="2359">
                  <c:v>43559</c:v>
                </c:pt>
                <c:pt idx="2360">
                  <c:v>43560</c:v>
                </c:pt>
                <c:pt idx="2361">
                  <c:v>43563</c:v>
                </c:pt>
                <c:pt idx="2362">
                  <c:v>43564</c:v>
                </c:pt>
                <c:pt idx="2363">
                  <c:v>43565</c:v>
                </c:pt>
                <c:pt idx="2364">
                  <c:v>43566</c:v>
                </c:pt>
                <c:pt idx="2365">
                  <c:v>43567</c:v>
                </c:pt>
                <c:pt idx="2366">
                  <c:v>43570</c:v>
                </c:pt>
                <c:pt idx="2367">
                  <c:v>43571</c:v>
                </c:pt>
                <c:pt idx="2368">
                  <c:v>43572</c:v>
                </c:pt>
                <c:pt idx="2369">
                  <c:v>43573</c:v>
                </c:pt>
                <c:pt idx="2370">
                  <c:v>43577</c:v>
                </c:pt>
                <c:pt idx="2371">
                  <c:v>43578</c:v>
                </c:pt>
                <c:pt idx="2372">
                  <c:v>43579</c:v>
                </c:pt>
                <c:pt idx="2373">
                  <c:v>43580</c:v>
                </c:pt>
                <c:pt idx="2374">
                  <c:v>43581</c:v>
                </c:pt>
                <c:pt idx="2375">
                  <c:v>43584</c:v>
                </c:pt>
                <c:pt idx="2376">
                  <c:v>43585</c:v>
                </c:pt>
                <c:pt idx="2377">
                  <c:v>43586</c:v>
                </c:pt>
                <c:pt idx="2378">
                  <c:v>43587</c:v>
                </c:pt>
                <c:pt idx="2379">
                  <c:v>43588</c:v>
                </c:pt>
                <c:pt idx="2380">
                  <c:v>43591</c:v>
                </c:pt>
                <c:pt idx="2381">
                  <c:v>43592</c:v>
                </c:pt>
                <c:pt idx="2382">
                  <c:v>43593</c:v>
                </c:pt>
                <c:pt idx="2383">
                  <c:v>43594</c:v>
                </c:pt>
                <c:pt idx="2384">
                  <c:v>43595</c:v>
                </c:pt>
                <c:pt idx="2385">
                  <c:v>43598</c:v>
                </c:pt>
                <c:pt idx="2386">
                  <c:v>43599</c:v>
                </c:pt>
                <c:pt idx="2387">
                  <c:v>43600</c:v>
                </c:pt>
                <c:pt idx="2388">
                  <c:v>43601</c:v>
                </c:pt>
                <c:pt idx="2389">
                  <c:v>43602</c:v>
                </c:pt>
                <c:pt idx="2390">
                  <c:v>43605</c:v>
                </c:pt>
                <c:pt idx="2391">
                  <c:v>43606</c:v>
                </c:pt>
                <c:pt idx="2392">
                  <c:v>43607</c:v>
                </c:pt>
                <c:pt idx="2393">
                  <c:v>43608</c:v>
                </c:pt>
                <c:pt idx="2394">
                  <c:v>43609</c:v>
                </c:pt>
                <c:pt idx="2395">
                  <c:v>43613</c:v>
                </c:pt>
                <c:pt idx="2396">
                  <c:v>43614</c:v>
                </c:pt>
                <c:pt idx="2397">
                  <c:v>43615</c:v>
                </c:pt>
                <c:pt idx="2398">
                  <c:v>43616</c:v>
                </c:pt>
                <c:pt idx="2399">
                  <c:v>43619</c:v>
                </c:pt>
                <c:pt idx="2400">
                  <c:v>43620</c:v>
                </c:pt>
                <c:pt idx="2401">
                  <c:v>43621</c:v>
                </c:pt>
                <c:pt idx="2402">
                  <c:v>43622</c:v>
                </c:pt>
                <c:pt idx="2403">
                  <c:v>43623</c:v>
                </c:pt>
                <c:pt idx="2404">
                  <c:v>43626</c:v>
                </c:pt>
                <c:pt idx="2405">
                  <c:v>43627</c:v>
                </c:pt>
                <c:pt idx="2406">
                  <c:v>43628</c:v>
                </c:pt>
                <c:pt idx="2407">
                  <c:v>43629</c:v>
                </c:pt>
                <c:pt idx="2408">
                  <c:v>43630</c:v>
                </c:pt>
                <c:pt idx="2409">
                  <c:v>43633</c:v>
                </c:pt>
                <c:pt idx="2410">
                  <c:v>43634</c:v>
                </c:pt>
                <c:pt idx="2411">
                  <c:v>43635</c:v>
                </c:pt>
                <c:pt idx="2412">
                  <c:v>43636</c:v>
                </c:pt>
                <c:pt idx="2413">
                  <c:v>43637</c:v>
                </c:pt>
                <c:pt idx="2414">
                  <c:v>43640</c:v>
                </c:pt>
                <c:pt idx="2415">
                  <c:v>43641</c:v>
                </c:pt>
                <c:pt idx="2416">
                  <c:v>43642</c:v>
                </c:pt>
                <c:pt idx="2417">
                  <c:v>43643</c:v>
                </c:pt>
                <c:pt idx="2418">
                  <c:v>43644</c:v>
                </c:pt>
                <c:pt idx="2419">
                  <c:v>43647</c:v>
                </c:pt>
                <c:pt idx="2420">
                  <c:v>43648</c:v>
                </c:pt>
                <c:pt idx="2421">
                  <c:v>43649</c:v>
                </c:pt>
                <c:pt idx="2422">
                  <c:v>43651</c:v>
                </c:pt>
                <c:pt idx="2423">
                  <c:v>43654</c:v>
                </c:pt>
                <c:pt idx="2424">
                  <c:v>43655</c:v>
                </c:pt>
                <c:pt idx="2425">
                  <c:v>43656</c:v>
                </c:pt>
                <c:pt idx="2426">
                  <c:v>43657</c:v>
                </c:pt>
                <c:pt idx="2427">
                  <c:v>43658</c:v>
                </c:pt>
                <c:pt idx="2428">
                  <c:v>43661</c:v>
                </c:pt>
                <c:pt idx="2429">
                  <c:v>43662</c:v>
                </c:pt>
                <c:pt idx="2430">
                  <c:v>43663</c:v>
                </c:pt>
                <c:pt idx="2431">
                  <c:v>43664</c:v>
                </c:pt>
                <c:pt idx="2432">
                  <c:v>43665</c:v>
                </c:pt>
                <c:pt idx="2433">
                  <c:v>43668</c:v>
                </c:pt>
                <c:pt idx="2434">
                  <c:v>43669</c:v>
                </c:pt>
                <c:pt idx="2435">
                  <c:v>43670</c:v>
                </c:pt>
                <c:pt idx="2436">
                  <c:v>43671</c:v>
                </c:pt>
                <c:pt idx="2437">
                  <c:v>43672</c:v>
                </c:pt>
                <c:pt idx="2438">
                  <c:v>43675</c:v>
                </c:pt>
                <c:pt idx="2439">
                  <c:v>43676</c:v>
                </c:pt>
                <c:pt idx="2440">
                  <c:v>43677</c:v>
                </c:pt>
                <c:pt idx="2441">
                  <c:v>43678</c:v>
                </c:pt>
                <c:pt idx="2442">
                  <c:v>43679</c:v>
                </c:pt>
                <c:pt idx="2443">
                  <c:v>43682</c:v>
                </c:pt>
                <c:pt idx="2444">
                  <c:v>43683</c:v>
                </c:pt>
                <c:pt idx="2445">
                  <c:v>43684</c:v>
                </c:pt>
                <c:pt idx="2446">
                  <c:v>43685</c:v>
                </c:pt>
                <c:pt idx="2447">
                  <c:v>43686</c:v>
                </c:pt>
                <c:pt idx="2448">
                  <c:v>43689</c:v>
                </c:pt>
                <c:pt idx="2449">
                  <c:v>43690</c:v>
                </c:pt>
                <c:pt idx="2450">
                  <c:v>43691</c:v>
                </c:pt>
                <c:pt idx="2451">
                  <c:v>43692</c:v>
                </c:pt>
                <c:pt idx="2452">
                  <c:v>43693</c:v>
                </c:pt>
                <c:pt idx="2453">
                  <c:v>43696</c:v>
                </c:pt>
                <c:pt idx="2454">
                  <c:v>43697</c:v>
                </c:pt>
                <c:pt idx="2455">
                  <c:v>43698</c:v>
                </c:pt>
                <c:pt idx="2456">
                  <c:v>43699</c:v>
                </c:pt>
                <c:pt idx="2457">
                  <c:v>43700</c:v>
                </c:pt>
                <c:pt idx="2458">
                  <c:v>43703</c:v>
                </c:pt>
                <c:pt idx="2459">
                  <c:v>43704</c:v>
                </c:pt>
                <c:pt idx="2460">
                  <c:v>43705</c:v>
                </c:pt>
                <c:pt idx="2461">
                  <c:v>43706</c:v>
                </c:pt>
                <c:pt idx="2462">
                  <c:v>43707</c:v>
                </c:pt>
                <c:pt idx="2463">
                  <c:v>43711</c:v>
                </c:pt>
                <c:pt idx="2464">
                  <c:v>43712</c:v>
                </c:pt>
                <c:pt idx="2465">
                  <c:v>43713</c:v>
                </c:pt>
                <c:pt idx="2466">
                  <c:v>43714</c:v>
                </c:pt>
                <c:pt idx="2467">
                  <c:v>43717</c:v>
                </c:pt>
                <c:pt idx="2468">
                  <c:v>43718</c:v>
                </c:pt>
                <c:pt idx="2469">
                  <c:v>43719</c:v>
                </c:pt>
                <c:pt idx="2470">
                  <c:v>43720</c:v>
                </c:pt>
                <c:pt idx="2471">
                  <c:v>43721</c:v>
                </c:pt>
                <c:pt idx="2472">
                  <c:v>43724</c:v>
                </c:pt>
                <c:pt idx="2473">
                  <c:v>43725</c:v>
                </c:pt>
                <c:pt idx="2474">
                  <c:v>43726</c:v>
                </c:pt>
                <c:pt idx="2475">
                  <c:v>43727</c:v>
                </c:pt>
                <c:pt idx="2476">
                  <c:v>43728</c:v>
                </c:pt>
                <c:pt idx="2477">
                  <c:v>43731</c:v>
                </c:pt>
                <c:pt idx="2478">
                  <c:v>43732</c:v>
                </c:pt>
                <c:pt idx="2479">
                  <c:v>43733</c:v>
                </c:pt>
                <c:pt idx="2480">
                  <c:v>43734</c:v>
                </c:pt>
                <c:pt idx="2481">
                  <c:v>43735</c:v>
                </c:pt>
                <c:pt idx="2482">
                  <c:v>43738</c:v>
                </c:pt>
                <c:pt idx="2483">
                  <c:v>43739</c:v>
                </c:pt>
                <c:pt idx="2484">
                  <c:v>43740</c:v>
                </c:pt>
                <c:pt idx="2485">
                  <c:v>43741</c:v>
                </c:pt>
                <c:pt idx="2486">
                  <c:v>43742</c:v>
                </c:pt>
                <c:pt idx="2487">
                  <c:v>43745</c:v>
                </c:pt>
                <c:pt idx="2488">
                  <c:v>43746</c:v>
                </c:pt>
                <c:pt idx="2489">
                  <c:v>43747</c:v>
                </c:pt>
                <c:pt idx="2490">
                  <c:v>43748</c:v>
                </c:pt>
                <c:pt idx="2491">
                  <c:v>43749</c:v>
                </c:pt>
                <c:pt idx="2492">
                  <c:v>43752</c:v>
                </c:pt>
                <c:pt idx="2493">
                  <c:v>43753</c:v>
                </c:pt>
                <c:pt idx="2494">
                  <c:v>43754</c:v>
                </c:pt>
                <c:pt idx="2495">
                  <c:v>43755</c:v>
                </c:pt>
                <c:pt idx="2496">
                  <c:v>43756</c:v>
                </c:pt>
                <c:pt idx="2497">
                  <c:v>43759</c:v>
                </c:pt>
                <c:pt idx="2498">
                  <c:v>43760</c:v>
                </c:pt>
                <c:pt idx="2499">
                  <c:v>43761</c:v>
                </c:pt>
                <c:pt idx="2500">
                  <c:v>43762</c:v>
                </c:pt>
                <c:pt idx="2501">
                  <c:v>43763</c:v>
                </c:pt>
                <c:pt idx="2502">
                  <c:v>43766</c:v>
                </c:pt>
                <c:pt idx="2503">
                  <c:v>43767</c:v>
                </c:pt>
                <c:pt idx="2504">
                  <c:v>43768</c:v>
                </c:pt>
                <c:pt idx="2505">
                  <c:v>43769</c:v>
                </c:pt>
                <c:pt idx="2506">
                  <c:v>43770</c:v>
                </c:pt>
                <c:pt idx="2507">
                  <c:v>43773</c:v>
                </c:pt>
                <c:pt idx="2508">
                  <c:v>43774</c:v>
                </c:pt>
                <c:pt idx="2509">
                  <c:v>43775</c:v>
                </c:pt>
                <c:pt idx="2510">
                  <c:v>43776</c:v>
                </c:pt>
                <c:pt idx="2511">
                  <c:v>43777</c:v>
                </c:pt>
                <c:pt idx="2512">
                  <c:v>43780</c:v>
                </c:pt>
                <c:pt idx="2513">
                  <c:v>43781</c:v>
                </c:pt>
                <c:pt idx="2514">
                  <c:v>43782</c:v>
                </c:pt>
                <c:pt idx="2515">
                  <c:v>43783</c:v>
                </c:pt>
                <c:pt idx="2516">
                  <c:v>43784</c:v>
                </c:pt>
                <c:pt idx="2517">
                  <c:v>43713</c:v>
                </c:pt>
                <c:pt idx="2518">
                  <c:v>43714</c:v>
                </c:pt>
                <c:pt idx="2519">
                  <c:v>43717</c:v>
                </c:pt>
                <c:pt idx="2520">
                  <c:v>43718</c:v>
                </c:pt>
                <c:pt idx="2521">
                  <c:v>43719</c:v>
                </c:pt>
                <c:pt idx="2522">
                  <c:v>43720</c:v>
                </c:pt>
                <c:pt idx="2523">
                  <c:v>43721</c:v>
                </c:pt>
                <c:pt idx="2524">
                  <c:v>43724</c:v>
                </c:pt>
                <c:pt idx="2525">
                  <c:v>43725</c:v>
                </c:pt>
                <c:pt idx="2526">
                  <c:v>43726</c:v>
                </c:pt>
                <c:pt idx="2527">
                  <c:v>43727</c:v>
                </c:pt>
                <c:pt idx="2528">
                  <c:v>43728</c:v>
                </c:pt>
                <c:pt idx="2529">
                  <c:v>43731</c:v>
                </c:pt>
                <c:pt idx="2530">
                  <c:v>43732</c:v>
                </c:pt>
                <c:pt idx="2531">
                  <c:v>43733</c:v>
                </c:pt>
                <c:pt idx="2532">
                  <c:v>43734</c:v>
                </c:pt>
                <c:pt idx="2533">
                  <c:v>43735</c:v>
                </c:pt>
                <c:pt idx="2534">
                  <c:v>43738</c:v>
                </c:pt>
                <c:pt idx="2535">
                  <c:v>43739</c:v>
                </c:pt>
                <c:pt idx="2536">
                  <c:v>43740</c:v>
                </c:pt>
                <c:pt idx="2537">
                  <c:v>43741</c:v>
                </c:pt>
                <c:pt idx="2538">
                  <c:v>43742</c:v>
                </c:pt>
                <c:pt idx="2539">
                  <c:v>43745</c:v>
                </c:pt>
                <c:pt idx="2540">
                  <c:v>43746</c:v>
                </c:pt>
                <c:pt idx="2541">
                  <c:v>43747</c:v>
                </c:pt>
                <c:pt idx="2542">
                  <c:v>43748</c:v>
                </c:pt>
                <c:pt idx="2543">
                  <c:v>43749</c:v>
                </c:pt>
                <c:pt idx="2544">
                  <c:v>43752</c:v>
                </c:pt>
                <c:pt idx="2545">
                  <c:v>43753</c:v>
                </c:pt>
                <c:pt idx="2546">
                  <c:v>43754</c:v>
                </c:pt>
                <c:pt idx="2547">
                  <c:v>43755</c:v>
                </c:pt>
                <c:pt idx="2548">
                  <c:v>43756</c:v>
                </c:pt>
                <c:pt idx="2549">
                  <c:v>43759</c:v>
                </c:pt>
                <c:pt idx="2550">
                  <c:v>43760</c:v>
                </c:pt>
                <c:pt idx="2551">
                  <c:v>43761</c:v>
                </c:pt>
                <c:pt idx="2552">
                  <c:v>43762</c:v>
                </c:pt>
                <c:pt idx="2553">
                  <c:v>43763</c:v>
                </c:pt>
                <c:pt idx="2554">
                  <c:v>43766</c:v>
                </c:pt>
                <c:pt idx="2555">
                  <c:v>43767</c:v>
                </c:pt>
                <c:pt idx="2556">
                  <c:v>43768</c:v>
                </c:pt>
                <c:pt idx="2557">
                  <c:v>43769</c:v>
                </c:pt>
                <c:pt idx="2558">
                  <c:v>43770</c:v>
                </c:pt>
                <c:pt idx="2559">
                  <c:v>43773</c:v>
                </c:pt>
                <c:pt idx="2560">
                  <c:v>43774</c:v>
                </c:pt>
                <c:pt idx="2561">
                  <c:v>43775</c:v>
                </c:pt>
                <c:pt idx="2562">
                  <c:v>43776</c:v>
                </c:pt>
                <c:pt idx="2563">
                  <c:v>43777</c:v>
                </c:pt>
                <c:pt idx="2564">
                  <c:v>43780</c:v>
                </c:pt>
                <c:pt idx="2565">
                  <c:v>43781</c:v>
                </c:pt>
                <c:pt idx="2566">
                  <c:v>43782</c:v>
                </c:pt>
                <c:pt idx="2567">
                  <c:v>43783</c:v>
                </c:pt>
                <c:pt idx="2568">
                  <c:v>43784</c:v>
                </c:pt>
              </c:numCache>
            </c:numRef>
          </c:cat>
          <c:val>
            <c:numRef>
              <c:f>[1]StockPrices!$E$2:$E$2570</c:f>
              <c:numCache>
                <c:formatCode>General</c:formatCode>
                <c:ptCount val="2569"/>
                <c:pt idx="0">
                  <c:v>2.61</c:v>
                </c:pt>
                <c:pt idx="1">
                  <c:v>2.54</c:v>
                </c:pt>
                <c:pt idx="2">
                  <c:v>2.42</c:v>
                </c:pt>
                <c:pt idx="3">
                  <c:v>2.4700000000000002</c:v>
                </c:pt>
                <c:pt idx="4">
                  <c:v>2.44</c:v>
                </c:pt>
                <c:pt idx="5">
                  <c:v>2.44</c:v>
                </c:pt>
                <c:pt idx="6">
                  <c:v>2.44</c:v>
                </c:pt>
                <c:pt idx="7">
                  <c:v>2.35</c:v>
                </c:pt>
                <c:pt idx="8">
                  <c:v>2.42</c:v>
                </c:pt>
                <c:pt idx="9">
                  <c:v>2.4300000000000002</c:v>
                </c:pt>
                <c:pt idx="10">
                  <c:v>2.4700000000000002</c:v>
                </c:pt>
                <c:pt idx="11">
                  <c:v>2.41</c:v>
                </c:pt>
                <c:pt idx="12">
                  <c:v>2.5299999999999998</c:v>
                </c:pt>
                <c:pt idx="13">
                  <c:v>2.63</c:v>
                </c:pt>
                <c:pt idx="14">
                  <c:v>2.65</c:v>
                </c:pt>
                <c:pt idx="15">
                  <c:v>2.75</c:v>
                </c:pt>
                <c:pt idx="16">
                  <c:v>2.59</c:v>
                </c:pt>
                <c:pt idx="17">
                  <c:v>2.61</c:v>
                </c:pt>
                <c:pt idx="18">
                  <c:v>2.77</c:v>
                </c:pt>
                <c:pt idx="19">
                  <c:v>2.79</c:v>
                </c:pt>
                <c:pt idx="20">
                  <c:v>2.76</c:v>
                </c:pt>
                <c:pt idx="21">
                  <c:v>2.71</c:v>
                </c:pt>
                <c:pt idx="22">
                  <c:v>2.83</c:v>
                </c:pt>
                <c:pt idx="23">
                  <c:v>2.83</c:v>
                </c:pt>
                <c:pt idx="24">
                  <c:v>2.74</c:v>
                </c:pt>
                <c:pt idx="25">
                  <c:v>2.7</c:v>
                </c:pt>
                <c:pt idx="26">
                  <c:v>2.76</c:v>
                </c:pt>
                <c:pt idx="27">
                  <c:v>2.69</c:v>
                </c:pt>
                <c:pt idx="28">
                  <c:v>2.6</c:v>
                </c:pt>
                <c:pt idx="29">
                  <c:v>2.61</c:v>
                </c:pt>
                <c:pt idx="30">
                  <c:v>2.62</c:v>
                </c:pt>
                <c:pt idx="31">
                  <c:v>2.83</c:v>
                </c:pt>
                <c:pt idx="32">
                  <c:v>2.75</c:v>
                </c:pt>
                <c:pt idx="33">
                  <c:v>2.67</c:v>
                </c:pt>
                <c:pt idx="34">
                  <c:v>2.7</c:v>
                </c:pt>
                <c:pt idx="35">
                  <c:v>2.71</c:v>
                </c:pt>
                <c:pt idx="36">
                  <c:v>2.69</c:v>
                </c:pt>
                <c:pt idx="37">
                  <c:v>2.69</c:v>
                </c:pt>
                <c:pt idx="38">
                  <c:v>2.7</c:v>
                </c:pt>
                <c:pt idx="39">
                  <c:v>2.59</c:v>
                </c:pt>
                <c:pt idx="40">
                  <c:v>2.4900000000000002</c:v>
                </c:pt>
                <c:pt idx="41">
                  <c:v>2.44</c:v>
                </c:pt>
                <c:pt idx="42">
                  <c:v>2.42</c:v>
                </c:pt>
                <c:pt idx="43">
                  <c:v>2.31</c:v>
                </c:pt>
                <c:pt idx="44">
                  <c:v>2.3199999999999998</c:v>
                </c:pt>
                <c:pt idx="45">
                  <c:v>2.31</c:v>
                </c:pt>
                <c:pt idx="46">
                  <c:v>2.2999999999999998</c:v>
                </c:pt>
                <c:pt idx="47">
                  <c:v>2.36</c:v>
                </c:pt>
                <c:pt idx="48">
                  <c:v>2.4500000000000002</c:v>
                </c:pt>
                <c:pt idx="49">
                  <c:v>2.48</c:v>
                </c:pt>
                <c:pt idx="50">
                  <c:v>2.6</c:v>
                </c:pt>
                <c:pt idx="51">
                  <c:v>2.4700000000000002</c:v>
                </c:pt>
                <c:pt idx="52">
                  <c:v>2.38</c:v>
                </c:pt>
                <c:pt idx="53">
                  <c:v>2.2799999999999998</c:v>
                </c:pt>
                <c:pt idx="54">
                  <c:v>2.33</c:v>
                </c:pt>
                <c:pt idx="55">
                  <c:v>2.3199999999999998</c:v>
                </c:pt>
                <c:pt idx="56">
                  <c:v>2.46</c:v>
                </c:pt>
                <c:pt idx="57">
                  <c:v>2.41</c:v>
                </c:pt>
                <c:pt idx="58">
                  <c:v>2.48</c:v>
                </c:pt>
                <c:pt idx="59">
                  <c:v>2.5099999999999998</c:v>
                </c:pt>
                <c:pt idx="60">
                  <c:v>2.4900000000000002</c:v>
                </c:pt>
                <c:pt idx="61">
                  <c:v>2.5099999999999998</c:v>
                </c:pt>
                <c:pt idx="62">
                  <c:v>2.58</c:v>
                </c:pt>
                <c:pt idx="63">
                  <c:v>2.54</c:v>
                </c:pt>
                <c:pt idx="64">
                  <c:v>2.5299999999999998</c:v>
                </c:pt>
                <c:pt idx="65">
                  <c:v>2.68</c:v>
                </c:pt>
                <c:pt idx="66">
                  <c:v>2.5499999999999998</c:v>
                </c:pt>
                <c:pt idx="67">
                  <c:v>2.58</c:v>
                </c:pt>
                <c:pt idx="68">
                  <c:v>2.69</c:v>
                </c:pt>
                <c:pt idx="69">
                  <c:v>2.73</c:v>
                </c:pt>
                <c:pt idx="70">
                  <c:v>2.71</c:v>
                </c:pt>
                <c:pt idx="71">
                  <c:v>2.71</c:v>
                </c:pt>
                <c:pt idx="72">
                  <c:v>2.73</c:v>
                </c:pt>
                <c:pt idx="73">
                  <c:v>2.82</c:v>
                </c:pt>
                <c:pt idx="74">
                  <c:v>2.81</c:v>
                </c:pt>
                <c:pt idx="75">
                  <c:v>2.83</c:v>
                </c:pt>
                <c:pt idx="76">
                  <c:v>2.83</c:v>
                </c:pt>
                <c:pt idx="77">
                  <c:v>2.88</c:v>
                </c:pt>
                <c:pt idx="78">
                  <c:v>2.9</c:v>
                </c:pt>
                <c:pt idx="79">
                  <c:v>2.91</c:v>
                </c:pt>
                <c:pt idx="80">
                  <c:v>2.92</c:v>
                </c:pt>
                <c:pt idx="81">
                  <c:v>2.88</c:v>
                </c:pt>
                <c:pt idx="82">
                  <c:v>2.86</c:v>
                </c:pt>
                <c:pt idx="83">
                  <c:v>2.88</c:v>
                </c:pt>
                <c:pt idx="84">
                  <c:v>3.01</c:v>
                </c:pt>
                <c:pt idx="85">
                  <c:v>3.03</c:v>
                </c:pt>
                <c:pt idx="86">
                  <c:v>2.95</c:v>
                </c:pt>
                <c:pt idx="87">
                  <c:v>2.93</c:v>
                </c:pt>
                <c:pt idx="88">
                  <c:v>2.97</c:v>
                </c:pt>
                <c:pt idx="89">
                  <c:v>2.99</c:v>
                </c:pt>
                <c:pt idx="90">
                  <c:v>2.99</c:v>
                </c:pt>
                <c:pt idx="91">
                  <c:v>3.01</c:v>
                </c:pt>
                <c:pt idx="92">
                  <c:v>3.08</c:v>
                </c:pt>
                <c:pt idx="93">
                  <c:v>3.15</c:v>
                </c:pt>
                <c:pt idx="94">
                  <c:v>3.54</c:v>
                </c:pt>
                <c:pt idx="95">
                  <c:v>3.92</c:v>
                </c:pt>
                <c:pt idx="96">
                  <c:v>3.95</c:v>
                </c:pt>
                <c:pt idx="97">
                  <c:v>3.9</c:v>
                </c:pt>
                <c:pt idx="98">
                  <c:v>3.87</c:v>
                </c:pt>
                <c:pt idx="99">
                  <c:v>3.87</c:v>
                </c:pt>
                <c:pt idx="100">
                  <c:v>3.87</c:v>
                </c:pt>
                <c:pt idx="101">
                  <c:v>3.89</c:v>
                </c:pt>
                <c:pt idx="102">
                  <c:v>3.87</c:v>
                </c:pt>
                <c:pt idx="103">
                  <c:v>3.87</c:v>
                </c:pt>
                <c:pt idx="104">
                  <c:v>4.0999999999999996</c:v>
                </c:pt>
                <c:pt idx="105">
                  <c:v>4.1900000000000004</c:v>
                </c:pt>
                <c:pt idx="106">
                  <c:v>4.1500000000000004</c:v>
                </c:pt>
                <c:pt idx="107">
                  <c:v>4.2300000000000004</c:v>
                </c:pt>
                <c:pt idx="108">
                  <c:v>4.29</c:v>
                </c:pt>
                <c:pt idx="109">
                  <c:v>4.2300000000000004</c:v>
                </c:pt>
                <c:pt idx="110">
                  <c:v>4.3099999999999996</c:v>
                </c:pt>
                <c:pt idx="111">
                  <c:v>4.43</c:v>
                </c:pt>
                <c:pt idx="112">
                  <c:v>4.43</c:v>
                </c:pt>
                <c:pt idx="113">
                  <c:v>4.46</c:v>
                </c:pt>
                <c:pt idx="114">
                  <c:v>4.3899999999999997</c:v>
                </c:pt>
                <c:pt idx="115">
                  <c:v>4.74</c:v>
                </c:pt>
                <c:pt idx="116">
                  <c:v>4.9800000000000004</c:v>
                </c:pt>
                <c:pt idx="117">
                  <c:v>4.7699999999999996</c:v>
                </c:pt>
                <c:pt idx="118">
                  <c:v>5.12</c:v>
                </c:pt>
                <c:pt idx="119">
                  <c:v>5.28</c:v>
                </c:pt>
                <c:pt idx="120">
                  <c:v>5.44</c:v>
                </c:pt>
                <c:pt idx="121">
                  <c:v>5.32</c:v>
                </c:pt>
                <c:pt idx="122">
                  <c:v>5.32</c:v>
                </c:pt>
                <c:pt idx="123">
                  <c:v>5.16</c:v>
                </c:pt>
                <c:pt idx="124">
                  <c:v>5.14</c:v>
                </c:pt>
                <c:pt idx="125">
                  <c:v>5.16</c:v>
                </c:pt>
                <c:pt idx="126">
                  <c:v>4.83</c:v>
                </c:pt>
                <c:pt idx="127">
                  <c:v>4.8600000000000003</c:v>
                </c:pt>
                <c:pt idx="128">
                  <c:v>4.9000000000000004</c:v>
                </c:pt>
                <c:pt idx="129">
                  <c:v>4.88</c:v>
                </c:pt>
                <c:pt idx="130">
                  <c:v>4.78</c:v>
                </c:pt>
                <c:pt idx="131">
                  <c:v>5.13</c:v>
                </c:pt>
                <c:pt idx="132">
                  <c:v>5.19</c:v>
                </c:pt>
                <c:pt idx="133">
                  <c:v>5.0199999999999996</c:v>
                </c:pt>
                <c:pt idx="134">
                  <c:v>5.45</c:v>
                </c:pt>
                <c:pt idx="135">
                  <c:v>5.24</c:v>
                </c:pt>
                <c:pt idx="136">
                  <c:v>4.97</c:v>
                </c:pt>
                <c:pt idx="137">
                  <c:v>4.96</c:v>
                </c:pt>
                <c:pt idx="138">
                  <c:v>4.71</c:v>
                </c:pt>
                <c:pt idx="139">
                  <c:v>4.7</c:v>
                </c:pt>
                <c:pt idx="140">
                  <c:v>4.8099999999999996</c:v>
                </c:pt>
                <c:pt idx="141">
                  <c:v>4.8899999999999997</c:v>
                </c:pt>
                <c:pt idx="142">
                  <c:v>5.03</c:v>
                </c:pt>
                <c:pt idx="143">
                  <c:v>5.21</c:v>
                </c:pt>
                <c:pt idx="144">
                  <c:v>5.16</c:v>
                </c:pt>
                <c:pt idx="145">
                  <c:v>5.26</c:v>
                </c:pt>
                <c:pt idx="146">
                  <c:v>5.49</c:v>
                </c:pt>
                <c:pt idx="147">
                  <c:v>5.28</c:v>
                </c:pt>
                <c:pt idx="148">
                  <c:v>5.16</c:v>
                </c:pt>
                <c:pt idx="149">
                  <c:v>5.2</c:v>
                </c:pt>
                <c:pt idx="150">
                  <c:v>5.1100000000000003</c:v>
                </c:pt>
                <c:pt idx="151">
                  <c:v>5.49</c:v>
                </c:pt>
                <c:pt idx="152">
                  <c:v>5.39</c:v>
                </c:pt>
                <c:pt idx="153">
                  <c:v>5.27</c:v>
                </c:pt>
                <c:pt idx="154">
                  <c:v>5.0199999999999996</c:v>
                </c:pt>
                <c:pt idx="155">
                  <c:v>4.79</c:v>
                </c:pt>
                <c:pt idx="156">
                  <c:v>4.97</c:v>
                </c:pt>
                <c:pt idx="157">
                  <c:v>4.82</c:v>
                </c:pt>
                <c:pt idx="158">
                  <c:v>4.92</c:v>
                </c:pt>
                <c:pt idx="159">
                  <c:v>5</c:v>
                </c:pt>
                <c:pt idx="160">
                  <c:v>5.01</c:v>
                </c:pt>
                <c:pt idx="161">
                  <c:v>4.9000000000000004</c:v>
                </c:pt>
                <c:pt idx="162">
                  <c:v>5</c:v>
                </c:pt>
                <c:pt idx="163">
                  <c:v>4.99</c:v>
                </c:pt>
                <c:pt idx="164">
                  <c:v>4.91</c:v>
                </c:pt>
                <c:pt idx="165">
                  <c:v>4.54</c:v>
                </c:pt>
                <c:pt idx="166">
                  <c:v>4.2300000000000004</c:v>
                </c:pt>
                <c:pt idx="167">
                  <c:v>4.3</c:v>
                </c:pt>
                <c:pt idx="168">
                  <c:v>4.25</c:v>
                </c:pt>
                <c:pt idx="169">
                  <c:v>4.43</c:v>
                </c:pt>
                <c:pt idx="170">
                  <c:v>4.7</c:v>
                </c:pt>
                <c:pt idx="171">
                  <c:v>5.0199999999999996</c:v>
                </c:pt>
                <c:pt idx="172">
                  <c:v>4.9400000000000004</c:v>
                </c:pt>
                <c:pt idx="173">
                  <c:v>4.79</c:v>
                </c:pt>
                <c:pt idx="174">
                  <c:v>4.8</c:v>
                </c:pt>
                <c:pt idx="175">
                  <c:v>4.91</c:v>
                </c:pt>
                <c:pt idx="176">
                  <c:v>5.03</c:v>
                </c:pt>
                <c:pt idx="177">
                  <c:v>5.07</c:v>
                </c:pt>
                <c:pt idx="178">
                  <c:v>5.41</c:v>
                </c:pt>
                <c:pt idx="179">
                  <c:v>5.37</c:v>
                </c:pt>
                <c:pt idx="180">
                  <c:v>5.29</c:v>
                </c:pt>
                <c:pt idx="181">
                  <c:v>5.52</c:v>
                </c:pt>
                <c:pt idx="182">
                  <c:v>5.39</c:v>
                </c:pt>
                <c:pt idx="183">
                  <c:v>5.12</c:v>
                </c:pt>
                <c:pt idx="184">
                  <c:v>5.0199999999999996</c:v>
                </c:pt>
                <c:pt idx="185">
                  <c:v>5</c:v>
                </c:pt>
                <c:pt idx="186">
                  <c:v>4.9000000000000004</c:v>
                </c:pt>
                <c:pt idx="187">
                  <c:v>5.1100000000000003</c:v>
                </c:pt>
                <c:pt idx="188">
                  <c:v>4.91</c:v>
                </c:pt>
                <c:pt idx="189">
                  <c:v>4.6500000000000004</c:v>
                </c:pt>
                <c:pt idx="190">
                  <c:v>4.54</c:v>
                </c:pt>
                <c:pt idx="191">
                  <c:v>4.32</c:v>
                </c:pt>
                <c:pt idx="192">
                  <c:v>4.16</c:v>
                </c:pt>
                <c:pt idx="193">
                  <c:v>4.5199999999999996</c:v>
                </c:pt>
                <c:pt idx="194">
                  <c:v>4.3</c:v>
                </c:pt>
                <c:pt idx="195">
                  <c:v>4.55</c:v>
                </c:pt>
                <c:pt idx="196">
                  <c:v>4.43</c:v>
                </c:pt>
                <c:pt idx="197">
                  <c:v>4.54</c:v>
                </c:pt>
                <c:pt idx="198">
                  <c:v>4.8499999999999996</c:v>
                </c:pt>
                <c:pt idx="199">
                  <c:v>4.6399999999999997</c:v>
                </c:pt>
                <c:pt idx="200">
                  <c:v>5.0999999999999996</c:v>
                </c:pt>
                <c:pt idx="201">
                  <c:v>4.93</c:v>
                </c:pt>
                <c:pt idx="202">
                  <c:v>4.7</c:v>
                </c:pt>
                <c:pt idx="203">
                  <c:v>4.83</c:v>
                </c:pt>
                <c:pt idx="204">
                  <c:v>5.0599999999999996</c:v>
                </c:pt>
                <c:pt idx="205">
                  <c:v>5.12</c:v>
                </c:pt>
                <c:pt idx="206">
                  <c:v>5.07</c:v>
                </c:pt>
                <c:pt idx="207">
                  <c:v>5.12</c:v>
                </c:pt>
                <c:pt idx="208">
                  <c:v>5.0599999999999996</c:v>
                </c:pt>
                <c:pt idx="209">
                  <c:v>5.22</c:v>
                </c:pt>
                <c:pt idx="210">
                  <c:v>5.24</c:v>
                </c:pt>
                <c:pt idx="211">
                  <c:v>5.22</c:v>
                </c:pt>
                <c:pt idx="212">
                  <c:v>5.26</c:v>
                </c:pt>
                <c:pt idx="213">
                  <c:v>5.19</c:v>
                </c:pt>
                <c:pt idx="214">
                  <c:v>5.43</c:v>
                </c:pt>
                <c:pt idx="215">
                  <c:v>5.32</c:v>
                </c:pt>
                <c:pt idx="216">
                  <c:v>5.34</c:v>
                </c:pt>
                <c:pt idx="217">
                  <c:v>5.35</c:v>
                </c:pt>
                <c:pt idx="218">
                  <c:v>5.35</c:v>
                </c:pt>
                <c:pt idx="219">
                  <c:v>5.46</c:v>
                </c:pt>
                <c:pt idx="220">
                  <c:v>5.37</c:v>
                </c:pt>
                <c:pt idx="221">
                  <c:v>5.89</c:v>
                </c:pt>
                <c:pt idx="222">
                  <c:v>5.76</c:v>
                </c:pt>
                <c:pt idx="223">
                  <c:v>5.68</c:v>
                </c:pt>
                <c:pt idx="224">
                  <c:v>5.8</c:v>
                </c:pt>
                <c:pt idx="225">
                  <c:v>5.8</c:v>
                </c:pt>
                <c:pt idx="226">
                  <c:v>5.8</c:v>
                </c:pt>
                <c:pt idx="227">
                  <c:v>6.05</c:v>
                </c:pt>
                <c:pt idx="228">
                  <c:v>6.13</c:v>
                </c:pt>
                <c:pt idx="229">
                  <c:v>6.12</c:v>
                </c:pt>
                <c:pt idx="230">
                  <c:v>6.31</c:v>
                </c:pt>
                <c:pt idx="231">
                  <c:v>6.44</c:v>
                </c:pt>
                <c:pt idx="232">
                  <c:v>6.4</c:v>
                </c:pt>
                <c:pt idx="233">
                  <c:v>6.26</c:v>
                </c:pt>
                <c:pt idx="234">
                  <c:v>6.19</c:v>
                </c:pt>
                <c:pt idx="235">
                  <c:v>6.26</c:v>
                </c:pt>
                <c:pt idx="236">
                  <c:v>6.27</c:v>
                </c:pt>
                <c:pt idx="237">
                  <c:v>6.29</c:v>
                </c:pt>
                <c:pt idx="238">
                  <c:v>6.26</c:v>
                </c:pt>
                <c:pt idx="239">
                  <c:v>6.39</c:v>
                </c:pt>
                <c:pt idx="240">
                  <c:v>6.3</c:v>
                </c:pt>
                <c:pt idx="241">
                  <c:v>6.56</c:v>
                </c:pt>
                <c:pt idx="242">
                  <c:v>6.62</c:v>
                </c:pt>
                <c:pt idx="243">
                  <c:v>7.02</c:v>
                </c:pt>
                <c:pt idx="244">
                  <c:v>7.07</c:v>
                </c:pt>
                <c:pt idx="245">
                  <c:v>7.03</c:v>
                </c:pt>
                <c:pt idx="246">
                  <c:v>7.03</c:v>
                </c:pt>
                <c:pt idx="247">
                  <c:v>6.9</c:v>
                </c:pt>
                <c:pt idx="248">
                  <c:v>6.64</c:v>
                </c:pt>
                <c:pt idx="249">
                  <c:v>6.32</c:v>
                </c:pt>
                <c:pt idx="250">
                  <c:v>6.17</c:v>
                </c:pt>
                <c:pt idx="251">
                  <c:v>6.02</c:v>
                </c:pt>
                <c:pt idx="252">
                  <c:v>5.92</c:v>
                </c:pt>
                <c:pt idx="253">
                  <c:v>6.22</c:v>
                </c:pt>
                <c:pt idx="254">
                  <c:v>6.25</c:v>
                </c:pt>
                <c:pt idx="255">
                  <c:v>6.2</c:v>
                </c:pt>
                <c:pt idx="256">
                  <c:v>6.1</c:v>
                </c:pt>
                <c:pt idx="257">
                  <c:v>6.13</c:v>
                </c:pt>
                <c:pt idx="258">
                  <c:v>6.12</c:v>
                </c:pt>
                <c:pt idx="259">
                  <c:v>6.25</c:v>
                </c:pt>
                <c:pt idx="260">
                  <c:v>6.31</c:v>
                </c:pt>
                <c:pt idx="261">
                  <c:v>6.4</c:v>
                </c:pt>
                <c:pt idx="262">
                  <c:v>6.52</c:v>
                </c:pt>
                <c:pt idx="263">
                  <c:v>6.52</c:v>
                </c:pt>
                <c:pt idx="264">
                  <c:v>6.57</c:v>
                </c:pt>
                <c:pt idx="265">
                  <c:v>6.63</c:v>
                </c:pt>
                <c:pt idx="266">
                  <c:v>6.75</c:v>
                </c:pt>
                <c:pt idx="267">
                  <c:v>6.82</c:v>
                </c:pt>
                <c:pt idx="268">
                  <c:v>6.93</c:v>
                </c:pt>
                <c:pt idx="269">
                  <c:v>6.92</c:v>
                </c:pt>
                <c:pt idx="270">
                  <c:v>6.96</c:v>
                </c:pt>
                <c:pt idx="271">
                  <c:v>6.97</c:v>
                </c:pt>
                <c:pt idx="272">
                  <c:v>6.94</c:v>
                </c:pt>
                <c:pt idx="273">
                  <c:v>6.82</c:v>
                </c:pt>
                <c:pt idx="274">
                  <c:v>6.96</c:v>
                </c:pt>
                <c:pt idx="275">
                  <c:v>7.02</c:v>
                </c:pt>
                <c:pt idx="276">
                  <c:v>6.89</c:v>
                </c:pt>
                <c:pt idx="277">
                  <c:v>6.82</c:v>
                </c:pt>
                <c:pt idx="278">
                  <c:v>6.79</c:v>
                </c:pt>
                <c:pt idx="279">
                  <c:v>6.72</c:v>
                </c:pt>
                <c:pt idx="280">
                  <c:v>6.62</c:v>
                </c:pt>
                <c:pt idx="281">
                  <c:v>6.49</c:v>
                </c:pt>
                <c:pt idx="282">
                  <c:v>6.44</c:v>
                </c:pt>
                <c:pt idx="283">
                  <c:v>6.75</c:v>
                </c:pt>
                <c:pt idx="284">
                  <c:v>6.56</c:v>
                </c:pt>
                <c:pt idx="285">
                  <c:v>6.85</c:v>
                </c:pt>
                <c:pt idx="286">
                  <c:v>6.9</c:v>
                </c:pt>
                <c:pt idx="287">
                  <c:v>6.96</c:v>
                </c:pt>
                <c:pt idx="288">
                  <c:v>7.02</c:v>
                </c:pt>
                <c:pt idx="289">
                  <c:v>7.08</c:v>
                </c:pt>
                <c:pt idx="290">
                  <c:v>7.08</c:v>
                </c:pt>
                <c:pt idx="291">
                  <c:v>7.06</c:v>
                </c:pt>
                <c:pt idx="292">
                  <c:v>7.11</c:v>
                </c:pt>
                <c:pt idx="293">
                  <c:v>7.22</c:v>
                </c:pt>
                <c:pt idx="294">
                  <c:v>6.95</c:v>
                </c:pt>
                <c:pt idx="295">
                  <c:v>6.54</c:v>
                </c:pt>
                <c:pt idx="296">
                  <c:v>6.26</c:v>
                </c:pt>
                <c:pt idx="297">
                  <c:v>6.59</c:v>
                </c:pt>
                <c:pt idx="298">
                  <c:v>6.6</c:v>
                </c:pt>
                <c:pt idx="299">
                  <c:v>6.86</c:v>
                </c:pt>
                <c:pt idx="300">
                  <c:v>7.06</c:v>
                </c:pt>
                <c:pt idx="301">
                  <c:v>6.9</c:v>
                </c:pt>
                <c:pt idx="302">
                  <c:v>7.08</c:v>
                </c:pt>
                <c:pt idx="303">
                  <c:v>7.36</c:v>
                </c:pt>
                <c:pt idx="304">
                  <c:v>7.34</c:v>
                </c:pt>
                <c:pt idx="305">
                  <c:v>7.38</c:v>
                </c:pt>
                <c:pt idx="306">
                  <c:v>7.38</c:v>
                </c:pt>
                <c:pt idx="307">
                  <c:v>7.46</c:v>
                </c:pt>
                <c:pt idx="308">
                  <c:v>7.8</c:v>
                </c:pt>
                <c:pt idx="309">
                  <c:v>7.2</c:v>
                </c:pt>
                <c:pt idx="310">
                  <c:v>6.83</c:v>
                </c:pt>
                <c:pt idx="311">
                  <c:v>6.81</c:v>
                </c:pt>
                <c:pt idx="312">
                  <c:v>7.1</c:v>
                </c:pt>
                <c:pt idx="313">
                  <c:v>7.09</c:v>
                </c:pt>
                <c:pt idx="314">
                  <c:v>6.86</c:v>
                </c:pt>
                <c:pt idx="315">
                  <c:v>6.83</c:v>
                </c:pt>
                <c:pt idx="316">
                  <c:v>6.87</c:v>
                </c:pt>
                <c:pt idx="317">
                  <c:v>6.66</c:v>
                </c:pt>
                <c:pt idx="318">
                  <c:v>6.6</c:v>
                </c:pt>
                <c:pt idx="319">
                  <c:v>6.22</c:v>
                </c:pt>
                <c:pt idx="320">
                  <c:v>6.41</c:v>
                </c:pt>
                <c:pt idx="321">
                  <c:v>6.61</c:v>
                </c:pt>
                <c:pt idx="322">
                  <c:v>6.54</c:v>
                </c:pt>
                <c:pt idx="323">
                  <c:v>6.55</c:v>
                </c:pt>
                <c:pt idx="324">
                  <c:v>6.9</c:v>
                </c:pt>
                <c:pt idx="325">
                  <c:v>7.15</c:v>
                </c:pt>
                <c:pt idx="326">
                  <c:v>6.91</c:v>
                </c:pt>
                <c:pt idx="327">
                  <c:v>6.87</c:v>
                </c:pt>
                <c:pt idx="328">
                  <c:v>7.19</c:v>
                </c:pt>
                <c:pt idx="329">
                  <c:v>6.81</c:v>
                </c:pt>
                <c:pt idx="330">
                  <c:v>6.79</c:v>
                </c:pt>
                <c:pt idx="331">
                  <c:v>6.54</c:v>
                </c:pt>
                <c:pt idx="332">
                  <c:v>6.29</c:v>
                </c:pt>
                <c:pt idx="333">
                  <c:v>6.04</c:v>
                </c:pt>
                <c:pt idx="334">
                  <c:v>6.13</c:v>
                </c:pt>
                <c:pt idx="335">
                  <c:v>6.54</c:v>
                </c:pt>
                <c:pt idx="336">
                  <c:v>7.14</c:v>
                </c:pt>
                <c:pt idx="337">
                  <c:v>7.45</c:v>
                </c:pt>
                <c:pt idx="338">
                  <c:v>7.39</c:v>
                </c:pt>
                <c:pt idx="339">
                  <c:v>7.3</c:v>
                </c:pt>
                <c:pt idx="340">
                  <c:v>7.35</c:v>
                </c:pt>
                <c:pt idx="341">
                  <c:v>7.45</c:v>
                </c:pt>
                <c:pt idx="342">
                  <c:v>7.69</c:v>
                </c:pt>
                <c:pt idx="343">
                  <c:v>7.69</c:v>
                </c:pt>
                <c:pt idx="344">
                  <c:v>7.72</c:v>
                </c:pt>
                <c:pt idx="345">
                  <c:v>7.79</c:v>
                </c:pt>
                <c:pt idx="346">
                  <c:v>7.79</c:v>
                </c:pt>
                <c:pt idx="347">
                  <c:v>7.73</c:v>
                </c:pt>
                <c:pt idx="348">
                  <c:v>7.73</c:v>
                </c:pt>
                <c:pt idx="349">
                  <c:v>7.64</c:v>
                </c:pt>
                <c:pt idx="350">
                  <c:v>7.34</c:v>
                </c:pt>
                <c:pt idx="351">
                  <c:v>6.92</c:v>
                </c:pt>
                <c:pt idx="352">
                  <c:v>6.78</c:v>
                </c:pt>
                <c:pt idx="353">
                  <c:v>6.64</c:v>
                </c:pt>
                <c:pt idx="354">
                  <c:v>6.81</c:v>
                </c:pt>
                <c:pt idx="355">
                  <c:v>6.84</c:v>
                </c:pt>
                <c:pt idx="356">
                  <c:v>6.5</c:v>
                </c:pt>
                <c:pt idx="357">
                  <c:v>6.65</c:v>
                </c:pt>
                <c:pt idx="358">
                  <c:v>6.74</c:v>
                </c:pt>
                <c:pt idx="359">
                  <c:v>7.03</c:v>
                </c:pt>
                <c:pt idx="360">
                  <c:v>6.96</c:v>
                </c:pt>
                <c:pt idx="361">
                  <c:v>7.38</c:v>
                </c:pt>
                <c:pt idx="362">
                  <c:v>7.33</c:v>
                </c:pt>
                <c:pt idx="363">
                  <c:v>7.57</c:v>
                </c:pt>
                <c:pt idx="364">
                  <c:v>7.97</c:v>
                </c:pt>
                <c:pt idx="365">
                  <c:v>7.57</c:v>
                </c:pt>
                <c:pt idx="366">
                  <c:v>7.32</c:v>
                </c:pt>
                <c:pt idx="367">
                  <c:v>7.68</c:v>
                </c:pt>
                <c:pt idx="368">
                  <c:v>7.73</c:v>
                </c:pt>
                <c:pt idx="369">
                  <c:v>7.82</c:v>
                </c:pt>
                <c:pt idx="370">
                  <c:v>7.95</c:v>
                </c:pt>
                <c:pt idx="371">
                  <c:v>8.51</c:v>
                </c:pt>
                <c:pt idx="372">
                  <c:v>8.3000000000000007</c:v>
                </c:pt>
                <c:pt idx="373">
                  <c:v>8.5</c:v>
                </c:pt>
                <c:pt idx="374">
                  <c:v>8.42</c:v>
                </c:pt>
                <c:pt idx="375">
                  <c:v>8.0399999999999991</c:v>
                </c:pt>
                <c:pt idx="376">
                  <c:v>7.97</c:v>
                </c:pt>
                <c:pt idx="377">
                  <c:v>8</c:v>
                </c:pt>
                <c:pt idx="378">
                  <c:v>8.19</c:v>
                </c:pt>
                <c:pt idx="379">
                  <c:v>8.1999999999999993</c:v>
                </c:pt>
                <c:pt idx="380">
                  <c:v>8.07</c:v>
                </c:pt>
                <c:pt idx="381">
                  <c:v>7.89</c:v>
                </c:pt>
                <c:pt idx="382">
                  <c:v>8</c:v>
                </c:pt>
                <c:pt idx="383">
                  <c:v>8.25</c:v>
                </c:pt>
                <c:pt idx="384">
                  <c:v>7.97</c:v>
                </c:pt>
                <c:pt idx="385">
                  <c:v>8.2200000000000006</c:v>
                </c:pt>
                <c:pt idx="386">
                  <c:v>7.97</c:v>
                </c:pt>
                <c:pt idx="387">
                  <c:v>7.79</c:v>
                </c:pt>
                <c:pt idx="388">
                  <c:v>7.67</c:v>
                </c:pt>
                <c:pt idx="389">
                  <c:v>7.57</c:v>
                </c:pt>
                <c:pt idx="390">
                  <c:v>7.56</c:v>
                </c:pt>
                <c:pt idx="391">
                  <c:v>7.46</c:v>
                </c:pt>
                <c:pt idx="392">
                  <c:v>7.63</c:v>
                </c:pt>
                <c:pt idx="393">
                  <c:v>7.32</c:v>
                </c:pt>
                <c:pt idx="394">
                  <c:v>7.33</c:v>
                </c:pt>
                <c:pt idx="395">
                  <c:v>7.79</c:v>
                </c:pt>
                <c:pt idx="396">
                  <c:v>7.99</c:v>
                </c:pt>
                <c:pt idx="397">
                  <c:v>8.17</c:v>
                </c:pt>
                <c:pt idx="398">
                  <c:v>8.19</c:v>
                </c:pt>
                <c:pt idx="399">
                  <c:v>8.26</c:v>
                </c:pt>
                <c:pt idx="400">
                  <c:v>8.26</c:v>
                </c:pt>
                <c:pt idx="401">
                  <c:v>7.92</c:v>
                </c:pt>
                <c:pt idx="402">
                  <c:v>8.3699999999999992</c:v>
                </c:pt>
                <c:pt idx="403">
                  <c:v>8.6199999999999992</c:v>
                </c:pt>
                <c:pt idx="404">
                  <c:v>8.7799999999999994</c:v>
                </c:pt>
                <c:pt idx="405">
                  <c:v>9.18</c:v>
                </c:pt>
                <c:pt idx="406">
                  <c:v>9.31</c:v>
                </c:pt>
                <c:pt idx="407">
                  <c:v>9.44</c:v>
                </c:pt>
                <c:pt idx="408">
                  <c:v>9.74</c:v>
                </c:pt>
                <c:pt idx="409">
                  <c:v>9.98</c:v>
                </c:pt>
                <c:pt idx="410">
                  <c:v>9.89</c:v>
                </c:pt>
                <c:pt idx="411">
                  <c:v>10.210000000000001</c:v>
                </c:pt>
                <c:pt idx="412">
                  <c:v>10.09</c:v>
                </c:pt>
                <c:pt idx="413">
                  <c:v>9.66</c:v>
                </c:pt>
                <c:pt idx="414">
                  <c:v>9.69</c:v>
                </c:pt>
                <c:pt idx="415">
                  <c:v>10.08</c:v>
                </c:pt>
                <c:pt idx="416">
                  <c:v>9.8000000000000007</c:v>
                </c:pt>
                <c:pt idx="417">
                  <c:v>9.81</c:v>
                </c:pt>
                <c:pt idx="418">
                  <c:v>9.7899999999999991</c:v>
                </c:pt>
                <c:pt idx="419">
                  <c:v>10.31</c:v>
                </c:pt>
                <c:pt idx="420">
                  <c:v>10.23</c:v>
                </c:pt>
                <c:pt idx="421">
                  <c:v>10.4</c:v>
                </c:pt>
                <c:pt idx="422">
                  <c:v>10.39</c:v>
                </c:pt>
                <c:pt idx="423">
                  <c:v>10.36</c:v>
                </c:pt>
                <c:pt idx="424">
                  <c:v>10.11</c:v>
                </c:pt>
                <c:pt idx="425">
                  <c:v>9.67</c:v>
                </c:pt>
                <c:pt idx="426">
                  <c:v>9.84</c:v>
                </c:pt>
                <c:pt idx="427">
                  <c:v>9.7799999999999994</c:v>
                </c:pt>
                <c:pt idx="428">
                  <c:v>9.74</c:v>
                </c:pt>
                <c:pt idx="429">
                  <c:v>9.4700000000000006</c:v>
                </c:pt>
                <c:pt idx="430">
                  <c:v>10.06</c:v>
                </c:pt>
                <c:pt idx="431">
                  <c:v>9.44</c:v>
                </c:pt>
                <c:pt idx="432">
                  <c:v>9.5399999999999991</c:v>
                </c:pt>
                <c:pt idx="433">
                  <c:v>8.8800000000000008</c:v>
                </c:pt>
                <c:pt idx="434">
                  <c:v>9.35</c:v>
                </c:pt>
                <c:pt idx="435">
                  <c:v>8.89</c:v>
                </c:pt>
                <c:pt idx="436">
                  <c:v>8.8699999999999992</c:v>
                </c:pt>
                <c:pt idx="437">
                  <c:v>8.1300000000000008</c:v>
                </c:pt>
                <c:pt idx="438">
                  <c:v>8.09</c:v>
                </c:pt>
                <c:pt idx="439">
                  <c:v>7.87</c:v>
                </c:pt>
                <c:pt idx="440">
                  <c:v>7.81</c:v>
                </c:pt>
                <c:pt idx="441">
                  <c:v>7.6</c:v>
                </c:pt>
                <c:pt idx="442">
                  <c:v>7.64</c:v>
                </c:pt>
                <c:pt idx="443">
                  <c:v>7.46</c:v>
                </c:pt>
                <c:pt idx="444">
                  <c:v>8.16</c:v>
                </c:pt>
                <c:pt idx="445">
                  <c:v>8.5299999999999994</c:v>
                </c:pt>
                <c:pt idx="446">
                  <c:v>8.16</c:v>
                </c:pt>
                <c:pt idx="447">
                  <c:v>8.2899999999999991</c:v>
                </c:pt>
                <c:pt idx="448">
                  <c:v>8.7100000000000009</c:v>
                </c:pt>
                <c:pt idx="449">
                  <c:v>9.08</c:v>
                </c:pt>
                <c:pt idx="450">
                  <c:v>9.15</c:v>
                </c:pt>
                <c:pt idx="451">
                  <c:v>8.94</c:v>
                </c:pt>
                <c:pt idx="452">
                  <c:v>8.69</c:v>
                </c:pt>
                <c:pt idx="453">
                  <c:v>8.76</c:v>
                </c:pt>
                <c:pt idx="454">
                  <c:v>9.18</c:v>
                </c:pt>
                <c:pt idx="455">
                  <c:v>8.99</c:v>
                </c:pt>
                <c:pt idx="456">
                  <c:v>8.69</c:v>
                </c:pt>
                <c:pt idx="457">
                  <c:v>8.73</c:v>
                </c:pt>
                <c:pt idx="458">
                  <c:v>8.57</c:v>
                </c:pt>
                <c:pt idx="459">
                  <c:v>8.5399999999999991</c:v>
                </c:pt>
                <c:pt idx="460">
                  <c:v>8.57</c:v>
                </c:pt>
                <c:pt idx="461">
                  <c:v>9.11</c:v>
                </c:pt>
                <c:pt idx="462">
                  <c:v>8.9499999999999993</c:v>
                </c:pt>
                <c:pt idx="463">
                  <c:v>9.23</c:v>
                </c:pt>
                <c:pt idx="464">
                  <c:v>8.9</c:v>
                </c:pt>
                <c:pt idx="465">
                  <c:v>8.6300000000000008</c:v>
                </c:pt>
                <c:pt idx="466">
                  <c:v>8.7899999999999991</c:v>
                </c:pt>
                <c:pt idx="467">
                  <c:v>8.7899999999999991</c:v>
                </c:pt>
                <c:pt idx="468">
                  <c:v>8.6300000000000008</c:v>
                </c:pt>
                <c:pt idx="469">
                  <c:v>8.33</c:v>
                </c:pt>
                <c:pt idx="470">
                  <c:v>8.42</c:v>
                </c:pt>
                <c:pt idx="471">
                  <c:v>8.66</c:v>
                </c:pt>
                <c:pt idx="472">
                  <c:v>8.5500000000000007</c:v>
                </c:pt>
                <c:pt idx="473">
                  <c:v>9.56</c:v>
                </c:pt>
                <c:pt idx="474">
                  <c:v>9.74</c:v>
                </c:pt>
                <c:pt idx="475">
                  <c:v>9.86</c:v>
                </c:pt>
                <c:pt idx="476">
                  <c:v>9.8699999999999992</c:v>
                </c:pt>
                <c:pt idx="477">
                  <c:v>9.76</c:v>
                </c:pt>
                <c:pt idx="478">
                  <c:v>9.9</c:v>
                </c:pt>
                <c:pt idx="479">
                  <c:v>9.86</c:v>
                </c:pt>
                <c:pt idx="480">
                  <c:v>9.98</c:v>
                </c:pt>
                <c:pt idx="481">
                  <c:v>10.1</c:v>
                </c:pt>
                <c:pt idx="482">
                  <c:v>9.43</c:v>
                </c:pt>
                <c:pt idx="483">
                  <c:v>9.75</c:v>
                </c:pt>
                <c:pt idx="484">
                  <c:v>9.25</c:v>
                </c:pt>
                <c:pt idx="485">
                  <c:v>9.2100000000000009</c:v>
                </c:pt>
                <c:pt idx="486">
                  <c:v>9.58</c:v>
                </c:pt>
                <c:pt idx="487">
                  <c:v>9.69</c:v>
                </c:pt>
                <c:pt idx="488">
                  <c:v>9.39</c:v>
                </c:pt>
                <c:pt idx="489">
                  <c:v>9.2799999999999994</c:v>
                </c:pt>
                <c:pt idx="490">
                  <c:v>9.74</c:v>
                </c:pt>
                <c:pt idx="491">
                  <c:v>9.49</c:v>
                </c:pt>
                <c:pt idx="492">
                  <c:v>9.32</c:v>
                </c:pt>
                <c:pt idx="493">
                  <c:v>8.93</c:v>
                </c:pt>
                <c:pt idx="494">
                  <c:v>9.43</c:v>
                </c:pt>
                <c:pt idx="495">
                  <c:v>9.91</c:v>
                </c:pt>
                <c:pt idx="496">
                  <c:v>9.9499999999999993</c:v>
                </c:pt>
                <c:pt idx="497">
                  <c:v>9.91</c:v>
                </c:pt>
                <c:pt idx="498">
                  <c:v>10.06</c:v>
                </c:pt>
                <c:pt idx="499">
                  <c:v>9.66</c:v>
                </c:pt>
                <c:pt idx="500">
                  <c:v>9.66</c:v>
                </c:pt>
                <c:pt idx="501">
                  <c:v>9.7899999999999991</c:v>
                </c:pt>
                <c:pt idx="502">
                  <c:v>10.11</c:v>
                </c:pt>
                <c:pt idx="503">
                  <c:v>10.18</c:v>
                </c:pt>
                <c:pt idx="504">
                  <c:v>10.050000000000001</c:v>
                </c:pt>
                <c:pt idx="505">
                  <c:v>10.050000000000001</c:v>
                </c:pt>
                <c:pt idx="506">
                  <c:v>10.45</c:v>
                </c:pt>
                <c:pt idx="507">
                  <c:v>10.43</c:v>
                </c:pt>
                <c:pt idx="508">
                  <c:v>10.18</c:v>
                </c:pt>
                <c:pt idx="509">
                  <c:v>9.86</c:v>
                </c:pt>
                <c:pt idx="510">
                  <c:v>9.6</c:v>
                </c:pt>
                <c:pt idx="511">
                  <c:v>10.36</c:v>
                </c:pt>
                <c:pt idx="512">
                  <c:v>10.49</c:v>
                </c:pt>
                <c:pt idx="513">
                  <c:v>10.93</c:v>
                </c:pt>
                <c:pt idx="514">
                  <c:v>10.5</c:v>
                </c:pt>
                <c:pt idx="515">
                  <c:v>10.74</c:v>
                </c:pt>
                <c:pt idx="516">
                  <c:v>11.13</c:v>
                </c:pt>
                <c:pt idx="517">
                  <c:v>11.21</c:v>
                </c:pt>
                <c:pt idx="518">
                  <c:v>11.1</c:v>
                </c:pt>
                <c:pt idx="519">
                  <c:v>10.47</c:v>
                </c:pt>
                <c:pt idx="520">
                  <c:v>11.18</c:v>
                </c:pt>
                <c:pt idx="521">
                  <c:v>10.97</c:v>
                </c:pt>
                <c:pt idx="522">
                  <c:v>10.74</c:v>
                </c:pt>
                <c:pt idx="523">
                  <c:v>10.98</c:v>
                </c:pt>
                <c:pt idx="524">
                  <c:v>11</c:v>
                </c:pt>
                <c:pt idx="525">
                  <c:v>10.92</c:v>
                </c:pt>
                <c:pt idx="526">
                  <c:v>10.85</c:v>
                </c:pt>
                <c:pt idx="527">
                  <c:v>11.4</c:v>
                </c:pt>
                <c:pt idx="528">
                  <c:v>11.6</c:v>
                </c:pt>
                <c:pt idx="529">
                  <c:v>11.47</c:v>
                </c:pt>
                <c:pt idx="530">
                  <c:v>11.44</c:v>
                </c:pt>
                <c:pt idx="531">
                  <c:v>11.27</c:v>
                </c:pt>
                <c:pt idx="532">
                  <c:v>11</c:v>
                </c:pt>
                <c:pt idx="533">
                  <c:v>11.15</c:v>
                </c:pt>
                <c:pt idx="534">
                  <c:v>10.98</c:v>
                </c:pt>
                <c:pt idx="535">
                  <c:v>10.77</c:v>
                </c:pt>
                <c:pt idx="536">
                  <c:v>10.62</c:v>
                </c:pt>
                <c:pt idx="537">
                  <c:v>10.53</c:v>
                </c:pt>
                <c:pt idx="538">
                  <c:v>10.5</c:v>
                </c:pt>
                <c:pt idx="539">
                  <c:v>10.27</c:v>
                </c:pt>
                <c:pt idx="540">
                  <c:v>10.33</c:v>
                </c:pt>
                <c:pt idx="541">
                  <c:v>10.36</c:v>
                </c:pt>
                <c:pt idx="542">
                  <c:v>10.27</c:v>
                </c:pt>
                <c:pt idx="543">
                  <c:v>10.17</c:v>
                </c:pt>
                <c:pt idx="544">
                  <c:v>10.050000000000001</c:v>
                </c:pt>
                <c:pt idx="545">
                  <c:v>9.9700000000000006</c:v>
                </c:pt>
                <c:pt idx="546">
                  <c:v>9.9600000000000009</c:v>
                </c:pt>
                <c:pt idx="547">
                  <c:v>9.8000000000000007</c:v>
                </c:pt>
                <c:pt idx="548">
                  <c:v>9.6199999999999992</c:v>
                </c:pt>
                <c:pt idx="549">
                  <c:v>9.93</c:v>
                </c:pt>
                <c:pt idx="550">
                  <c:v>10.130000000000001</c:v>
                </c:pt>
                <c:pt idx="551">
                  <c:v>10.06</c:v>
                </c:pt>
                <c:pt idx="552">
                  <c:v>10.210000000000001</c:v>
                </c:pt>
                <c:pt idx="553">
                  <c:v>10.199999999999999</c:v>
                </c:pt>
                <c:pt idx="554">
                  <c:v>10.25</c:v>
                </c:pt>
                <c:pt idx="555">
                  <c:v>10.43</c:v>
                </c:pt>
                <c:pt idx="556">
                  <c:v>10.15</c:v>
                </c:pt>
                <c:pt idx="557">
                  <c:v>10.24</c:v>
                </c:pt>
                <c:pt idx="558">
                  <c:v>10.75</c:v>
                </c:pt>
                <c:pt idx="559">
                  <c:v>10.51</c:v>
                </c:pt>
                <c:pt idx="560">
                  <c:v>10.93</c:v>
                </c:pt>
                <c:pt idx="561">
                  <c:v>10.92</c:v>
                </c:pt>
                <c:pt idx="562">
                  <c:v>10.81</c:v>
                </c:pt>
                <c:pt idx="563">
                  <c:v>11.05</c:v>
                </c:pt>
                <c:pt idx="564">
                  <c:v>11.02</c:v>
                </c:pt>
                <c:pt idx="565">
                  <c:v>10.97</c:v>
                </c:pt>
                <c:pt idx="566">
                  <c:v>10.93</c:v>
                </c:pt>
                <c:pt idx="567">
                  <c:v>10.78</c:v>
                </c:pt>
                <c:pt idx="568">
                  <c:v>10.34</c:v>
                </c:pt>
                <c:pt idx="569">
                  <c:v>10.19</c:v>
                </c:pt>
                <c:pt idx="570">
                  <c:v>10.61</c:v>
                </c:pt>
                <c:pt idx="571">
                  <c:v>10.63</c:v>
                </c:pt>
                <c:pt idx="572">
                  <c:v>10.52</c:v>
                </c:pt>
                <c:pt idx="573">
                  <c:v>10.58</c:v>
                </c:pt>
                <c:pt idx="574">
                  <c:v>10.25</c:v>
                </c:pt>
                <c:pt idx="575">
                  <c:v>10.07</c:v>
                </c:pt>
                <c:pt idx="576">
                  <c:v>10.119999999999999</c:v>
                </c:pt>
                <c:pt idx="577">
                  <c:v>10.11</c:v>
                </c:pt>
                <c:pt idx="578">
                  <c:v>10.02</c:v>
                </c:pt>
                <c:pt idx="579">
                  <c:v>9.93</c:v>
                </c:pt>
                <c:pt idx="580">
                  <c:v>10.029999999999999</c:v>
                </c:pt>
                <c:pt idx="581">
                  <c:v>10.27</c:v>
                </c:pt>
                <c:pt idx="582">
                  <c:v>10.26</c:v>
                </c:pt>
                <c:pt idx="583">
                  <c:v>10.47</c:v>
                </c:pt>
                <c:pt idx="584">
                  <c:v>10.39</c:v>
                </c:pt>
                <c:pt idx="585">
                  <c:v>10.56</c:v>
                </c:pt>
                <c:pt idx="586">
                  <c:v>10.47</c:v>
                </c:pt>
                <c:pt idx="587">
                  <c:v>10.48</c:v>
                </c:pt>
                <c:pt idx="588">
                  <c:v>10.43</c:v>
                </c:pt>
                <c:pt idx="589">
                  <c:v>10.55</c:v>
                </c:pt>
                <c:pt idx="590">
                  <c:v>10.55</c:v>
                </c:pt>
                <c:pt idx="591">
                  <c:v>10.66</c:v>
                </c:pt>
                <c:pt idx="592">
                  <c:v>11.22</c:v>
                </c:pt>
                <c:pt idx="593">
                  <c:v>10.98</c:v>
                </c:pt>
                <c:pt idx="594">
                  <c:v>10.85</c:v>
                </c:pt>
                <c:pt idx="595">
                  <c:v>10.75</c:v>
                </c:pt>
                <c:pt idx="596">
                  <c:v>10.72</c:v>
                </c:pt>
                <c:pt idx="597">
                  <c:v>10.79</c:v>
                </c:pt>
                <c:pt idx="598">
                  <c:v>10.54</c:v>
                </c:pt>
                <c:pt idx="599">
                  <c:v>10.24</c:v>
                </c:pt>
                <c:pt idx="600">
                  <c:v>9.9499999999999993</c:v>
                </c:pt>
                <c:pt idx="601">
                  <c:v>9.41</c:v>
                </c:pt>
                <c:pt idx="602">
                  <c:v>8.9</c:v>
                </c:pt>
                <c:pt idx="603">
                  <c:v>9.11</c:v>
                </c:pt>
                <c:pt idx="604">
                  <c:v>9.24</c:v>
                </c:pt>
                <c:pt idx="605">
                  <c:v>9.1300000000000008</c:v>
                </c:pt>
                <c:pt idx="606">
                  <c:v>9.19</c:v>
                </c:pt>
                <c:pt idx="607">
                  <c:v>9.24</c:v>
                </c:pt>
                <c:pt idx="608">
                  <c:v>9.23</c:v>
                </c:pt>
                <c:pt idx="609">
                  <c:v>9.17</c:v>
                </c:pt>
                <c:pt idx="610">
                  <c:v>9.94</c:v>
                </c:pt>
                <c:pt idx="611">
                  <c:v>9.4499999999999993</c:v>
                </c:pt>
                <c:pt idx="612">
                  <c:v>9.75</c:v>
                </c:pt>
                <c:pt idx="613">
                  <c:v>9.83</c:v>
                </c:pt>
                <c:pt idx="614">
                  <c:v>9.6999999999999993</c:v>
                </c:pt>
                <c:pt idx="615">
                  <c:v>9.98</c:v>
                </c:pt>
                <c:pt idx="616">
                  <c:v>9.74</c:v>
                </c:pt>
                <c:pt idx="617">
                  <c:v>9.64</c:v>
                </c:pt>
                <c:pt idx="618">
                  <c:v>10</c:v>
                </c:pt>
                <c:pt idx="619">
                  <c:v>9.5</c:v>
                </c:pt>
                <c:pt idx="620">
                  <c:v>9.35</c:v>
                </c:pt>
                <c:pt idx="621">
                  <c:v>9.4</c:v>
                </c:pt>
                <c:pt idx="622">
                  <c:v>9.26</c:v>
                </c:pt>
                <c:pt idx="623">
                  <c:v>9.14</c:v>
                </c:pt>
                <c:pt idx="624">
                  <c:v>9.06</c:v>
                </c:pt>
                <c:pt idx="625">
                  <c:v>8.89</c:v>
                </c:pt>
                <c:pt idx="626">
                  <c:v>8.66</c:v>
                </c:pt>
                <c:pt idx="627">
                  <c:v>8.7200000000000006</c:v>
                </c:pt>
                <c:pt idx="628">
                  <c:v>8.6</c:v>
                </c:pt>
                <c:pt idx="629">
                  <c:v>8.17</c:v>
                </c:pt>
                <c:pt idx="630">
                  <c:v>8.15</c:v>
                </c:pt>
                <c:pt idx="631">
                  <c:v>8.14</c:v>
                </c:pt>
                <c:pt idx="632">
                  <c:v>8.01</c:v>
                </c:pt>
                <c:pt idx="633">
                  <c:v>7.93</c:v>
                </c:pt>
                <c:pt idx="634">
                  <c:v>8.17</c:v>
                </c:pt>
                <c:pt idx="635">
                  <c:v>8</c:v>
                </c:pt>
                <c:pt idx="636">
                  <c:v>8</c:v>
                </c:pt>
                <c:pt idx="637">
                  <c:v>7.97</c:v>
                </c:pt>
                <c:pt idx="638">
                  <c:v>7.83</c:v>
                </c:pt>
                <c:pt idx="639">
                  <c:v>7.56</c:v>
                </c:pt>
                <c:pt idx="640">
                  <c:v>7.7</c:v>
                </c:pt>
                <c:pt idx="641">
                  <c:v>7.7</c:v>
                </c:pt>
                <c:pt idx="642">
                  <c:v>8.07</c:v>
                </c:pt>
                <c:pt idx="643">
                  <c:v>7.96</c:v>
                </c:pt>
                <c:pt idx="644">
                  <c:v>8.1</c:v>
                </c:pt>
                <c:pt idx="645">
                  <c:v>7.91</c:v>
                </c:pt>
                <c:pt idx="646">
                  <c:v>8.07</c:v>
                </c:pt>
                <c:pt idx="647">
                  <c:v>7.93</c:v>
                </c:pt>
                <c:pt idx="648">
                  <c:v>7.83</c:v>
                </c:pt>
                <c:pt idx="649">
                  <c:v>8.3000000000000007</c:v>
                </c:pt>
                <c:pt idx="650">
                  <c:v>8.2200000000000006</c:v>
                </c:pt>
                <c:pt idx="651">
                  <c:v>8.5399999999999991</c:v>
                </c:pt>
                <c:pt idx="652">
                  <c:v>8.5500000000000007</c:v>
                </c:pt>
                <c:pt idx="653">
                  <c:v>8.3000000000000007</c:v>
                </c:pt>
                <c:pt idx="654">
                  <c:v>8.32</c:v>
                </c:pt>
                <c:pt idx="655">
                  <c:v>8.1300000000000008</c:v>
                </c:pt>
                <c:pt idx="656">
                  <c:v>7.99</c:v>
                </c:pt>
                <c:pt idx="657">
                  <c:v>8.09</c:v>
                </c:pt>
                <c:pt idx="658">
                  <c:v>8.2200000000000006</c:v>
                </c:pt>
                <c:pt idx="659">
                  <c:v>8.66</c:v>
                </c:pt>
                <c:pt idx="660">
                  <c:v>8.68</c:v>
                </c:pt>
                <c:pt idx="661">
                  <c:v>8.83</c:v>
                </c:pt>
                <c:pt idx="662">
                  <c:v>8.44</c:v>
                </c:pt>
                <c:pt idx="663">
                  <c:v>8.41</c:v>
                </c:pt>
                <c:pt idx="664">
                  <c:v>8.6</c:v>
                </c:pt>
                <c:pt idx="665">
                  <c:v>8.65</c:v>
                </c:pt>
                <c:pt idx="666">
                  <c:v>8.81</c:v>
                </c:pt>
                <c:pt idx="667">
                  <c:v>8.9</c:v>
                </c:pt>
                <c:pt idx="668">
                  <c:v>8.9700000000000006</c:v>
                </c:pt>
                <c:pt idx="669">
                  <c:v>9.08</c:v>
                </c:pt>
                <c:pt idx="670">
                  <c:v>9.1</c:v>
                </c:pt>
                <c:pt idx="671">
                  <c:v>9.16</c:v>
                </c:pt>
                <c:pt idx="672">
                  <c:v>9.1999999999999993</c:v>
                </c:pt>
                <c:pt idx="673">
                  <c:v>9.18</c:v>
                </c:pt>
                <c:pt idx="674">
                  <c:v>8.85</c:v>
                </c:pt>
                <c:pt idx="675">
                  <c:v>8.77</c:v>
                </c:pt>
                <c:pt idx="676">
                  <c:v>8.9499999999999993</c:v>
                </c:pt>
                <c:pt idx="677">
                  <c:v>9.01</c:v>
                </c:pt>
                <c:pt idx="678">
                  <c:v>9.43</c:v>
                </c:pt>
                <c:pt idx="679">
                  <c:v>9.1999999999999993</c:v>
                </c:pt>
                <c:pt idx="680">
                  <c:v>9.2200000000000006</c:v>
                </c:pt>
                <c:pt idx="681">
                  <c:v>9.14</c:v>
                </c:pt>
                <c:pt idx="682">
                  <c:v>9.4499999999999993</c:v>
                </c:pt>
                <c:pt idx="683">
                  <c:v>9.57</c:v>
                </c:pt>
                <c:pt idx="684">
                  <c:v>9.39</c:v>
                </c:pt>
                <c:pt idx="685">
                  <c:v>9.1999999999999993</c:v>
                </c:pt>
                <c:pt idx="686">
                  <c:v>9.2100000000000009</c:v>
                </c:pt>
                <c:pt idx="687">
                  <c:v>9.3000000000000007</c:v>
                </c:pt>
                <c:pt idx="688">
                  <c:v>9.08</c:v>
                </c:pt>
                <c:pt idx="689">
                  <c:v>9.01</c:v>
                </c:pt>
                <c:pt idx="690">
                  <c:v>8.66</c:v>
                </c:pt>
                <c:pt idx="691">
                  <c:v>8.56</c:v>
                </c:pt>
                <c:pt idx="692">
                  <c:v>8.8000000000000007</c:v>
                </c:pt>
                <c:pt idx="693">
                  <c:v>8.8000000000000007</c:v>
                </c:pt>
                <c:pt idx="694">
                  <c:v>8.57</c:v>
                </c:pt>
                <c:pt idx="695">
                  <c:v>8.52</c:v>
                </c:pt>
                <c:pt idx="696">
                  <c:v>8.4700000000000006</c:v>
                </c:pt>
                <c:pt idx="697">
                  <c:v>8.39</c:v>
                </c:pt>
                <c:pt idx="698">
                  <c:v>8.34</c:v>
                </c:pt>
                <c:pt idx="699">
                  <c:v>8.35</c:v>
                </c:pt>
                <c:pt idx="700">
                  <c:v>8.3699999999999992</c:v>
                </c:pt>
                <c:pt idx="701">
                  <c:v>8.84</c:v>
                </c:pt>
                <c:pt idx="702">
                  <c:v>8.59</c:v>
                </c:pt>
                <c:pt idx="703">
                  <c:v>8.59</c:v>
                </c:pt>
                <c:pt idx="704">
                  <c:v>8.67</c:v>
                </c:pt>
                <c:pt idx="705">
                  <c:v>8.5299999999999994</c:v>
                </c:pt>
                <c:pt idx="706">
                  <c:v>8.6300000000000008</c:v>
                </c:pt>
                <c:pt idx="707">
                  <c:v>8.5500000000000007</c:v>
                </c:pt>
                <c:pt idx="708">
                  <c:v>8.32</c:v>
                </c:pt>
                <c:pt idx="709">
                  <c:v>8.39</c:v>
                </c:pt>
                <c:pt idx="710">
                  <c:v>8.61</c:v>
                </c:pt>
                <c:pt idx="711">
                  <c:v>9.06</c:v>
                </c:pt>
                <c:pt idx="712">
                  <c:v>9.2100000000000009</c:v>
                </c:pt>
                <c:pt idx="713">
                  <c:v>9.1199999999999992</c:v>
                </c:pt>
                <c:pt idx="714">
                  <c:v>9.11</c:v>
                </c:pt>
                <c:pt idx="715">
                  <c:v>9.19</c:v>
                </c:pt>
                <c:pt idx="716">
                  <c:v>9.1999999999999993</c:v>
                </c:pt>
                <c:pt idx="717">
                  <c:v>9.2100000000000009</c:v>
                </c:pt>
                <c:pt idx="718">
                  <c:v>9.43</c:v>
                </c:pt>
                <c:pt idx="719">
                  <c:v>9.2100000000000009</c:v>
                </c:pt>
                <c:pt idx="720">
                  <c:v>9.3000000000000007</c:v>
                </c:pt>
                <c:pt idx="721">
                  <c:v>9.43</c:v>
                </c:pt>
                <c:pt idx="722">
                  <c:v>9.44</c:v>
                </c:pt>
                <c:pt idx="723">
                  <c:v>9.44</c:v>
                </c:pt>
                <c:pt idx="724">
                  <c:v>9.3800000000000008</c:v>
                </c:pt>
                <c:pt idx="725">
                  <c:v>9.3000000000000007</c:v>
                </c:pt>
                <c:pt idx="726">
                  <c:v>9.26</c:v>
                </c:pt>
                <c:pt idx="727">
                  <c:v>9.1999999999999993</c:v>
                </c:pt>
                <c:pt idx="728">
                  <c:v>9.1999999999999993</c:v>
                </c:pt>
                <c:pt idx="729">
                  <c:v>9.08</c:v>
                </c:pt>
                <c:pt idx="730">
                  <c:v>9.16</c:v>
                </c:pt>
                <c:pt idx="731">
                  <c:v>9.16</c:v>
                </c:pt>
                <c:pt idx="732">
                  <c:v>9.17</c:v>
                </c:pt>
                <c:pt idx="733">
                  <c:v>9.18</c:v>
                </c:pt>
                <c:pt idx="734">
                  <c:v>9.08</c:v>
                </c:pt>
                <c:pt idx="735">
                  <c:v>8.7899999999999991</c:v>
                </c:pt>
                <c:pt idx="736">
                  <c:v>8.83</c:v>
                </c:pt>
                <c:pt idx="737">
                  <c:v>8.4</c:v>
                </c:pt>
                <c:pt idx="738">
                  <c:v>8.42</c:v>
                </c:pt>
                <c:pt idx="739">
                  <c:v>8.25</c:v>
                </c:pt>
                <c:pt idx="740">
                  <c:v>8.0299999999999994</c:v>
                </c:pt>
                <c:pt idx="741">
                  <c:v>10.06</c:v>
                </c:pt>
                <c:pt idx="742">
                  <c:v>9.8000000000000007</c:v>
                </c:pt>
                <c:pt idx="743">
                  <c:v>9.89</c:v>
                </c:pt>
                <c:pt idx="744">
                  <c:v>9.7899999999999991</c:v>
                </c:pt>
                <c:pt idx="745">
                  <c:v>9.6</c:v>
                </c:pt>
                <c:pt idx="746">
                  <c:v>9.82</c:v>
                </c:pt>
                <c:pt idx="747">
                  <c:v>9.75</c:v>
                </c:pt>
                <c:pt idx="748">
                  <c:v>9.43</c:v>
                </c:pt>
                <c:pt idx="749">
                  <c:v>9.39</c:v>
                </c:pt>
                <c:pt idx="750">
                  <c:v>9.73</c:v>
                </c:pt>
                <c:pt idx="751">
                  <c:v>9.82</c:v>
                </c:pt>
                <c:pt idx="752">
                  <c:v>9.74</c:v>
                </c:pt>
                <c:pt idx="753">
                  <c:v>9.26</c:v>
                </c:pt>
                <c:pt idx="754">
                  <c:v>8.9700000000000006</c:v>
                </c:pt>
                <c:pt idx="755">
                  <c:v>8.7100000000000009</c:v>
                </c:pt>
                <c:pt idx="756">
                  <c:v>8.8800000000000008</c:v>
                </c:pt>
                <c:pt idx="757">
                  <c:v>8.8699999999999992</c:v>
                </c:pt>
                <c:pt idx="758">
                  <c:v>8.86</c:v>
                </c:pt>
                <c:pt idx="759">
                  <c:v>9.0299999999999994</c:v>
                </c:pt>
                <c:pt idx="760">
                  <c:v>8.7100000000000009</c:v>
                </c:pt>
                <c:pt idx="761">
                  <c:v>8.74</c:v>
                </c:pt>
                <c:pt idx="762">
                  <c:v>8.5299999999999994</c:v>
                </c:pt>
                <c:pt idx="763">
                  <c:v>8.59</c:v>
                </c:pt>
                <c:pt idx="764">
                  <c:v>8.56</c:v>
                </c:pt>
                <c:pt idx="765">
                  <c:v>8.5500000000000007</c:v>
                </c:pt>
                <c:pt idx="766">
                  <c:v>8.5399999999999991</c:v>
                </c:pt>
                <c:pt idx="767">
                  <c:v>8.4600000000000009</c:v>
                </c:pt>
                <c:pt idx="768">
                  <c:v>8.51</c:v>
                </c:pt>
                <c:pt idx="769">
                  <c:v>8.61</c:v>
                </c:pt>
                <c:pt idx="770">
                  <c:v>8.74</c:v>
                </c:pt>
                <c:pt idx="771">
                  <c:v>8.84</c:v>
                </c:pt>
                <c:pt idx="772">
                  <c:v>8.76</c:v>
                </c:pt>
                <c:pt idx="773">
                  <c:v>8.7100000000000009</c:v>
                </c:pt>
                <c:pt idx="774">
                  <c:v>8.81</c:v>
                </c:pt>
                <c:pt idx="775">
                  <c:v>9.01</c:v>
                </c:pt>
                <c:pt idx="776">
                  <c:v>9.35</c:v>
                </c:pt>
                <c:pt idx="777">
                  <c:v>9.51</c:v>
                </c:pt>
                <c:pt idx="778">
                  <c:v>9.6999999999999993</c:v>
                </c:pt>
                <c:pt idx="779">
                  <c:v>9.5299999999999994</c:v>
                </c:pt>
                <c:pt idx="780">
                  <c:v>9.33</c:v>
                </c:pt>
                <c:pt idx="781">
                  <c:v>9.42</c:v>
                </c:pt>
                <c:pt idx="782">
                  <c:v>9.1199999999999992</c:v>
                </c:pt>
                <c:pt idx="783">
                  <c:v>8.7899999999999991</c:v>
                </c:pt>
                <c:pt idx="784">
                  <c:v>9.75</c:v>
                </c:pt>
                <c:pt idx="785">
                  <c:v>10.49</c:v>
                </c:pt>
                <c:pt idx="786">
                  <c:v>10.31</c:v>
                </c:pt>
                <c:pt idx="787">
                  <c:v>10.15</c:v>
                </c:pt>
                <c:pt idx="788">
                  <c:v>10.09</c:v>
                </c:pt>
                <c:pt idx="789">
                  <c:v>10.119999999999999</c:v>
                </c:pt>
                <c:pt idx="790">
                  <c:v>10.23</c:v>
                </c:pt>
                <c:pt idx="791">
                  <c:v>10.220000000000001</c:v>
                </c:pt>
                <c:pt idx="792">
                  <c:v>10.119999999999999</c:v>
                </c:pt>
                <c:pt idx="793">
                  <c:v>10.08</c:v>
                </c:pt>
                <c:pt idx="794">
                  <c:v>10.02</c:v>
                </c:pt>
                <c:pt idx="795">
                  <c:v>9.7899999999999991</c:v>
                </c:pt>
                <c:pt idx="796">
                  <c:v>9.93</c:v>
                </c:pt>
                <c:pt idx="797">
                  <c:v>9.8800000000000008</c:v>
                </c:pt>
                <c:pt idx="798">
                  <c:v>9.7100000000000009</c:v>
                </c:pt>
                <c:pt idx="799">
                  <c:v>9.8000000000000007</c:v>
                </c:pt>
                <c:pt idx="800">
                  <c:v>9.7899999999999991</c:v>
                </c:pt>
                <c:pt idx="801">
                  <c:v>9.7899999999999991</c:v>
                </c:pt>
                <c:pt idx="802">
                  <c:v>9.7799999999999994</c:v>
                </c:pt>
                <c:pt idx="803">
                  <c:v>9.92</c:v>
                </c:pt>
                <c:pt idx="804">
                  <c:v>9.8000000000000007</c:v>
                </c:pt>
                <c:pt idx="805">
                  <c:v>9.76</c:v>
                </c:pt>
                <c:pt idx="806">
                  <c:v>10.3</c:v>
                </c:pt>
                <c:pt idx="807">
                  <c:v>9.85</c:v>
                </c:pt>
                <c:pt idx="808">
                  <c:v>10.35</c:v>
                </c:pt>
                <c:pt idx="809">
                  <c:v>10.49</c:v>
                </c:pt>
                <c:pt idx="810">
                  <c:v>10.5</c:v>
                </c:pt>
                <c:pt idx="811">
                  <c:v>10.61</c:v>
                </c:pt>
                <c:pt idx="812">
                  <c:v>11.15</c:v>
                </c:pt>
                <c:pt idx="813">
                  <c:v>11.48</c:v>
                </c:pt>
                <c:pt idx="814">
                  <c:v>11.67</c:v>
                </c:pt>
                <c:pt idx="815">
                  <c:v>11.56</c:v>
                </c:pt>
                <c:pt idx="816">
                  <c:v>11.7</c:v>
                </c:pt>
                <c:pt idx="817">
                  <c:v>11.79</c:v>
                </c:pt>
                <c:pt idx="818">
                  <c:v>11.77</c:v>
                </c:pt>
                <c:pt idx="819">
                  <c:v>11.72</c:v>
                </c:pt>
                <c:pt idx="820">
                  <c:v>11.8</c:v>
                </c:pt>
                <c:pt idx="821">
                  <c:v>11.71</c:v>
                </c:pt>
                <c:pt idx="822">
                  <c:v>11.72</c:v>
                </c:pt>
                <c:pt idx="823">
                  <c:v>11.71</c:v>
                </c:pt>
                <c:pt idx="824">
                  <c:v>11.74</c:v>
                </c:pt>
                <c:pt idx="825">
                  <c:v>11.77</c:v>
                </c:pt>
                <c:pt idx="826">
                  <c:v>11.83</c:v>
                </c:pt>
                <c:pt idx="827">
                  <c:v>12.21</c:v>
                </c:pt>
                <c:pt idx="828">
                  <c:v>12.21</c:v>
                </c:pt>
                <c:pt idx="829">
                  <c:v>12.06</c:v>
                </c:pt>
                <c:pt idx="830">
                  <c:v>12.14</c:v>
                </c:pt>
                <c:pt idx="831">
                  <c:v>12.1</c:v>
                </c:pt>
                <c:pt idx="832">
                  <c:v>12.05</c:v>
                </c:pt>
                <c:pt idx="833">
                  <c:v>12.18</c:v>
                </c:pt>
                <c:pt idx="834">
                  <c:v>12.19</c:v>
                </c:pt>
                <c:pt idx="835">
                  <c:v>12.19</c:v>
                </c:pt>
                <c:pt idx="836">
                  <c:v>12.1</c:v>
                </c:pt>
                <c:pt idx="837">
                  <c:v>12.13</c:v>
                </c:pt>
                <c:pt idx="838">
                  <c:v>12.51</c:v>
                </c:pt>
                <c:pt idx="839">
                  <c:v>12.11</c:v>
                </c:pt>
                <c:pt idx="840">
                  <c:v>12.35</c:v>
                </c:pt>
                <c:pt idx="841">
                  <c:v>12.4</c:v>
                </c:pt>
                <c:pt idx="842">
                  <c:v>12.61</c:v>
                </c:pt>
                <c:pt idx="843">
                  <c:v>12.65</c:v>
                </c:pt>
                <c:pt idx="844">
                  <c:v>12.71</c:v>
                </c:pt>
                <c:pt idx="845">
                  <c:v>12.12</c:v>
                </c:pt>
                <c:pt idx="846">
                  <c:v>11.91</c:v>
                </c:pt>
                <c:pt idx="847">
                  <c:v>11.79</c:v>
                </c:pt>
                <c:pt idx="848">
                  <c:v>11.63</c:v>
                </c:pt>
                <c:pt idx="849">
                  <c:v>11.73</c:v>
                </c:pt>
                <c:pt idx="850">
                  <c:v>11.74</c:v>
                </c:pt>
                <c:pt idx="851">
                  <c:v>11.74</c:v>
                </c:pt>
                <c:pt idx="852">
                  <c:v>11.9</c:v>
                </c:pt>
                <c:pt idx="853">
                  <c:v>11.89</c:v>
                </c:pt>
                <c:pt idx="854">
                  <c:v>12.02</c:v>
                </c:pt>
                <c:pt idx="855">
                  <c:v>11.64</c:v>
                </c:pt>
                <c:pt idx="856">
                  <c:v>11.52</c:v>
                </c:pt>
                <c:pt idx="857">
                  <c:v>11.12</c:v>
                </c:pt>
                <c:pt idx="858">
                  <c:v>10.84</c:v>
                </c:pt>
                <c:pt idx="859">
                  <c:v>10.9</c:v>
                </c:pt>
                <c:pt idx="860">
                  <c:v>10.82</c:v>
                </c:pt>
                <c:pt idx="861">
                  <c:v>11.45</c:v>
                </c:pt>
                <c:pt idx="862">
                  <c:v>11.31</c:v>
                </c:pt>
                <c:pt idx="863">
                  <c:v>11.44</c:v>
                </c:pt>
                <c:pt idx="864">
                  <c:v>11.3</c:v>
                </c:pt>
                <c:pt idx="865">
                  <c:v>11.75</c:v>
                </c:pt>
                <c:pt idx="866">
                  <c:v>11.85</c:v>
                </c:pt>
                <c:pt idx="867">
                  <c:v>11.91</c:v>
                </c:pt>
                <c:pt idx="868">
                  <c:v>11.98</c:v>
                </c:pt>
                <c:pt idx="869">
                  <c:v>12.26</c:v>
                </c:pt>
                <c:pt idx="870">
                  <c:v>13.46</c:v>
                </c:pt>
                <c:pt idx="871">
                  <c:v>14.06</c:v>
                </c:pt>
                <c:pt idx="872">
                  <c:v>14.02</c:v>
                </c:pt>
                <c:pt idx="873">
                  <c:v>13.98</c:v>
                </c:pt>
                <c:pt idx="874">
                  <c:v>13.85</c:v>
                </c:pt>
                <c:pt idx="875">
                  <c:v>13.82</c:v>
                </c:pt>
                <c:pt idx="876">
                  <c:v>14.08</c:v>
                </c:pt>
                <c:pt idx="877">
                  <c:v>13.98</c:v>
                </c:pt>
                <c:pt idx="878">
                  <c:v>13.86</c:v>
                </c:pt>
                <c:pt idx="879">
                  <c:v>14.18</c:v>
                </c:pt>
                <c:pt idx="880">
                  <c:v>13.77</c:v>
                </c:pt>
                <c:pt idx="881">
                  <c:v>14.13</c:v>
                </c:pt>
                <c:pt idx="882">
                  <c:v>14.52</c:v>
                </c:pt>
                <c:pt idx="883">
                  <c:v>14.76</c:v>
                </c:pt>
                <c:pt idx="884">
                  <c:v>14.89</c:v>
                </c:pt>
                <c:pt idx="885">
                  <c:v>15.09</c:v>
                </c:pt>
                <c:pt idx="886">
                  <c:v>14.99</c:v>
                </c:pt>
                <c:pt idx="887">
                  <c:v>15.37</c:v>
                </c:pt>
                <c:pt idx="888">
                  <c:v>15.29</c:v>
                </c:pt>
                <c:pt idx="889">
                  <c:v>15.88</c:v>
                </c:pt>
                <c:pt idx="890">
                  <c:v>16.47</c:v>
                </c:pt>
                <c:pt idx="891">
                  <c:v>16.260000000000002</c:v>
                </c:pt>
                <c:pt idx="892">
                  <c:v>16.12</c:v>
                </c:pt>
                <c:pt idx="893">
                  <c:v>16.27</c:v>
                </c:pt>
                <c:pt idx="894">
                  <c:v>16.84</c:v>
                </c:pt>
                <c:pt idx="895">
                  <c:v>16.920000000000002</c:v>
                </c:pt>
                <c:pt idx="896">
                  <c:v>16.95</c:v>
                </c:pt>
                <c:pt idx="897">
                  <c:v>17.010000000000002</c:v>
                </c:pt>
                <c:pt idx="898">
                  <c:v>16.670000000000002</c:v>
                </c:pt>
                <c:pt idx="899">
                  <c:v>17.11</c:v>
                </c:pt>
                <c:pt idx="900">
                  <c:v>17.489999999999998</c:v>
                </c:pt>
                <c:pt idx="901">
                  <c:v>17.329999999999998</c:v>
                </c:pt>
                <c:pt idx="902">
                  <c:v>16.59</c:v>
                </c:pt>
                <c:pt idx="903">
                  <c:v>16.399999999999999</c:v>
                </c:pt>
                <c:pt idx="904">
                  <c:v>16.16</c:v>
                </c:pt>
                <c:pt idx="905">
                  <c:v>16.54</c:v>
                </c:pt>
                <c:pt idx="906">
                  <c:v>16.93</c:v>
                </c:pt>
                <c:pt idx="907">
                  <c:v>17.239999999999998</c:v>
                </c:pt>
                <c:pt idx="908">
                  <c:v>17.420000000000002</c:v>
                </c:pt>
                <c:pt idx="909">
                  <c:v>17.079999999999998</c:v>
                </c:pt>
                <c:pt idx="910">
                  <c:v>17.3</c:v>
                </c:pt>
                <c:pt idx="911">
                  <c:v>17.3</c:v>
                </c:pt>
                <c:pt idx="912">
                  <c:v>18.010000000000002</c:v>
                </c:pt>
                <c:pt idx="913">
                  <c:v>17.86</c:v>
                </c:pt>
                <c:pt idx="914">
                  <c:v>17.690000000000001</c:v>
                </c:pt>
                <c:pt idx="915">
                  <c:v>17.7</c:v>
                </c:pt>
                <c:pt idx="916">
                  <c:v>18.010000000000002</c:v>
                </c:pt>
                <c:pt idx="917">
                  <c:v>18.079999999999998</c:v>
                </c:pt>
                <c:pt idx="918">
                  <c:v>18.239999999999998</c:v>
                </c:pt>
                <c:pt idx="919">
                  <c:v>17.68</c:v>
                </c:pt>
                <c:pt idx="920">
                  <c:v>17.670000000000002</c:v>
                </c:pt>
                <c:pt idx="921">
                  <c:v>17.66</c:v>
                </c:pt>
                <c:pt idx="922">
                  <c:v>17.53</c:v>
                </c:pt>
                <c:pt idx="923">
                  <c:v>17.850000000000001</c:v>
                </c:pt>
                <c:pt idx="924">
                  <c:v>17.75</c:v>
                </c:pt>
                <c:pt idx="925">
                  <c:v>17.559999999999999</c:v>
                </c:pt>
                <c:pt idx="926">
                  <c:v>17.89</c:v>
                </c:pt>
                <c:pt idx="927">
                  <c:v>17.34</c:v>
                </c:pt>
                <c:pt idx="928">
                  <c:v>17.559999999999999</c:v>
                </c:pt>
                <c:pt idx="929">
                  <c:v>17.670000000000002</c:v>
                </c:pt>
                <c:pt idx="930">
                  <c:v>16.84</c:v>
                </c:pt>
                <c:pt idx="931">
                  <c:v>16.690000000000001</c:v>
                </c:pt>
                <c:pt idx="932">
                  <c:v>16.48</c:v>
                </c:pt>
                <c:pt idx="933">
                  <c:v>17.04</c:v>
                </c:pt>
                <c:pt idx="934">
                  <c:v>17.04</c:v>
                </c:pt>
                <c:pt idx="935">
                  <c:v>17.010000000000002</c:v>
                </c:pt>
                <c:pt idx="936">
                  <c:v>17.39</c:v>
                </c:pt>
                <c:pt idx="937">
                  <c:v>17.399999999999999</c:v>
                </c:pt>
                <c:pt idx="938">
                  <c:v>17.55</c:v>
                </c:pt>
                <c:pt idx="939">
                  <c:v>17.59</c:v>
                </c:pt>
                <c:pt idx="940">
                  <c:v>17.8</c:v>
                </c:pt>
                <c:pt idx="941">
                  <c:v>17.93</c:v>
                </c:pt>
                <c:pt idx="942">
                  <c:v>18.010000000000002</c:v>
                </c:pt>
                <c:pt idx="943">
                  <c:v>18.079999999999998</c:v>
                </c:pt>
                <c:pt idx="944">
                  <c:v>18.18</c:v>
                </c:pt>
                <c:pt idx="945">
                  <c:v>18.41</c:v>
                </c:pt>
                <c:pt idx="946">
                  <c:v>19.260000000000002</c:v>
                </c:pt>
                <c:pt idx="947">
                  <c:v>19.27</c:v>
                </c:pt>
                <c:pt idx="948">
                  <c:v>19.600000000000001</c:v>
                </c:pt>
                <c:pt idx="949">
                  <c:v>19.39</c:v>
                </c:pt>
                <c:pt idx="950">
                  <c:v>19.54</c:v>
                </c:pt>
                <c:pt idx="951">
                  <c:v>19.899999999999999</c:v>
                </c:pt>
                <c:pt idx="952">
                  <c:v>19.829999999999998</c:v>
                </c:pt>
                <c:pt idx="953">
                  <c:v>19.95</c:v>
                </c:pt>
                <c:pt idx="954">
                  <c:v>20.36</c:v>
                </c:pt>
                <c:pt idx="955">
                  <c:v>20.21</c:v>
                </c:pt>
                <c:pt idx="956">
                  <c:v>19.899999999999999</c:v>
                </c:pt>
                <c:pt idx="957">
                  <c:v>20.239999999999998</c:v>
                </c:pt>
                <c:pt idx="958">
                  <c:v>20.170000000000002</c:v>
                </c:pt>
                <c:pt idx="959">
                  <c:v>20.48</c:v>
                </c:pt>
                <c:pt idx="960">
                  <c:v>20.309999999999999</c:v>
                </c:pt>
                <c:pt idx="961">
                  <c:v>20.45</c:v>
                </c:pt>
                <c:pt idx="962">
                  <c:v>20.67</c:v>
                </c:pt>
                <c:pt idx="963">
                  <c:v>20.87</c:v>
                </c:pt>
                <c:pt idx="964">
                  <c:v>21</c:v>
                </c:pt>
                <c:pt idx="965">
                  <c:v>21.26</c:v>
                </c:pt>
                <c:pt idx="966">
                  <c:v>21.21</c:v>
                </c:pt>
                <c:pt idx="967">
                  <c:v>21.2</c:v>
                </c:pt>
                <c:pt idx="968">
                  <c:v>21.25</c:v>
                </c:pt>
                <c:pt idx="969">
                  <c:v>21.66</c:v>
                </c:pt>
                <c:pt idx="970">
                  <c:v>21.66</c:v>
                </c:pt>
                <c:pt idx="971">
                  <c:v>21.22</c:v>
                </c:pt>
                <c:pt idx="972">
                  <c:v>21.18</c:v>
                </c:pt>
                <c:pt idx="973">
                  <c:v>21.17</c:v>
                </c:pt>
                <c:pt idx="974">
                  <c:v>21.09</c:v>
                </c:pt>
                <c:pt idx="975">
                  <c:v>20.68</c:v>
                </c:pt>
                <c:pt idx="976">
                  <c:v>21.44</c:v>
                </c:pt>
                <c:pt idx="977">
                  <c:v>21.32</c:v>
                </c:pt>
                <c:pt idx="978">
                  <c:v>22.08</c:v>
                </c:pt>
                <c:pt idx="979">
                  <c:v>22.46</c:v>
                </c:pt>
                <c:pt idx="980">
                  <c:v>22.78</c:v>
                </c:pt>
                <c:pt idx="981">
                  <c:v>23.09</c:v>
                </c:pt>
                <c:pt idx="982">
                  <c:v>23.54</c:v>
                </c:pt>
                <c:pt idx="983">
                  <c:v>23.1</c:v>
                </c:pt>
                <c:pt idx="984">
                  <c:v>23.41</c:v>
                </c:pt>
                <c:pt idx="985">
                  <c:v>23.44</c:v>
                </c:pt>
                <c:pt idx="986">
                  <c:v>23.6</c:v>
                </c:pt>
                <c:pt idx="987">
                  <c:v>23.4</c:v>
                </c:pt>
                <c:pt idx="988">
                  <c:v>23.42</c:v>
                </c:pt>
                <c:pt idx="989">
                  <c:v>23.84</c:v>
                </c:pt>
                <c:pt idx="990">
                  <c:v>24.58</c:v>
                </c:pt>
                <c:pt idx="991">
                  <c:v>24.6</c:v>
                </c:pt>
                <c:pt idx="992">
                  <c:v>25.25</c:v>
                </c:pt>
                <c:pt idx="993">
                  <c:v>25.49</c:v>
                </c:pt>
                <c:pt idx="994">
                  <c:v>26.09</c:v>
                </c:pt>
                <c:pt idx="995">
                  <c:v>26.11</c:v>
                </c:pt>
                <c:pt idx="996">
                  <c:v>25.06</c:v>
                </c:pt>
                <c:pt idx="997">
                  <c:v>25.57</c:v>
                </c:pt>
                <c:pt idx="998">
                  <c:v>24.39</c:v>
                </c:pt>
                <c:pt idx="999">
                  <c:v>25.35</c:v>
                </c:pt>
                <c:pt idx="1000">
                  <c:v>25.25</c:v>
                </c:pt>
                <c:pt idx="1001">
                  <c:v>26.06</c:v>
                </c:pt>
                <c:pt idx="1002">
                  <c:v>26.17</c:v>
                </c:pt>
                <c:pt idx="1003">
                  <c:v>26.26</c:v>
                </c:pt>
                <c:pt idx="1004">
                  <c:v>26.47</c:v>
                </c:pt>
                <c:pt idx="1005">
                  <c:v>26.22</c:v>
                </c:pt>
                <c:pt idx="1006">
                  <c:v>26.06</c:v>
                </c:pt>
                <c:pt idx="1007">
                  <c:v>26.06</c:v>
                </c:pt>
                <c:pt idx="1008">
                  <c:v>25.67</c:v>
                </c:pt>
                <c:pt idx="1009">
                  <c:v>25.19</c:v>
                </c:pt>
                <c:pt idx="1010">
                  <c:v>25.67</c:v>
                </c:pt>
                <c:pt idx="1011">
                  <c:v>25.88</c:v>
                </c:pt>
                <c:pt idx="1012">
                  <c:v>26.13</c:v>
                </c:pt>
                <c:pt idx="1013">
                  <c:v>26.38</c:v>
                </c:pt>
                <c:pt idx="1014">
                  <c:v>27.25</c:v>
                </c:pt>
                <c:pt idx="1015">
                  <c:v>27.83</c:v>
                </c:pt>
                <c:pt idx="1016">
                  <c:v>27.46</c:v>
                </c:pt>
                <c:pt idx="1017">
                  <c:v>26.96</c:v>
                </c:pt>
                <c:pt idx="1018">
                  <c:v>27.35</c:v>
                </c:pt>
                <c:pt idx="1019">
                  <c:v>27.14</c:v>
                </c:pt>
                <c:pt idx="1020">
                  <c:v>27.8</c:v>
                </c:pt>
                <c:pt idx="1021">
                  <c:v>27.99</c:v>
                </c:pt>
                <c:pt idx="1022">
                  <c:v>28.13</c:v>
                </c:pt>
                <c:pt idx="1023">
                  <c:v>27.64</c:v>
                </c:pt>
                <c:pt idx="1024">
                  <c:v>28.11</c:v>
                </c:pt>
                <c:pt idx="1025">
                  <c:v>28.2</c:v>
                </c:pt>
                <c:pt idx="1026">
                  <c:v>27.96</c:v>
                </c:pt>
                <c:pt idx="1027">
                  <c:v>27.7</c:v>
                </c:pt>
                <c:pt idx="1028">
                  <c:v>28.2</c:v>
                </c:pt>
                <c:pt idx="1029">
                  <c:v>27.65</c:v>
                </c:pt>
                <c:pt idx="1030">
                  <c:v>27.91</c:v>
                </c:pt>
                <c:pt idx="1031">
                  <c:v>27.93</c:v>
                </c:pt>
                <c:pt idx="1032">
                  <c:v>27.82</c:v>
                </c:pt>
                <c:pt idx="1033">
                  <c:v>27.95</c:v>
                </c:pt>
                <c:pt idx="1034">
                  <c:v>27.61</c:v>
                </c:pt>
                <c:pt idx="1035">
                  <c:v>27.16</c:v>
                </c:pt>
                <c:pt idx="1036">
                  <c:v>27.14</c:v>
                </c:pt>
                <c:pt idx="1037">
                  <c:v>26.89</c:v>
                </c:pt>
                <c:pt idx="1038">
                  <c:v>27.3</c:v>
                </c:pt>
                <c:pt idx="1039">
                  <c:v>27.36</c:v>
                </c:pt>
                <c:pt idx="1040">
                  <c:v>28.31</c:v>
                </c:pt>
                <c:pt idx="1041">
                  <c:v>31.35</c:v>
                </c:pt>
                <c:pt idx="1042">
                  <c:v>31.62</c:v>
                </c:pt>
                <c:pt idx="1043">
                  <c:v>31.76</c:v>
                </c:pt>
                <c:pt idx="1044">
                  <c:v>31.96</c:v>
                </c:pt>
                <c:pt idx="1045">
                  <c:v>33</c:v>
                </c:pt>
                <c:pt idx="1046">
                  <c:v>34.229999999999997</c:v>
                </c:pt>
                <c:pt idx="1047">
                  <c:v>34.36</c:v>
                </c:pt>
                <c:pt idx="1048">
                  <c:v>34.409999999999997</c:v>
                </c:pt>
                <c:pt idx="1049">
                  <c:v>34.06</c:v>
                </c:pt>
                <c:pt idx="1050">
                  <c:v>33.6</c:v>
                </c:pt>
                <c:pt idx="1051">
                  <c:v>32.869999999999997</c:v>
                </c:pt>
                <c:pt idx="1052">
                  <c:v>31.6</c:v>
                </c:pt>
                <c:pt idx="1053">
                  <c:v>30.81</c:v>
                </c:pt>
                <c:pt idx="1054">
                  <c:v>31.92</c:v>
                </c:pt>
                <c:pt idx="1055">
                  <c:v>30.64</c:v>
                </c:pt>
                <c:pt idx="1056">
                  <c:v>31.64</c:v>
                </c:pt>
                <c:pt idx="1057">
                  <c:v>32.24</c:v>
                </c:pt>
                <c:pt idx="1058">
                  <c:v>30.8</c:v>
                </c:pt>
                <c:pt idx="1059">
                  <c:v>30.96</c:v>
                </c:pt>
                <c:pt idx="1060">
                  <c:v>29.23</c:v>
                </c:pt>
                <c:pt idx="1061">
                  <c:v>28.31</c:v>
                </c:pt>
                <c:pt idx="1062">
                  <c:v>28.96</c:v>
                </c:pt>
                <c:pt idx="1063">
                  <c:v>28.73</c:v>
                </c:pt>
                <c:pt idx="1064">
                  <c:v>28.75</c:v>
                </c:pt>
                <c:pt idx="1065">
                  <c:v>28.85</c:v>
                </c:pt>
                <c:pt idx="1066">
                  <c:v>31.05</c:v>
                </c:pt>
                <c:pt idx="1067">
                  <c:v>31.63</c:v>
                </c:pt>
                <c:pt idx="1068">
                  <c:v>32.729999999999997</c:v>
                </c:pt>
                <c:pt idx="1069">
                  <c:v>32.229999999999997</c:v>
                </c:pt>
                <c:pt idx="1070">
                  <c:v>32.979999999999997</c:v>
                </c:pt>
                <c:pt idx="1071">
                  <c:v>33.799999999999997</c:v>
                </c:pt>
                <c:pt idx="1072">
                  <c:v>33.880000000000003</c:v>
                </c:pt>
                <c:pt idx="1073">
                  <c:v>34.28</c:v>
                </c:pt>
                <c:pt idx="1074">
                  <c:v>34.6</c:v>
                </c:pt>
                <c:pt idx="1075">
                  <c:v>35.369999999999997</c:v>
                </c:pt>
                <c:pt idx="1076">
                  <c:v>35.6</c:v>
                </c:pt>
                <c:pt idx="1077">
                  <c:v>34.79</c:v>
                </c:pt>
                <c:pt idx="1078">
                  <c:v>36.54</c:v>
                </c:pt>
                <c:pt idx="1079">
                  <c:v>38.299999999999997</c:v>
                </c:pt>
                <c:pt idx="1080">
                  <c:v>37.06</c:v>
                </c:pt>
                <c:pt idx="1081">
                  <c:v>36.67</c:v>
                </c:pt>
                <c:pt idx="1082">
                  <c:v>35.630000000000003</c:v>
                </c:pt>
                <c:pt idx="1083">
                  <c:v>34.1</c:v>
                </c:pt>
                <c:pt idx="1084">
                  <c:v>34.1</c:v>
                </c:pt>
                <c:pt idx="1085">
                  <c:v>33.53</c:v>
                </c:pt>
                <c:pt idx="1086">
                  <c:v>33.590000000000003</c:v>
                </c:pt>
                <c:pt idx="1087">
                  <c:v>34.01</c:v>
                </c:pt>
                <c:pt idx="1088">
                  <c:v>35.57</c:v>
                </c:pt>
                <c:pt idx="1089">
                  <c:v>35.69</c:v>
                </c:pt>
                <c:pt idx="1090">
                  <c:v>36.340000000000003</c:v>
                </c:pt>
                <c:pt idx="1091">
                  <c:v>35.72</c:v>
                </c:pt>
                <c:pt idx="1092">
                  <c:v>34.590000000000003</c:v>
                </c:pt>
                <c:pt idx="1093">
                  <c:v>35.1</c:v>
                </c:pt>
                <c:pt idx="1094">
                  <c:v>34.4</c:v>
                </c:pt>
                <c:pt idx="1095">
                  <c:v>32.950000000000003</c:v>
                </c:pt>
                <c:pt idx="1096">
                  <c:v>32.54</c:v>
                </c:pt>
                <c:pt idx="1097">
                  <c:v>33.75</c:v>
                </c:pt>
                <c:pt idx="1098">
                  <c:v>33.81</c:v>
                </c:pt>
                <c:pt idx="1099">
                  <c:v>33.99</c:v>
                </c:pt>
                <c:pt idx="1100">
                  <c:v>33.36</c:v>
                </c:pt>
                <c:pt idx="1101">
                  <c:v>31.53</c:v>
                </c:pt>
                <c:pt idx="1102">
                  <c:v>30.26</c:v>
                </c:pt>
                <c:pt idx="1103">
                  <c:v>29.47</c:v>
                </c:pt>
                <c:pt idx="1104">
                  <c:v>30.43</c:v>
                </c:pt>
                <c:pt idx="1105">
                  <c:v>29.87</c:v>
                </c:pt>
                <c:pt idx="1106">
                  <c:v>29.84</c:v>
                </c:pt>
                <c:pt idx="1107">
                  <c:v>29.79</c:v>
                </c:pt>
                <c:pt idx="1108">
                  <c:v>29.3</c:v>
                </c:pt>
                <c:pt idx="1109">
                  <c:v>30.34</c:v>
                </c:pt>
                <c:pt idx="1110">
                  <c:v>30.77</c:v>
                </c:pt>
                <c:pt idx="1111">
                  <c:v>31.2</c:v>
                </c:pt>
                <c:pt idx="1112">
                  <c:v>31.98</c:v>
                </c:pt>
                <c:pt idx="1113">
                  <c:v>31.93</c:v>
                </c:pt>
                <c:pt idx="1114">
                  <c:v>31.4</c:v>
                </c:pt>
                <c:pt idx="1115">
                  <c:v>30.61</c:v>
                </c:pt>
                <c:pt idx="1116">
                  <c:v>30.03</c:v>
                </c:pt>
                <c:pt idx="1117">
                  <c:v>30.47</c:v>
                </c:pt>
                <c:pt idx="1118">
                  <c:v>30.4</c:v>
                </c:pt>
                <c:pt idx="1119">
                  <c:v>30.13</c:v>
                </c:pt>
                <c:pt idx="1120">
                  <c:v>30.24</c:v>
                </c:pt>
                <c:pt idx="1121">
                  <c:v>31.16</c:v>
                </c:pt>
                <c:pt idx="1122">
                  <c:v>29.84</c:v>
                </c:pt>
                <c:pt idx="1123">
                  <c:v>31.51</c:v>
                </c:pt>
                <c:pt idx="1124">
                  <c:v>29.3</c:v>
                </c:pt>
                <c:pt idx="1125">
                  <c:v>29.11</c:v>
                </c:pt>
                <c:pt idx="1126">
                  <c:v>29.75</c:v>
                </c:pt>
                <c:pt idx="1127">
                  <c:v>29.4</c:v>
                </c:pt>
                <c:pt idx="1128">
                  <c:v>29.04</c:v>
                </c:pt>
                <c:pt idx="1129">
                  <c:v>28.03</c:v>
                </c:pt>
                <c:pt idx="1130">
                  <c:v>27.93</c:v>
                </c:pt>
                <c:pt idx="1131">
                  <c:v>28.1</c:v>
                </c:pt>
                <c:pt idx="1132">
                  <c:v>27.99</c:v>
                </c:pt>
                <c:pt idx="1133">
                  <c:v>27.74</c:v>
                </c:pt>
                <c:pt idx="1134">
                  <c:v>28.19</c:v>
                </c:pt>
                <c:pt idx="1135">
                  <c:v>29.26</c:v>
                </c:pt>
                <c:pt idx="1136">
                  <c:v>29.55</c:v>
                </c:pt>
                <c:pt idx="1137">
                  <c:v>29.37</c:v>
                </c:pt>
                <c:pt idx="1138">
                  <c:v>29.31</c:v>
                </c:pt>
                <c:pt idx="1139">
                  <c:v>29.2</c:v>
                </c:pt>
                <c:pt idx="1140">
                  <c:v>29.01</c:v>
                </c:pt>
                <c:pt idx="1141">
                  <c:v>28.87</c:v>
                </c:pt>
                <c:pt idx="1142">
                  <c:v>29.21</c:v>
                </c:pt>
                <c:pt idx="1143">
                  <c:v>30.12</c:v>
                </c:pt>
                <c:pt idx="1144">
                  <c:v>31.73</c:v>
                </c:pt>
                <c:pt idx="1145">
                  <c:v>32.99</c:v>
                </c:pt>
                <c:pt idx="1146">
                  <c:v>31.65</c:v>
                </c:pt>
                <c:pt idx="1147">
                  <c:v>30.21</c:v>
                </c:pt>
                <c:pt idx="1148">
                  <c:v>29.39</c:v>
                </c:pt>
                <c:pt idx="1149">
                  <c:v>29.33</c:v>
                </c:pt>
                <c:pt idx="1150">
                  <c:v>30.27</c:v>
                </c:pt>
                <c:pt idx="1151">
                  <c:v>30.27</c:v>
                </c:pt>
                <c:pt idx="1152">
                  <c:v>30.55</c:v>
                </c:pt>
                <c:pt idx="1153">
                  <c:v>30.42</c:v>
                </c:pt>
                <c:pt idx="1154">
                  <c:v>30.43</c:v>
                </c:pt>
                <c:pt idx="1155">
                  <c:v>31.97</c:v>
                </c:pt>
                <c:pt idx="1156">
                  <c:v>31.5</c:v>
                </c:pt>
                <c:pt idx="1157">
                  <c:v>30.81</c:v>
                </c:pt>
                <c:pt idx="1158">
                  <c:v>31.93</c:v>
                </c:pt>
                <c:pt idx="1159">
                  <c:v>31.63</c:v>
                </c:pt>
                <c:pt idx="1160">
                  <c:v>30.04</c:v>
                </c:pt>
                <c:pt idx="1161">
                  <c:v>31.13</c:v>
                </c:pt>
                <c:pt idx="1162">
                  <c:v>31.19</c:v>
                </c:pt>
                <c:pt idx="1163">
                  <c:v>31.5</c:v>
                </c:pt>
                <c:pt idx="1164">
                  <c:v>30.71</c:v>
                </c:pt>
                <c:pt idx="1165">
                  <c:v>29.3</c:v>
                </c:pt>
                <c:pt idx="1166">
                  <c:v>28.92</c:v>
                </c:pt>
                <c:pt idx="1167">
                  <c:v>28.55</c:v>
                </c:pt>
                <c:pt idx="1168">
                  <c:v>28.46</c:v>
                </c:pt>
                <c:pt idx="1169">
                  <c:v>29.53</c:v>
                </c:pt>
                <c:pt idx="1170">
                  <c:v>29.29</c:v>
                </c:pt>
                <c:pt idx="1171">
                  <c:v>28.75</c:v>
                </c:pt>
                <c:pt idx="1172">
                  <c:v>27.27</c:v>
                </c:pt>
                <c:pt idx="1173">
                  <c:v>28.03</c:v>
                </c:pt>
                <c:pt idx="1174">
                  <c:v>28.81</c:v>
                </c:pt>
                <c:pt idx="1175">
                  <c:v>29.82</c:v>
                </c:pt>
                <c:pt idx="1176">
                  <c:v>28.92</c:v>
                </c:pt>
                <c:pt idx="1177">
                  <c:v>28.41</c:v>
                </c:pt>
                <c:pt idx="1178">
                  <c:v>27.34</c:v>
                </c:pt>
                <c:pt idx="1179">
                  <c:v>27.23</c:v>
                </c:pt>
                <c:pt idx="1180">
                  <c:v>27.38</c:v>
                </c:pt>
                <c:pt idx="1181">
                  <c:v>31.44</c:v>
                </c:pt>
                <c:pt idx="1182">
                  <c:v>30.87</c:v>
                </c:pt>
                <c:pt idx="1183">
                  <c:v>31.8</c:v>
                </c:pt>
                <c:pt idx="1184">
                  <c:v>31.46</c:v>
                </c:pt>
                <c:pt idx="1185">
                  <c:v>30.86</c:v>
                </c:pt>
                <c:pt idx="1186">
                  <c:v>30.79</c:v>
                </c:pt>
                <c:pt idx="1187">
                  <c:v>30.98</c:v>
                </c:pt>
                <c:pt idx="1188">
                  <c:v>31.91</c:v>
                </c:pt>
                <c:pt idx="1189">
                  <c:v>33.229999999999997</c:v>
                </c:pt>
                <c:pt idx="1190">
                  <c:v>33</c:v>
                </c:pt>
                <c:pt idx="1191">
                  <c:v>33.99</c:v>
                </c:pt>
                <c:pt idx="1192">
                  <c:v>33.29</c:v>
                </c:pt>
                <c:pt idx="1193">
                  <c:v>32.92</c:v>
                </c:pt>
                <c:pt idx="1194">
                  <c:v>33.14</c:v>
                </c:pt>
                <c:pt idx="1195">
                  <c:v>33.31</c:v>
                </c:pt>
                <c:pt idx="1196">
                  <c:v>32.26</c:v>
                </c:pt>
                <c:pt idx="1197">
                  <c:v>32.54</c:v>
                </c:pt>
                <c:pt idx="1198">
                  <c:v>33.119999999999997</c:v>
                </c:pt>
                <c:pt idx="1199">
                  <c:v>33.31</c:v>
                </c:pt>
                <c:pt idx="1200">
                  <c:v>34.21</c:v>
                </c:pt>
                <c:pt idx="1201">
                  <c:v>33.86</c:v>
                </c:pt>
                <c:pt idx="1202">
                  <c:v>33.5</c:v>
                </c:pt>
                <c:pt idx="1203">
                  <c:v>33.39</c:v>
                </c:pt>
                <c:pt idx="1204">
                  <c:v>34.19</c:v>
                </c:pt>
                <c:pt idx="1205">
                  <c:v>34.06</c:v>
                </c:pt>
                <c:pt idx="1206">
                  <c:v>34.56</c:v>
                </c:pt>
                <c:pt idx="1207">
                  <c:v>34.49</c:v>
                </c:pt>
                <c:pt idx="1208">
                  <c:v>35.229999999999997</c:v>
                </c:pt>
                <c:pt idx="1209">
                  <c:v>34.46</c:v>
                </c:pt>
                <c:pt idx="1210">
                  <c:v>34.67</c:v>
                </c:pt>
                <c:pt idx="1211">
                  <c:v>35.11</c:v>
                </c:pt>
                <c:pt idx="1212">
                  <c:v>35.1</c:v>
                </c:pt>
                <c:pt idx="1213">
                  <c:v>34.700000000000003</c:v>
                </c:pt>
                <c:pt idx="1214">
                  <c:v>34.85</c:v>
                </c:pt>
                <c:pt idx="1215">
                  <c:v>35.4</c:v>
                </c:pt>
                <c:pt idx="1216">
                  <c:v>36.299999999999997</c:v>
                </c:pt>
                <c:pt idx="1217">
                  <c:v>36.24</c:v>
                </c:pt>
                <c:pt idx="1218">
                  <c:v>33.99</c:v>
                </c:pt>
                <c:pt idx="1219">
                  <c:v>32.840000000000003</c:v>
                </c:pt>
                <c:pt idx="1220">
                  <c:v>32.229999999999997</c:v>
                </c:pt>
                <c:pt idx="1221">
                  <c:v>31.83</c:v>
                </c:pt>
                <c:pt idx="1222">
                  <c:v>32.590000000000003</c:v>
                </c:pt>
                <c:pt idx="1223">
                  <c:v>31.56</c:v>
                </c:pt>
                <c:pt idx="1224">
                  <c:v>30.5</c:v>
                </c:pt>
                <c:pt idx="1225">
                  <c:v>29.52</c:v>
                </c:pt>
                <c:pt idx="1226">
                  <c:v>29.25</c:v>
                </c:pt>
                <c:pt idx="1227">
                  <c:v>28.98</c:v>
                </c:pt>
                <c:pt idx="1228">
                  <c:v>28.17</c:v>
                </c:pt>
                <c:pt idx="1229">
                  <c:v>27.32</c:v>
                </c:pt>
                <c:pt idx="1230">
                  <c:v>28.22</c:v>
                </c:pt>
                <c:pt idx="1231">
                  <c:v>28.12</c:v>
                </c:pt>
                <c:pt idx="1232">
                  <c:v>27.31</c:v>
                </c:pt>
                <c:pt idx="1233">
                  <c:v>27.38</c:v>
                </c:pt>
                <c:pt idx="1234">
                  <c:v>28.6</c:v>
                </c:pt>
                <c:pt idx="1235">
                  <c:v>29.27</c:v>
                </c:pt>
                <c:pt idx="1236">
                  <c:v>29.91</c:v>
                </c:pt>
                <c:pt idx="1237">
                  <c:v>28.9</c:v>
                </c:pt>
                <c:pt idx="1238">
                  <c:v>28.47</c:v>
                </c:pt>
                <c:pt idx="1239">
                  <c:v>28.66</c:v>
                </c:pt>
                <c:pt idx="1240">
                  <c:v>28.35</c:v>
                </c:pt>
                <c:pt idx="1241">
                  <c:v>28.85</c:v>
                </c:pt>
                <c:pt idx="1242">
                  <c:v>29.22</c:v>
                </c:pt>
                <c:pt idx="1243">
                  <c:v>30.08</c:v>
                </c:pt>
                <c:pt idx="1244">
                  <c:v>31.45</c:v>
                </c:pt>
                <c:pt idx="1245">
                  <c:v>32.159999999999997</c:v>
                </c:pt>
                <c:pt idx="1246">
                  <c:v>33.380000000000003</c:v>
                </c:pt>
                <c:pt idx="1247">
                  <c:v>33.14</c:v>
                </c:pt>
                <c:pt idx="1248">
                  <c:v>31.54</c:v>
                </c:pt>
                <c:pt idx="1249">
                  <c:v>32.29</c:v>
                </c:pt>
                <c:pt idx="1250">
                  <c:v>33.57</c:v>
                </c:pt>
                <c:pt idx="1251">
                  <c:v>34.51</c:v>
                </c:pt>
                <c:pt idx="1252">
                  <c:v>33.85</c:v>
                </c:pt>
                <c:pt idx="1253">
                  <c:v>34.39</c:v>
                </c:pt>
                <c:pt idx="1254">
                  <c:v>34.03</c:v>
                </c:pt>
                <c:pt idx="1255">
                  <c:v>33.06</c:v>
                </c:pt>
                <c:pt idx="1256">
                  <c:v>32.549999999999997</c:v>
                </c:pt>
                <c:pt idx="1257">
                  <c:v>32.450000000000003</c:v>
                </c:pt>
                <c:pt idx="1258">
                  <c:v>31.15</c:v>
                </c:pt>
                <c:pt idx="1259">
                  <c:v>31.6</c:v>
                </c:pt>
                <c:pt idx="1260">
                  <c:v>30.6</c:v>
                </c:pt>
                <c:pt idx="1261">
                  <c:v>30.46</c:v>
                </c:pt>
                <c:pt idx="1262">
                  <c:v>31.49</c:v>
                </c:pt>
                <c:pt idx="1263">
                  <c:v>31.92</c:v>
                </c:pt>
                <c:pt idx="1264">
                  <c:v>31.97</c:v>
                </c:pt>
                <c:pt idx="1265">
                  <c:v>31.99</c:v>
                </c:pt>
                <c:pt idx="1266">
                  <c:v>31.36</c:v>
                </c:pt>
                <c:pt idx="1267">
                  <c:v>29.93</c:v>
                </c:pt>
                <c:pt idx="1268">
                  <c:v>29.92</c:v>
                </c:pt>
                <c:pt idx="1269">
                  <c:v>29.61</c:v>
                </c:pt>
                <c:pt idx="1270">
                  <c:v>30.18</c:v>
                </c:pt>
                <c:pt idx="1271">
                  <c:v>29.91</c:v>
                </c:pt>
                <c:pt idx="1272">
                  <c:v>29.27</c:v>
                </c:pt>
                <c:pt idx="1273">
                  <c:v>30.01</c:v>
                </c:pt>
                <c:pt idx="1274">
                  <c:v>29.09</c:v>
                </c:pt>
                <c:pt idx="1275">
                  <c:v>30</c:v>
                </c:pt>
                <c:pt idx="1276">
                  <c:v>29.76</c:v>
                </c:pt>
                <c:pt idx="1277">
                  <c:v>28.96</c:v>
                </c:pt>
                <c:pt idx="1278">
                  <c:v>28.8</c:v>
                </c:pt>
                <c:pt idx="1279">
                  <c:v>30</c:v>
                </c:pt>
                <c:pt idx="1280">
                  <c:v>31.08</c:v>
                </c:pt>
                <c:pt idx="1281">
                  <c:v>31.09</c:v>
                </c:pt>
                <c:pt idx="1282">
                  <c:v>32.409999999999997</c:v>
                </c:pt>
                <c:pt idx="1283">
                  <c:v>32.659999999999997</c:v>
                </c:pt>
                <c:pt idx="1284">
                  <c:v>33.5</c:v>
                </c:pt>
                <c:pt idx="1285">
                  <c:v>34.44</c:v>
                </c:pt>
                <c:pt idx="1286">
                  <c:v>34.56</c:v>
                </c:pt>
                <c:pt idx="1287">
                  <c:v>35.130000000000003</c:v>
                </c:pt>
                <c:pt idx="1288">
                  <c:v>35.380000000000003</c:v>
                </c:pt>
                <c:pt idx="1289">
                  <c:v>35.36</c:v>
                </c:pt>
                <c:pt idx="1290">
                  <c:v>35.04</c:v>
                </c:pt>
                <c:pt idx="1291">
                  <c:v>35.06</c:v>
                </c:pt>
                <c:pt idx="1292">
                  <c:v>34.51</c:v>
                </c:pt>
                <c:pt idx="1293">
                  <c:v>35.94</c:v>
                </c:pt>
                <c:pt idx="1294">
                  <c:v>34.76</c:v>
                </c:pt>
                <c:pt idx="1295">
                  <c:v>33.71</c:v>
                </c:pt>
                <c:pt idx="1296">
                  <c:v>33.159999999999997</c:v>
                </c:pt>
                <c:pt idx="1297">
                  <c:v>32.92</c:v>
                </c:pt>
                <c:pt idx="1298">
                  <c:v>32.630000000000003</c:v>
                </c:pt>
                <c:pt idx="1299">
                  <c:v>33.57</c:v>
                </c:pt>
                <c:pt idx="1300">
                  <c:v>34.24</c:v>
                </c:pt>
                <c:pt idx="1301">
                  <c:v>33.83</c:v>
                </c:pt>
                <c:pt idx="1302">
                  <c:v>35.06</c:v>
                </c:pt>
                <c:pt idx="1303">
                  <c:v>35.22</c:v>
                </c:pt>
                <c:pt idx="1304">
                  <c:v>35.15</c:v>
                </c:pt>
                <c:pt idx="1305">
                  <c:v>34.86</c:v>
                </c:pt>
                <c:pt idx="1306">
                  <c:v>35.19</c:v>
                </c:pt>
                <c:pt idx="1307">
                  <c:v>36.43</c:v>
                </c:pt>
                <c:pt idx="1308">
                  <c:v>35.630000000000003</c:v>
                </c:pt>
                <c:pt idx="1309">
                  <c:v>34.49</c:v>
                </c:pt>
                <c:pt idx="1310">
                  <c:v>35.18</c:v>
                </c:pt>
                <c:pt idx="1311">
                  <c:v>35.15</c:v>
                </c:pt>
                <c:pt idx="1312">
                  <c:v>34.97</c:v>
                </c:pt>
                <c:pt idx="1313">
                  <c:v>34.78</c:v>
                </c:pt>
                <c:pt idx="1314">
                  <c:v>34.22</c:v>
                </c:pt>
                <c:pt idx="1315">
                  <c:v>34.67</c:v>
                </c:pt>
                <c:pt idx="1316">
                  <c:v>34.1</c:v>
                </c:pt>
                <c:pt idx="1317">
                  <c:v>34.9</c:v>
                </c:pt>
                <c:pt idx="1318">
                  <c:v>36.64</c:v>
                </c:pt>
                <c:pt idx="1319">
                  <c:v>36.4</c:v>
                </c:pt>
                <c:pt idx="1320">
                  <c:v>36.74</c:v>
                </c:pt>
                <c:pt idx="1321">
                  <c:v>43.9</c:v>
                </c:pt>
                <c:pt idx="1322">
                  <c:v>42.79</c:v>
                </c:pt>
                <c:pt idx="1323">
                  <c:v>42.38</c:v>
                </c:pt>
                <c:pt idx="1324">
                  <c:v>42.97</c:v>
                </c:pt>
                <c:pt idx="1325">
                  <c:v>42.75</c:v>
                </c:pt>
                <c:pt idx="1326">
                  <c:v>43.53</c:v>
                </c:pt>
                <c:pt idx="1327">
                  <c:v>44.5</c:v>
                </c:pt>
                <c:pt idx="1328">
                  <c:v>45.41</c:v>
                </c:pt>
                <c:pt idx="1329">
                  <c:v>44.66</c:v>
                </c:pt>
                <c:pt idx="1330">
                  <c:v>45.37</c:v>
                </c:pt>
                <c:pt idx="1331">
                  <c:v>45.65</c:v>
                </c:pt>
                <c:pt idx="1332">
                  <c:v>44.24</c:v>
                </c:pt>
                <c:pt idx="1333">
                  <c:v>45.8</c:v>
                </c:pt>
                <c:pt idx="1334">
                  <c:v>44.64</c:v>
                </c:pt>
                <c:pt idx="1335">
                  <c:v>46.21</c:v>
                </c:pt>
                <c:pt idx="1336">
                  <c:v>48.01</c:v>
                </c:pt>
                <c:pt idx="1337">
                  <c:v>45.69</c:v>
                </c:pt>
                <c:pt idx="1338">
                  <c:v>45.68</c:v>
                </c:pt>
                <c:pt idx="1339">
                  <c:v>46.98</c:v>
                </c:pt>
                <c:pt idx="1340">
                  <c:v>47.33</c:v>
                </c:pt>
                <c:pt idx="1341">
                  <c:v>47.24</c:v>
                </c:pt>
                <c:pt idx="1342">
                  <c:v>46.86</c:v>
                </c:pt>
                <c:pt idx="1343">
                  <c:v>44.7</c:v>
                </c:pt>
                <c:pt idx="1344">
                  <c:v>45.38</c:v>
                </c:pt>
                <c:pt idx="1345">
                  <c:v>44.51</c:v>
                </c:pt>
                <c:pt idx="1346">
                  <c:v>45.19</c:v>
                </c:pt>
                <c:pt idx="1347">
                  <c:v>46.1</c:v>
                </c:pt>
                <c:pt idx="1348">
                  <c:v>46.56</c:v>
                </c:pt>
                <c:pt idx="1349">
                  <c:v>47.15</c:v>
                </c:pt>
                <c:pt idx="1350">
                  <c:v>46.56</c:v>
                </c:pt>
                <c:pt idx="1351">
                  <c:v>46.74</c:v>
                </c:pt>
                <c:pt idx="1352">
                  <c:v>47.92</c:v>
                </c:pt>
                <c:pt idx="1353">
                  <c:v>46.92</c:v>
                </c:pt>
                <c:pt idx="1354">
                  <c:v>48.23</c:v>
                </c:pt>
                <c:pt idx="1355">
                  <c:v>47.61</c:v>
                </c:pt>
                <c:pt idx="1356">
                  <c:v>49</c:v>
                </c:pt>
                <c:pt idx="1357">
                  <c:v>48.4</c:v>
                </c:pt>
                <c:pt idx="1358">
                  <c:v>47.78</c:v>
                </c:pt>
                <c:pt idx="1359">
                  <c:v>48.71</c:v>
                </c:pt>
                <c:pt idx="1360">
                  <c:v>48.71</c:v>
                </c:pt>
                <c:pt idx="1361">
                  <c:v>46.78</c:v>
                </c:pt>
                <c:pt idx="1362">
                  <c:v>47.32</c:v>
                </c:pt>
                <c:pt idx="1363">
                  <c:v>47.82</c:v>
                </c:pt>
                <c:pt idx="1364">
                  <c:v>48.71</c:v>
                </c:pt>
                <c:pt idx="1365">
                  <c:v>48.59</c:v>
                </c:pt>
                <c:pt idx="1366">
                  <c:v>47.49</c:v>
                </c:pt>
                <c:pt idx="1367">
                  <c:v>47</c:v>
                </c:pt>
                <c:pt idx="1368">
                  <c:v>46.64</c:v>
                </c:pt>
                <c:pt idx="1369">
                  <c:v>45.2</c:v>
                </c:pt>
                <c:pt idx="1370">
                  <c:v>43.06</c:v>
                </c:pt>
                <c:pt idx="1371">
                  <c:v>43.39</c:v>
                </c:pt>
                <c:pt idx="1372">
                  <c:v>44.46</c:v>
                </c:pt>
                <c:pt idx="1373">
                  <c:v>43.61</c:v>
                </c:pt>
                <c:pt idx="1374">
                  <c:v>43.74</c:v>
                </c:pt>
                <c:pt idx="1375">
                  <c:v>44.44</c:v>
                </c:pt>
                <c:pt idx="1376">
                  <c:v>44.51</c:v>
                </c:pt>
                <c:pt idx="1377">
                  <c:v>45.98</c:v>
                </c:pt>
                <c:pt idx="1378">
                  <c:v>45.2</c:v>
                </c:pt>
                <c:pt idx="1379">
                  <c:v>43.97</c:v>
                </c:pt>
                <c:pt idx="1380">
                  <c:v>45.64</c:v>
                </c:pt>
                <c:pt idx="1381">
                  <c:v>45.16</c:v>
                </c:pt>
                <c:pt idx="1382">
                  <c:v>45.65</c:v>
                </c:pt>
                <c:pt idx="1383">
                  <c:v>46.08</c:v>
                </c:pt>
                <c:pt idx="1384">
                  <c:v>45.64</c:v>
                </c:pt>
                <c:pt idx="1385">
                  <c:v>46.42</c:v>
                </c:pt>
                <c:pt idx="1386">
                  <c:v>46.4</c:v>
                </c:pt>
                <c:pt idx="1387">
                  <c:v>45.84</c:v>
                </c:pt>
                <c:pt idx="1388">
                  <c:v>46.9</c:v>
                </c:pt>
                <c:pt idx="1389">
                  <c:v>45.44</c:v>
                </c:pt>
                <c:pt idx="1390">
                  <c:v>44.71</c:v>
                </c:pt>
                <c:pt idx="1391">
                  <c:v>44.73</c:v>
                </c:pt>
                <c:pt idx="1392">
                  <c:v>45.63</c:v>
                </c:pt>
                <c:pt idx="1393">
                  <c:v>46.16</c:v>
                </c:pt>
                <c:pt idx="1394">
                  <c:v>43.96</c:v>
                </c:pt>
                <c:pt idx="1395">
                  <c:v>44.78</c:v>
                </c:pt>
                <c:pt idx="1396">
                  <c:v>45.08</c:v>
                </c:pt>
                <c:pt idx="1397">
                  <c:v>44.97</c:v>
                </c:pt>
                <c:pt idx="1398">
                  <c:v>46.17</c:v>
                </c:pt>
                <c:pt idx="1399">
                  <c:v>45.66</c:v>
                </c:pt>
                <c:pt idx="1400">
                  <c:v>45.61</c:v>
                </c:pt>
                <c:pt idx="1401">
                  <c:v>44.63</c:v>
                </c:pt>
                <c:pt idx="1402">
                  <c:v>45.42</c:v>
                </c:pt>
                <c:pt idx="1403">
                  <c:v>45.25</c:v>
                </c:pt>
                <c:pt idx="1404">
                  <c:v>46.26</c:v>
                </c:pt>
                <c:pt idx="1405">
                  <c:v>45.65</c:v>
                </c:pt>
                <c:pt idx="1406">
                  <c:v>45.75</c:v>
                </c:pt>
                <c:pt idx="1407">
                  <c:v>46.42</c:v>
                </c:pt>
                <c:pt idx="1408">
                  <c:v>46.02</c:v>
                </c:pt>
                <c:pt idx="1409">
                  <c:v>46.35</c:v>
                </c:pt>
                <c:pt idx="1410">
                  <c:v>46.03</c:v>
                </c:pt>
                <c:pt idx="1411">
                  <c:v>44.29</c:v>
                </c:pt>
                <c:pt idx="1412">
                  <c:v>45.35</c:v>
                </c:pt>
                <c:pt idx="1413">
                  <c:v>45.65</c:v>
                </c:pt>
                <c:pt idx="1414">
                  <c:v>44.54</c:v>
                </c:pt>
                <c:pt idx="1415">
                  <c:v>44.54</c:v>
                </c:pt>
                <c:pt idx="1416">
                  <c:v>44.61</c:v>
                </c:pt>
                <c:pt idx="1417">
                  <c:v>43.63</c:v>
                </c:pt>
                <c:pt idx="1418">
                  <c:v>43.92</c:v>
                </c:pt>
                <c:pt idx="1419">
                  <c:v>43.95</c:v>
                </c:pt>
                <c:pt idx="1420">
                  <c:v>44.49</c:v>
                </c:pt>
                <c:pt idx="1421">
                  <c:v>45.42</c:v>
                </c:pt>
                <c:pt idx="1422">
                  <c:v>44.62</c:v>
                </c:pt>
                <c:pt idx="1423">
                  <c:v>44.42</c:v>
                </c:pt>
                <c:pt idx="1424">
                  <c:v>44.63</c:v>
                </c:pt>
                <c:pt idx="1425">
                  <c:v>44.43</c:v>
                </c:pt>
                <c:pt idx="1426">
                  <c:v>43.31</c:v>
                </c:pt>
                <c:pt idx="1427">
                  <c:v>43</c:v>
                </c:pt>
                <c:pt idx="1428">
                  <c:v>42.57</c:v>
                </c:pt>
                <c:pt idx="1429">
                  <c:v>41.51</c:v>
                </c:pt>
                <c:pt idx="1430">
                  <c:v>40.35</c:v>
                </c:pt>
                <c:pt idx="1431">
                  <c:v>39.22</c:v>
                </c:pt>
                <c:pt idx="1432">
                  <c:v>39.4</c:v>
                </c:pt>
                <c:pt idx="1433">
                  <c:v>39.299999999999997</c:v>
                </c:pt>
                <c:pt idx="1434">
                  <c:v>39.659999999999997</c:v>
                </c:pt>
                <c:pt idx="1435">
                  <c:v>39.659999999999997</c:v>
                </c:pt>
                <c:pt idx="1436">
                  <c:v>38.369999999999997</c:v>
                </c:pt>
                <c:pt idx="1437">
                  <c:v>33.630000000000003</c:v>
                </c:pt>
                <c:pt idx="1438">
                  <c:v>33.89</c:v>
                </c:pt>
                <c:pt idx="1439">
                  <c:v>33.69</c:v>
                </c:pt>
                <c:pt idx="1440">
                  <c:v>35.68</c:v>
                </c:pt>
                <c:pt idx="1441">
                  <c:v>35.49</c:v>
                </c:pt>
                <c:pt idx="1442">
                  <c:v>35.89</c:v>
                </c:pt>
                <c:pt idx="1443">
                  <c:v>37.94</c:v>
                </c:pt>
                <c:pt idx="1444">
                  <c:v>38.58</c:v>
                </c:pt>
                <c:pt idx="1445">
                  <c:v>37.57</c:v>
                </c:pt>
                <c:pt idx="1446">
                  <c:v>36.71</c:v>
                </c:pt>
                <c:pt idx="1447">
                  <c:v>35.68</c:v>
                </c:pt>
                <c:pt idx="1448">
                  <c:v>34.51</c:v>
                </c:pt>
                <c:pt idx="1449">
                  <c:v>33.76</c:v>
                </c:pt>
                <c:pt idx="1450">
                  <c:v>32.700000000000003</c:v>
                </c:pt>
                <c:pt idx="1451">
                  <c:v>32.159999999999997</c:v>
                </c:pt>
                <c:pt idx="1452">
                  <c:v>32.25</c:v>
                </c:pt>
                <c:pt idx="1453">
                  <c:v>34.29</c:v>
                </c:pt>
                <c:pt idx="1454">
                  <c:v>33.799999999999997</c:v>
                </c:pt>
                <c:pt idx="1455">
                  <c:v>33.049999999999997</c:v>
                </c:pt>
                <c:pt idx="1456">
                  <c:v>31.51</c:v>
                </c:pt>
                <c:pt idx="1457">
                  <c:v>32.33</c:v>
                </c:pt>
                <c:pt idx="1458">
                  <c:v>32.200000000000003</c:v>
                </c:pt>
                <c:pt idx="1459">
                  <c:v>31.54</c:v>
                </c:pt>
                <c:pt idx="1460">
                  <c:v>32.299999999999997</c:v>
                </c:pt>
                <c:pt idx="1461">
                  <c:v>32.270000000000003</c:v>
                </c:pt>
                <c:pt idx="1462">
                  <c:v>32.42</c:v>
                </c:pt>
                <c:pt idx="1463">
                  <c:v>32.07</c:v>
                </c:pt>
                <c:pt idx="1464">
                  <c:v>31.6</c:v>
                </c:pt>
                <c:pt idx="1465">
                  <c:v>32.04</c:v>
                </c:pt>
                <c:pt idx="1466">
                  <c:v>32.31</c:v>
                </c:pt>
                <c:pt idx="1467">
                  <c:v>32.36</c:v>
                </c:pt>
                <c:pt idx="1468">
                  <c:v>31.13</c:v>
                </c:pt>
                <c:pt idx="1469">
                  <c:v>30.65</c:v>
                </c:pt>
                <c:pt idx="1470">
                  <c:v>29.47</c:v>
                </c:pt>
                <c:pt idx="1471">
                  <c:v>28.12</c:v>
                </c:pt>
                <c:pt idx="1472">
                  <c:v>27.48</c:v>
                </c:pt>
                <c:pt idx="1473">
                  <c:v>27.19</c:v>
                </c:pt>
                <c:pt idx="1474">
                  <c:v>26.87</c:v>
                </c:pt>
                <c:pt idx="1475">
                  <c:v>26.12</c:v>
                </c:pt>
                <c:pt idx="1476">
                  <c:v>25.86</c:v>
                </c:pt>
                <c:pt idx="1477">
                  <c:v>24.94</c:v>
                </c:pt>
                <c:pt idx="1478">
                  <c:v>24.82</c:v>
                </c:pt>
                <c:pt idx="1479">
                  <c:v>25.46</c:v>
                </c:pt>
                <c:pt idx="1480">
                  <c:v>27.09</c:v>
                </c:pt>
                <c:pt idx="1481">
                  <c:v>28.63</c:v>
                </c:pt>
                <c:pt idx="1482">
                  <c:v>29.07</c:v>
                </c:pt>
                <c:pt idx="1483">
                  <c:v>29.47</c:v>
                </c:pt>
                <c:pt idx="1484">
                  <c:v>29.31</c:v>
                </c:pt>
                <c:pt idx="1485">
                  <c:v>28.41</c:v>
                </c:pt>
                <c:pt idx="1486">
                  <c:v>27.84</c:v>
                </c:pt>
                <c:pt idx="1487">
                  <c:v>27.88</c:v>
                </c:pt>
                <c:pt idx="1488">
                  <c:v>26.98</c:v>
                </c:pt>
                <c:pt idx="1489">
                  <c:v>26.93</c:v>
                </c:pt>
                <c:pt idx="1490">
                  <c:v>27</c:v>
                </c:pt>
                <c:pt idx="1491">
                  <c:v>26.73</c:v>
                </c:pt>
                <c:pt idx="1492">
                  <c:v>27.92</c:v>
                </c:pt>
                <c:pt idx="1493">
                  <c:v>28.8</c:v>
                </c:pt>
                <c:pt idx="1494">
                  <c:v>27.36</c:v>
                </c:pt>
                <c:pt idx="1495">
                  <c:v>27.07</c:v>
                </c:pt>
                <c:pt idx="1496">
                  <c:v>28.29</c:v>
                </c:pt>
                <c:pt idx="1497">
                  <c:v>28.03</c:v>
                </c:pt>
                <c:pt idx="1498">
                  <c:v>27.82</c:v>
                </c:pt>
                <c:pt idx="1499">
                  <c:v>28.89</c:v>
                </c:pt>
                <c:pt idx="1500">
                  <c:v>29.15</c:v>
                </c:pt>
                <c:pt idx="1501">
                  <c:v>29.54</c:v>
                </c:pt>
                <c:pt idx="1502">
                  <c:v>30.21</c:v>
                </c:pt>
                <c:pt idx="1503">
                  <c:v>31.09</c:v>
                </c:pt>
                <c:pt idx="1504">
                  <c:v>29.93</c:v>
                </c:pt>
                <c:pt idx="1505">
                  <c:v>31.25</c:v>
                </c:pt>
                <c:pt idx="1506">
                  <c:v>28.15</c:v>
                </c:pt>
                <c:pt idx="1507">
                  <c:v>26.9</c:v>
                </c:pt>
                <c:pt idx="1508">
                  <c:v>26.87</c:v>
                </c:pt>
                <c:pt idx="1509">
                  <c:v>26.68</c:v>
                </c:pt>
                <c:pt idx="1510">
                  <c:v>25.98</c:v>
                </c:pt>
                <c:pt idx="1511">
                  <c:v>26.18</c:v>
                </c:pt>
                <c:pt idx="1512">
                  <c:v>26.34</c:v>
                </c:pt>
                <c:pt idx="1513">
                  <c:v>26.8</c:v>
                </c:pt>
                <c:pt idx="1514">
                  <c:v>26.89</c:v>
                </c:pt>
                <c:pt idx="1515">
                  <c:v>27.58</c:v>
                </c:pt>
                <c:pt idx="1516">
                  <c:v>28.06</c:v>
                </c:pt>
                <c:pt idx="1517">
                  <c:v>27.79</c:v>
                </c:pt>
                <c:pt idx="1518">
                  <c:v>28.46</c:v>
                </c:pt>
                <c:pt idx="1519">
                  <c:v>28.4</c:v>
                </c:pt>
                <c:pt idx="1520">
                  <c:v>27.89</c:v>
                </c:pt>
                <c:pt idx="1521">
                  <c:v>26.97</c:v>
                </c:pt>
                <c:pt idx="1522">
                  <c:v>27.32</c:v>
                </c:pt>
                <c:pt idx="1523">
                  <c:v>26.37</c:v>
                </c:pt>
                <c:pt idx="1524">
                  <c:v>26.51</c:v>
                </c:pt>
                <c:pt idx="1525">
                  <c:v>25.98</c:v>
                </c:pt>
                <c:pt idx="1526">
                  <c:v>26.37</c:v>
                </c:pt>
                <c:pt idx="1527">
                  <c:v>26.43</c:v>
                </c:pt>
                <c:pt idx="1528">
                  <c:v>27.45</c:v>
                </c:pt>
                <c:pt idx="1529">
                  <c:v>29.01</c:v>
                </c:pt>
                <c:pt idx="1530">
                  <c:v>28.84</c:v>
                </c:pt>
                <c:pt idx="1531">
                  <c:v>29.29</c:v>
                </c:pt>
                <c:pt idx="1532">
                  <c:v>29.19</c:v>
                </c:pt>
                <c:pt idx="1533">
                  <c:v>29.54</c:v>
                </c:pt>
                <c:pt idx="1534">
                  <c:v>30.42</c:v>
                </c:pt>
                <c:pt idx="1535">
                  <c:v>29.85</c:v>
                </c:pt>
                <c:pt idx="1536">
                  <c:v>29.6</c:v>
                </c:pt>
                <c:pt idx="1537">
                  <c:v>28.54</c:v>
                </c:pt>
                <c:pt idx="1538">
                  <c:v>29.74</c:v>
                </c:pt>
                <c:pt idx="1539">
                  <c:v>30.04</c:v>
                </c:pt>
                <c:pt idx="1540">
                  <c:v>29.95</c:v>
                </c:pt>
                <c:pt idx="1541">
                  <c:v>28.54</c:v>
                </c:pt>
                <c:pt idx="1542">
                  <c:v>29.23</c:v>
                </c:pt>
                <c:pt idx="1543">
                  <c:v>28.85</c:v>
                </c:pt>
                <c:pt idx="1544">
                  <c:v>27.39</c:v>
                </c:pt>
                <c:pt idx="1545">
                  <c:v>26.75</c:v>
                </c:pt>
                <c:pt idx="1546">
                  <c:v>26.14</c:v>
                </c:pt>
                <c:pt idx="1547">
                  <c:v>26.08</c:v>
                </c:pt>
                <c:pt idx="1548">
                  <c:v>25.48</c:v>
                </c:pt>
                <c:pt idx="1549">
                  <c:v>26.48</c:v>
                </c:pt>
                <c:pt idx="1550">
                  <c:v>24.85</c:v>
                </c:pt>
                <c:pt idx="1551">
                  <c:v>23.71</c:v>
                </c:pt>
                <c:pt idx="1552">
                  <c:v>24.41</c:v>
                </c:pt>
                <c:pt idx="1553">
                  <c:v>24.7</c:v>
                </c:pt>
                <c:pt idx="1554">
                  <c:v>25.22</c:v>
                </c:pt>
                <c:pt idx="1555">
                  <c:v>24.99</c:v>
                </c:pt>
                <c:pt idx="1556">
                  <c:v>24.86</c:v>
                </c:pt>
                <c:pt idx="1557">
                  <c:v>24.03</c:v>
                </c:pt>
                <c:pt idx="1558">
                  <c:v>23.5</c:v>
                </c:pt>
                <c:pt idx="1559">
                  <c:v>23.72</c:v>
                </c:pt>
                <c:pt idx="1560">
                  <c:v>22.84</c:v>
                </c:pt>
                <c:pt idx="1561">
                  <c:v>21.19</c:v>
                </c:pt>
                <c:pt idx="1562">
                  <c:v>21.52</c:v>
                </c:pt>
                <c:pt idx="1563">
                  <c:v>22.5</c:v>
                </c:pt>
                <c:pt idx="1564">
                  <c:v>21.62</c:v>
                </c:pt>
                <c:pt idx="1565">
                  <c:v>21.81</c:v>
                </c:pt>
                <c:pt idx="1566">
                  <c:v>21.39</c:v>
                </c:pt>
                <c:pt idx="1567">
                  <c:v>21.71</c:v>
                </c:pt>
                <c:pt idx="1568">
                  <c:v>20.94</c:v>
                </c:pt>
                <c:pt idx="1569">
                  <c:v>21.28</c:v>
                </c:pt>
                <c:pt idx="1570">
                  <c:v>22.08</c:v>
                </c:pt>
                <c:pt idx="1571">
                  <c:v>18.41</c:v>
                </c:pt>
                <c:pt idx="1572">
                  <c:v>19.89</c:v>
                </c:pt>
                <c:pt idx="1573">
                  <c:v>20.23</c:v>
                </c:pt>
                <c:pt idx="1574">
                  <c:v>20.48</c:v>
                </c:pt>
                <c:pt idx="1575">
                  <c:v>20.81</c:v>
                </c:pt>
                <c:pt idx="1576">
                  <c:v>20.89</c:v>
                </c:pt>
                <c:pt idx="1577">
                  <c:v>21.55</c:v>
                </c:pt>
                <c:pt idx="1578">
                  <c:v>22.31</c:v>
                </c:pt>
                <c:pt idx="1579">
                  <c:v>23.4</c:v>
                </c:pt>
                <c:pt idx="1580">
                  <c:v>24.09</c:v>
                </c:pt>
                <c:pt idx="1581">
                  <c:v>25.16</c:v>
                </c:pt>
                <c:pt idx="1582">
                  <c:v>26.18</c:v>
                </c:pt>
                <c:pt idx="1583">
                  <c:v>26.7</c:v>
                </c:pt>
                <c:pt idx="1584">
                  <c:v>27.49</c:v>
                </c:pt>
                <c:pt idx="1585">
                  <c:v>26.77</c:v>
                </c:pt>
                <c:pt idx="1586">
                  <c:v>26.12</c:v>
                </c:pt>
                <c:pt idx="1587">
                  <c:v>25.81</c:v>
                </c:pt>
                <c:pt idx="1588">
                  <c:v>27.57</c:v>
                </c:pt>
                <c:pt idx="1589">
                  <c:v>26.61</c:v>
                </c:pt>
                <c:pt idx="1590">
                  <c:v>26</c:v>
                </c:pt>
                <c:pt idx="1591">
                  <c:v>26.98</c:v>
                </c:pt>
                <c:pt idx="1592">
                  <c:v>27.96</c:v>
                </c:pt>
                <c:pt idx="1593">
                  <c:v>28.18</c:v>
                </c:pt>
                <c:pt idx="1594">
                  <c:v>27.89</c:v>
                </c:pt>
                <c:pt idx="1595">
                  <c:v>27.6</c:v>
                </c:pt>
                <c:pt idx="1596">
                  <c:v>26.8</c:v>
                </c:pt>
                <c:pt idx="1597">
                  <c:v>26.84</c:v>
                </c:pt>
                <c:pt idx="1598">
                  <c:v>26.29</c:v>
                </c:pt>
                <c:pt idx="1599">
                  <c:v>27.71</c:v>
                </c:pt>
                <c:pt idx="1600">
                  <c:v>27.99</c:v>
                </c:pt>
                <c:pt idx="1601">
                  <c:v>28.07</c:v>
                </c:pt>
                <c:pt idx="1602">
                  <c:v>28.07</c:v>
                </c:pt>
                <c:pt idx="1603">
                  <c:v>27.81</c:v>
                </c:pt>
                <c:pt idx="1604">
                  <c:v>27.5</c:v>
                </c:pt>
                <c:pt idx="1605">
                  <c:v>28.04</c:v>
                </c:pt>
                <c:pt idx="1606">
                  <c:v>27.68</c:v>
                </c:pt>
                <c:pt idx="1607">
                  <c:v>27.46</c:v>
                </c:pt>
                <c:pt idx="1608">
                  <c:v>27.46</c:v>
                </c:pt>
                <c:pt idx="1609">
                  <c:v>27.79</c:v>
                </c:pt>
                <c:pt idx="1610">
                  <c:v>28.87</c:v>
                </c:pt>
                <c:pt idx="1611">
                  <c:v>28.74</c:v>
                </c:pt>
                <c:pt idx="1612">
                  <c:v>28.36</c:v>
                </c:pt>
                <c:pt idx="1613">
                  <c:v>28.54</c:v>
                </c:pt>
                <c:pt idx="1614">
                  <c:v>28.49</c:v>
                </c:pt>
                <c:pt idx="1615">
                  <c:v>27.01</c:v>
                </c:pt>
                <c:pt idx="1616">
                  <c:v>26.79</c:v>
                </c:pt>
                <c:pt idx="1617">
                  <c:v>27.27</c:v>
                </c:pt>
                <c:pt idx="1618">
                  <c:v>26.42</c:v>
                </c:pt>
                <c:pt idx="1619">
                  <c:v>27.21</c:v>
                </c:pt>
                <c:pt idx="1620">
                  <c:v>27.26</c:v>
                </c:pt>
                <c:pt idx="1621">
                  <c:v>27.79</c:v>
                </c:pt>
                <c:pt idx="1622">
                  <c:v>27.18</c:v>
                </c:pt>
                <c:pt idx="1623">
                  <c:v>27.63</c:v>
                </c:pt>
                <c:pt idx="1624">
                  <c:v>26.76</c:v>
                </c:pt>
                <c:pt idx="1625">
                  <c:v>24.23</c:v>
                </c:pt>
                <c:pt idx="1626">
                  <c:v>24.8</c:v>
                </c:pt>
                <c:pt idx="1627">
                  <c:v>25.96</c:v>
                </c:pt>
                <c:pt idx="1628">
                  <c:v>25.41</c:v>
                </c:pt>
                <c:pt idx="1629">
                  <c:v>26.09</c:v>
                </c:pt>
                <c:pt idx="1630">
                  <c:v>25.62</c:v>
                </c:pt>
                <c:pt idx="1631">
                  <c:v>26.01</c:v>
                </c:pt>
                <c:pt idx="1632">
                  <c:v>25.84</c:v>
                </c:pt>
                <c:pt idx="1633">
                  <c:v>26.04</c:v>
                </c:pt>
                <c:pt idx="1634">
                  <c:v>25.17</c:v>
                </c:pt>
                <c:pt idx="1635">
                  <c:v>25.95</c:v>
                </c:pt>
                <c:pt idx="1636">
                  <c:v>25.54</c:v>
                </c:pt>
                <c:pt idx="1637">
                  <c:v>26.49</c:v>
                </c:pt>
                <c:pt idx="1638">
                  <c:v>26.4</c:v>
                </c:pt>
                <c:pt idx="1639">
                  <c:v>27.88</c:v>
                </c:pt>
                <c:pt idx="1640">
                  <c:v>28.12</c:v>
                </c:pt>
                <c:pt idx="1641">
                  <c:v>27.95</c:v>
                </c:pt>
                <c:pt idx="1642">
                  <c:v>28.11</c:v>
                </c:pt>
                <c:pt idx="1643">
                  <c:v>28.32</c:v>
                </c:pt>
                <c:pt idx="1644">
                  <c:v>28.55</c:v>
                </c:pt>
                <c:pt idx="1645">
                  <c:v>28.8</c:v>
                </c:pt>
                <c:pt idx="1646">
                  <c:v>28.41</c:v>
                </c:pt>
                <c:pt idx="1647">
                  <c:v>28.95</c:v>
                </c:pt>
                <c:pt idx="1648">
                  <c:v>28.82</c:v>
                </c:pt>
                <c:pt idx="1649">
                  <c:v>28.8</c:v>
                </c:pt>
                <c:pt idx="1650">
                  <c:v>28.5</c:v>
                </c:pt>
                <c:pt idx="1651">
                  <c:v>27.73</c:v>
                </c:pt>
                <c:pt idx="1652">
                  <c:v>26.74</c:v>
                </c:pt>
                <c:pt idx="1653">
                  <c:v>26.22</c:v>
                </c:pt>
                <c:pt idx="1654">
                  <c:v>26.26</c:v>
                </c:pt>
                <c:pt idx="1655">
                  <c:v>26.09</c:v>
                </c:pt>
                <c:pt idx="1656">
                  <c:v>26.15</c:v>
                </c:pt>
                <c:pt idx="1657">
                  <c:v>26.09</c:v>
                </c:pt>
                <c:pt idx="1658">
                  <c:v>25.76</c:v>
                </c:pt>
                <c:pt idx="1659">
                  <c:v>25.17</c:v>
                </c:pt>
                <c:pt idx="1660">
                  <c:v>25.71</c:v>
                </c:pt>
                <c:pt idx="1661">
                  <c:v>24.42</c:v>
                </c:pt>
                <c:pt idx="1662">
                  <c:v>23.42</c:v>
                </c:pt>
                <c:pt idx="1663">
                  <c:v>23.39</c:v>
                </c:pt>
                <c:pt idx="1664">
                  <c:v>24.05</c:v>
                </c:pt>
                <c:pt idx="1665">
                  <c:v>24.47</c:v>
                </c:pt>
                <c:pt idx="1666">
                  <c:v>24.53</c:v>
                </c:pt>
                <c:pt idx="1667">
                  <c:v>23.73</c:v>
                </c:pt>
                <c:pt idx="1668">
                  <c:v>23.83</c:v>
                </c:pt>
                <c:pt idx="1669">
                  <c:v>24.23</c:v>
                </c:pt>
                <c:pt idx="1670">
                  <c:v>25.55</c:v>
                </c:pt>
                <c:pt idx="1671">
                  <c:v>25.51</c:v>
                </c:pt>
                <c:pt idx="1672">
                  <c:v>26.08</c:v>
                </c:pt>
                <c:pt idx="1673">
                  <c:v>25.59</c:v>
                </c:pt>
                <c:pt idx="1674">
                  <c:v>25.73</c:v>
                </c:pt>
                <c:pt idx="1675">
                  <c:v>26.05</c:v>
                </c:pt>
                <c:pt idx="1676">
                  <c:v>25.97</c:v>
                </c:pt>
                <c:pt idx="1677">
                  <c:v>25.98</c:v>
                </c:pt>
                <c:pt idx="1678">
                  <c:v>26.41</c:v>
                </c:pt>
                <c:pt idx="1679">
                  <c:v>26.58</c:v>
                </c:pt>
                <c:pt idx="1680">
                  <c:v>26.79</c:v>
                </c:pt>
                <c:pt idx="1681">
                  <c:v>26.27</c:v>
                </c:pt>
                <c:pt idx="1682">
                  <c:v>26.74</c:v>
                </c:pt>
                <c:pt idx="1683">
                  <c:v>27.98</c:v>
                </c:pt>
                <c:pt idx="1684">
                  <c:v>27.6</c:v>
                </c:pt>
                <c:pt idx="1685">
                  <c:v>28.15</c:v>
                </c:pt>
                <c:pt idx="1686">
                  <c:v>28.74</c:v>
                </c:pt>
                <c:pt idx="1687">
                  <c:v>28.08</c:v>
                </c:pt>
                <c:pt idx="1688">
                  <c:v>29.54</c:v>
                </c:pt>
                <c:pt idx="1689">
                  <c:v>29.51</c:v>
                </c:pt>
                <c:pt idx="1690">
                  <c:v>30.5</c:v>
                </c:pt>
                <c:pt idx="1691">
                  <c:v>30.89</c:v>
                </c:pt>
                <c:pt idx="1692">
                  <c:v>30.47</c:v>
                </c:pt>
                <c:pt idx="1693">
                  <c:v>30.25</c:v>
                </c:pt>
                <c:pt idx="1694">
                  <c:v>30.82</c:v>
                </c:pt>
                <c:pt idx="1695">
                  <c:v>31.14</c:v>
                </c:pt>
                <c:pt idx="1696">
                  <c:v>31.84</c:v>
                </c:pt>
                <c:pt idx="1697">
                  <c:v>31.66</c:v>
                </c:pt>
                <c:pt idx="1698">
                  <c:v>31.51</c:v>
                </c:pt>
                <c:pt idx="1699">
                  <c:v>31.91</c:v>
                </c:pt>
                <c:pt idx="1700">
                  <c:v>32.18</c:v>
                </c:pt>
                <c:pt idx="1701">
                  <c:v>32.07</c:v>
                </c:pt>
                <c:pt idx="1702">
                  <c:v>32.4</c:v>
                </c:pt>
                <c:pt idx="1703">
                  <c:v>32.229999999999997</c:v>
                </c:pt>
                <c:pt idx="1704">
                  <c:v>32.229999999999997</c:v>
                </c:pt>
                <c:pt idx="1705">
                  <c:v>32.36</c:v>
                </c:pt>
                <c:pt idx="1706">
                  <c:v>32.71</c:v>
                </c:pt>
                <c:pt idx="1707">
                  <c:v>32.83</c:v>
                </c:pt>
                <c:pt idx="1708">
                  <c:v>32.97</c:v>
                </c:pt>
                <c:pt idx="1709">
                  <c:v>33.090000000000003</c:v>
                </c:pt>
                <c:pt idx="1710">
                  <c:v>33.130000000000003</c:v>
                </c:pt>
                <c:pt idx="1711">
                  <c:v>32.51</c:v>
                </c:pt>
                <c:pt idx="1712">
                  <c:v>32.96</c:v>
                </c:pt>
                <c:pt idx="1713">
                  <c:v>32.97</c:v>
                </c:pt>
                <c:pt idx="1714">
                  <c:v>31.64</c:v>
                </c:pt>
                <c:pt idx="1715">
                  <c:v>31.56</c:v>
                </c:pt>
                <c:pt idx="1716">
                  <c:v>30.66</c:v>
                </c:pt>
                <c:pt idx="1717">
                  <c:v>30.57</c:v>
                </c:pt>
                <c:pt idx="1718">
                  <c:v>31.15</c:v>
                </c:pt>
                <c:pt idx="1719">
                  <c:v>31.26</c:v>
                </c:pt>
                <c:pt idx="1720">
                  <c:v>31.09</c:v>
                </c:pt>
                <c:pt idx="1721">
                  <c:v>31.11</c:v>
                </c:pt>
                <c:pt idx="1722">
                  <c:v>31.63</c:v>
                </c:pt>
                <c:pt idx="1723">
                  <c:v>32.340000000000003</c:v>
                </c:pt>
                <c:pt idx="1724">
                  <c:v>32.24</c:v>
                </c:pt>
                <c:pt idx="1725">
                  <c:v>32</c:v>
                </c:pt>
                <c:pt idx="1726">
                  <c:v>32.53</c:v>
                </c:pt>
                <c:pt idx="1727">
                  <c:v>32.72</c:v>
                </c:pt>
                <c:pt idx="1728">
                  <c:v>32.54</c:v>
                </c:pt>
                <c:pt idx="1729">
                  <c:v>33.14</c:v>
                </c:pt>
                <c:pt idx="1730">
                  <c:v>32.950000000000003</c:v>
                </c:pt>
                <c:pt idx="1731">
                  <c:v>33.64</c:v>
                </c:pt>
                <c:pt idx="1732">
                  <c:v>34.270000000000003</c:v>
                </c:pt>
                <c:pt idx="1733">
                  <c:v>32.35</c:v>
                </c:pt>
                <c:pt idx="1734">
                  <c:v>30.98</c:v>
                </c:pt>
                <c:pt idx="1735">
                  <c:v>30.75</c:v>
                </c:pt>
                <c:pt idx="1736">
                  <c:v>30.09</c:v>
                </c:pt>
                <c:pt idx="1737">
                  <c:v>30.08</c:v>
                </c:pt>
                <c:pt idx="1738">
                  <c:v>30.13</c:v>
                </c:pt>
                <c:pt idx="1739">
                  <c:v>30.25</c:v>
                </c:pt>
                <c:pt idx="1740">
                  <c:v>30.78</c:v>
                </c:pt>
                <c:pt idx="1741">
                  <c:v>30.89</c:v>
                </c:pt>
                <c:pt idx="1742">
                  <c:v>31.11</c:v>
                </c:pt>
                <c:pt idx="1743">
                  <c:v>30.33</c:v>
                </c:pt>
                <c:pt idx="1744">
                  <c:v>30.25</c:v>
                </c:pt>
                <c:pt idx="1745">
                  <c:v>30.69</c:v>
                </c:pt>
                <c:pt idx="1746">
                  <c:v>30.67</c:v>
                </c:pt>
                <c:pt idx="1747">
                  <c:v>30.85</c:v>
                </c:pt>
                <c:pt idx="1748">
                  <c:v>30.61</c:v>
                </c:pt>
                <c:pt idx="1749">
                  <c:v>31.28</c:v>
                </c:pt>
                <c:pt idx="1750">
                  <c:v>31.32</c:v>
                </c:pt>
                <c:pt idx="1751">
                  <c:v>30.75</c:v>
                </c:pt>
                <c:pt idx="1752">
                  <c:v>30.14</c:v>
                </c:pt>
                <c:pt idx="1753">
                  <c:v>29.94</c:v>
                </c:pt>
                <c:pt idx="1754">
                  <c:v>30.85</c:v>
                </c:pt>
                <c:pt idx="1755">
                  <c:v>31.84</c:v>
                </c:pt>
                <c:pt idx="1756">
                  <c:v>26.02</c:v>
                </c:pt>
                <c:pt idx="1757">
                  <c:v>28.04</c:v>
                </c:pt>
                <c:pt idx="1758">
                  <c:v>27.78</c:v>
                </c:pt>
                <c:pt idx="1759">
                  <c:v>29.53</c:v>
                </c:pt>
                <c:pt idx="1760">
                  <c:v>29.44</c:v>
                </c:pt>
                <c:pt idx="1761">
                  <c:v>29.57</c:v>
                </c:pt>
                <c:pt idx="1762">
                  <c:v>29.6</c:v>
                </c:pt>
                <c:pt idx="1763">
                  <c:v>29.66</c:v>
                </c:pt>
                <c:pt idx="1764">
                  <c:v>29.88</c:v>
                </c:pt>
                <c:pt idx="1765">
                  <c:v>31.06</c:v>
                </c:pt>
                <c:pt idx="1766">
                  <c:v>31.99</c:v>
                </c:pt>
                <c:pt idx="1767">
                  <c:v>32.659999999999997</c:v>
                </c:pt>
                <c:pt idx="1768">
                  <c:v>32.450000000000003</c:v>
                </c:pt>
                <c:pt idx="1769">
                  <c:v>32.51</c:v>
                </c:pt>
                <c:pt idx="1770">
                  <c:v>31.79</c:v>
                </c:pt>
                <c:pt idx="1771">
                  <c:v>31.24</c:v>
                </c:pt>
                <c:pt idx="1772">
                  <c:v>31.21</c:v>
                </c:pt>
                <c:pt idx="1773">
                  <c:v>31.21</c:v>
                </c:pt>
                <c:pt idx="1774">
                  <c:v>31.68</c:v>
                </c:pt>
                <c:pt idx="1775">
                  <c:v>32.119999999999997</c:v>
                </c:pt>
                <c:pt idx="1776">
                  <c:v>32.94</c:v>
                </c:pt>
                <c:pt idx="1777">
                  <c:v>33.380000000000003</c:v>
                </c:pt>
                <c:pt idx="1778">
                  <c:v>34.43</c:v>
                </c:pt>
                <c:pt idx="1779">
                  <c:v>32.770000000000003</c:v>
                </c:pt>
                <c:pt idx="1780">
                  <c:v>31.51</c:v>
                </c:pt>
                <c:pt idx="1781">
                  <c:v>30.9</c:v>
                </c:pt>
                <c:pt idx="1782">
                  <c:v>31.35</c:v>
                </c:pt>
                <c:pt idx="1783">
                  <c:v>30.98</c:v>
                </c:pt>
                <c:pt idx="1784">
                  <c:v>31.86</c:v>
                </c:pt>
                <c:pt idx="1785">
                  <c:v>29.99</c:v>
                </c:pt>
                <c:pt idx="1786">
                  <c:v>29.06</c:v>
                </c:pt>
                <c:pt idx="1787">
                  <c:v>29.01</c:v>
                </c:pt>
                <c:pt idx="1788">
                  <c:v>29.2</c:v>
                </c:pt>
                <c:pt idx="1789">
                  <c:v>29.77</c:v>
                </c:pt>
                <c:pt idx="1790">
                  <c:v>29.23</c:v>
                </c:pt>
                <c:pt idx="1791">
                  <c:v>29.09</c:v>
                </c:pt>
                <c:pt idx="1792">
                  <c:v>28.63</c:v>
                </c:pt>
                <c:pt idx="1793">
                  <c:v>28.76</c:v>
                </c:pt>
                <c:pt idx="1794">
                  <c:v>29.31</c:v>
                </c:pt>
                <c:pt idx="1795">
                  <c:v>28.94</c:v>
                </c:pt>
                <c:pt idx="1796">
                  <c:v>28.91</c:v>
                </c:pt>
                <c:pt idx="1797">
                  <c:v>28.42</c:v>
                </c:pt>
                <c:pt idx="1798">
                  <c:v>28.59</c:v>
                </c:pt>
                <c:pt idx="1799">
                  <c:v>28.71</c:v>
                </c:pt>
                <c:pt idx="1800">
                  <c:v>28.29</c:v>
                </c:pt>
                <c:pt idx="1801">
                  <c:v>29.09</c:v>
                </c:pt>
                <c:pt idx="1802">
                  <c:v>28.2</c:v>
                </c:pt>
                <c:pt idx="1803">
                  <c:v>28.01</c:v>
                </c:pt>
                <c:pt idx="1804">
                  <c:v>27.18</c:v>
                </c:pt>
                <c:pt idx="1805">
                  <c:v>26.57</c:v>
                </c:pt>
                <c:pt idx="1806">
                  <c:v>27.11</c:v>
                </c:pt>
                <c:pt idx="1807">
                  <c:v>27.62</c:v>
                </c:pt>
                <c:pt idx="1808">
                  <c:v>27.88</c:v>
                </c:pt>
                <c:pt idx="1809">
                  <c:v>27.77</c:v>
                </c:pt>
                <c:pt idx="1810">
                  <c:v>28.07</c:v>
                </c:pt>
                <c:pt idx="1811">
                  <c:v>27.63</c:v>
                </c:pt>
                <c:pt idx="1812">
                  <c:v>27.76</c:v>
                </c:pt>
                <c:pt idx="1813">
                  <c:v>27.61</c:v>
                </c:pt>
                <c:pt idx="1814">
                  <c:v>27.33</c:v>
                </c:pt>
                <c:pt idx="1815">
                  <c:v>27.95</c:v>
                </c:pt>
                <c:pt idx="1816">
                  <c:v>27.99</c:v>
                </c:pt>
                <c:pt idx="1817">
                  <c:v>27.93</c:v>
                </c:pt>
                <c:pt idx="1818">
                  <c:v>27.81</c:v>
                </c:pt>
                <c:pt idx="1819">
                  <c:v>27.9</c:v>
                </c:pt>
                <c:pt idx="1820">
                  <c:v>28.49</c:v>
                </c:pt>
                <c:pt idx="1821">
                  <c:v>28.99</c:v>
                </c:pt>
                <c:pt idx="1822">
                  <c:v>28.93</c:v>
                </c:pt>
                <c:pt idx="1823">
                  <c:v>28.45</c:v>
                </c:pt>
                <c:pt idx="1824">
                  <c:v>28.49</c:v>
                </c:pt>
                <c:pt idx="1825">
                  <c:v>28.76</c:v>
                </c:pt>
                <c:pt idx="1826">
                  <c:v>28.82</c:v>
                </c:pt>
                <c:pt idx="1827">
                  <c:v>28.43</c:v>
                </c:pt>
                <c:pt idx="1828">
                  <c:v>28.47</c:v>
                </c:pt>
                <c:pt idx="1829">
                  <c:v>28.05</c:v>
                </c:pt>
                <c:pt idx="1830">
                  <c:v>29.18</c:v>
                </c:pt>
                <c:pt idx="1831">
                  <c:v>28.35</c:v>
                </c:pt>
                <c:pt idx="1832">
                  <c:v>29.42</c:v>
                </c:pt>
                <c:pt idx="1833">
                  <c:v>29.02</c:v>
                </c:pt>
                <c:pt idx="1834">
                  <c:v>28.39</c:v>
                </c:pt>
                <c:pt idx="1835">
                  <c:v>28.05</c:v>
                </c:pt>
                <c:pt idx="1836">
                  <c:v>27.72</c:v>
                </c:pt>
                <c:pt idx="1837">
                  <c:v>27.11</c:v>
                </c:pt>
                <c:pt idx="1838">
                  <c:v>26.53</c:v>
                </c:pt>
                <c:pt idx="1839">
                  <c:v>26.31</c:v>
                </c:pt>
                <c:pt idx="1840">
                  <c:v>26.12</c:v>
                </c:pt>
                <c:pt idx="1841">
                  <c:v>25.73</c:v>
                </c:pt>
                <c:pt idx="1842">
                  <c:v>25.67</c:v>
                </c:pt>
                <c:pt idx="1843">
                  <c:v>25.59</c:v>
                </c:pt>
                <c:pt idx="1844">
                  <c:v>25.5</c:v>
                </c:pt>
                <c:pt idx="1845">
                  <c:v>25.47</c:v>
                </c:pt>
                <c:pt idx="1846">
                  <c:v>25.12</c:v>
                </c:pt>
                <c:pt idx="1847">
                  <c:v>24.36</c:v>
                </c:pt>
                <c:pt idx="1848">
                  <c:v>24.96</c:v>
                </c:pt>
                <c:pt idx="1849">
                  <c:v>24.7</c:v>
                </c:pt>
                <c:pt idx="1850">
                  <c:v>24.89</c:v>
                </c:pt>
                <c:pt idx="1851">
                  <c:v>26.05</c:v>
                </c:pt>
                <c:pt idx="1852">
                  <c:v>26.95</c:v>
                </c:pt>
                <c:pt idx="1853">
                  <c:v>26.76</c:v>
                </c:pt>
                <c:pt idx="1854">
                  <c:v>26.84</c:v>
                </c:pt>
                <c:pt idx="1855">
                  <c:v>26.09</c:v>
                </c:pt>
                <c:pt idx="1856">
                  <c:v>26.39</c:v>
                </c:pt>
                <c:pt idx="1857">
                  <c:v>26.3</c:v>
                </c:pt>
                <c:pt idx="1858">
                  <c:v>26.52</c:v>
                </c:pt>
                <c:pt idx="1859">
                  <c:v>26.72</c:v>
                </c:pt>
                <c:pt idx="1860">
                  <c:v>26.72</c:v>
                </c:pt>
                <c:pt idx="1861">
                  <c:v>27.07</c:v>
                </c:pt>
                <c:pt idx="1862">
                  <c:v>26.52</c:v>
                </c:pt>
                <c:pt idx="1863">
                  <c:v>25.8</c:v>
                </c:pt>
                <c:pt idx="1864">
                  <c:v>25.86</c:v>
                </c:pt>
                <c:pt idx="1865">
                  <c:v>26.17</c:v>
                </c:pt>
                <c:pt idx="1866">
                  <c:v>26.31</c:v>
                </c:pt>
                <c:pt idx="1867">
                  <c:v>26.71</c:v>
                </c:pt>
                <c:pt idx="1868">
                  <c:v>26.42</c:v>
                </c:pt>
                <c:pt idx="1869">
                  <c:v>26.99</c:v>
                </c:pt>
                <c:pt idx="1870">
                  <c:v>27.28</c:v>
                </c:pt>
                <c:pt idx="1871">
                  <c:v>27.21</c:v>
                </c:pt>
                <c:pt idx="1872">
                  <c:v>27.35</c:v>
                </c:pt>
                <c:pt idx="1873">
                  <c:v>27.5</c:v>
                </c:pt>
                <c:pt idx="1874">
                  <c:v>26.95</c:v>
                </c:pt>
                <c:pt idx="1875">
                  <c:v>26.92</c:v>
                </c:pt>
                <c:pt idx="1876">
                  <c:v>26.6</c:v>
                </c:pt>
                <c:pt idx="1877">
                  <c:v>28.16</c:v>
                </c:pt>
                <c:pt idx="1878">
                  <c:v>26.07</c:v>
                </c:pt>
                <c:pt idx="1879">
                  <c:v>26.18</c:v>
                </c:pt>
                <c:pt idx="1880">
                  <c:v>26.24</c:v>
                </c:pt>
                <c:pt idx="1881">
                  <c:v>26.17</c:v>
                </c:pt>
                <c:pt idx="1882">
                  <c:v>25.73</c:v>
                </c:pt>
                <c:pt idx="1883">
                  <c:v>25.7</c:v>
                </c:pt>
                <c:pt idx="1884">
                  <c:v>25.96</c:v>
                </c:pt>
                <c:pt idx="1885">
                  <c:v>26.06</c:v>
                </c:pt>
                <c:pt idx="1886">
                  <c:v>25.74</c:v>
                </c:pt>
                <c:pt idx="1887">
                  <c:v>25.33</c:v>
                </c:pt>
                <c:pt idx="1888">
                  <c:v>25.34</c:v>
                </c:pt>
                <c:pt idx="1889">
                  <c:v>25.58</c:v>
                </c:pt>
                <c:pt idx="1890">
                  <c:v>25.38</c:v>
                </c:pt>
                <c:pt idx="1891">
                  <c:v>25.37</c:v>
                </c:pt>
                <c:pt idx="1892">
                  <c:v>26.12</c:v>
                </c:pt>
                <c:pt idx="1893">
                  <c:v>26.13</c:v>
                </c:pt>
                <c:pt idx="1894">
                  <c:v>25.97</c:v>
                </c:pt>
                <c:pt idx="1895">
                  <c:v>25.89</c:v>
                </c:pt>
                <c:pt idx="1896">
                  <c:v>26.13</c:v>
                </c:pt>
                <c:pt idx="1897">
                  <c:v>26.2</c:v>
                </c:pt>
                <c:pt idx="1898">
                  <c:v>25.89</c:v>
                </c:pt>
                <c:pt idx="1899">
                  <c:v>25.82</c:v>
                </c:pt>
                <c:pt idx="1900">
                  <c:v>25.82</c:v>
                </c:pt>
                <c:pt idx="1901">
                  <c:v>26.02</c:v>
                </c:pt>
                <c:pt idx="1902">
                  <c:v>26.04</c:v>
                </c:pt>
                <c:pt idx="1903">
                  <c:v>26.09</c:v>
                </c:pt>
                <c:pt idx="1904">
                  <c:v>26.34</c:v>
                </c:pt>
                <c:pt idx="1905">
                  <c:v>26.04</c:v>
                </c:pt>
                <c:pt idx="1906">
                  <c:v>26.03</c:v>
                </c:pt>
                <c:pt idx="1907">
                  <c:v>25.77</c:v>
                </c:pt>
                <c:pt idx="1908">
                  <c:v>25.85</c:v>
                </c:pt>
                <c:pt idx="1909">
                  <c:v>25.63</c:v>
                </c:pt>
                <c:pt idx="1910">
                  <c:v>25.23</c:v>
                </c:pt>
                <c:pt idx="1911">
                  <c:v>25.28</c:v>
                </c:pt>
                <c:pt idx="1912">
                  <c:v>25.15</c:v>
                </c:pt>
                <c:pt idx="1913">
                  <c:v>25.21</c:v>
                </c:pt>
                <c:pt idx="1914">
                  <c:v>25.3</c:v>
                </c:pt>
                <c:pt idx="1915">
                  <c:v>25.58</c:v>
                </c:pt>
                <c:pt idx="1916">
                  <c:v>25.8</c:v>
                </c:pt>
                <c:pt idx="1917">
                  <c:v>25.78</c:v>
                </c:pt>
                <c:pt idx="1918">
                  <c:v>25.98</c:v>
                </c:pt>
                <c:pt idx="1919">
                  <c:v>25.9</c:v>
                </c:pt>
                <c:pt idx="1920">
                  <c:v>25.73</c:v>
                </c:pt>
                <c:pt idx="1921">
                  <c:v>25.94</c:v>
                </c:pt>
                <c:pt idx="1922">
                  <c:v>25.82</c:v>
                </c:pt>
                <c:pt idx="1923">
                  <c:v>26.44</c:v>
                </c:pt>
                <c:pt idx="1924">
                  <c:v>26.6</c:v>
                </c:pt>
                <c:pt idx="1925">
                  <c:v>26.32</c:v>
                </c:pt>
                <c:pt idx="1926">
                  <c:v>26.22</c:v>
                </c:pt>
                <c:pt idx="1927">
                  <c:v>26.27</c:v>
                </c:pt>
                <c:pt idx="1928">
                  <c:v>25.96</c:v>
                </c:pt>
                <c:pt idx="1929">
                  <c:v>25.85</c:v>
                </c:pt>
                <c:pt idx="1930">
                  <c:v>25.92</c:v>
                </c:pt>
                <c:pt idx="1931">
                  <c:v>25.85</c:v>
                </c:pt>
                <c:pt idx="1932">
                  <c:v>25.25</c:v>
                </c:pt>
                <c:pt idx="1933">
                  <c:v>25.36</c:v>
                </c:pt>
                <c:pt idx="1934">
                  <c:v>25.25</c:v>
                </c:pt>
                <c:pt idx="1935">
                  <c:v>25.01</c:v>
                </c:pt>
                <c:pt idx="1936">
                  <c:v>25.13</c:v>
                </c:pt>
                <c:pt idx="1937">
                  <c:v>24.75</c:v>
                </c:pt>
                <c:pt idx="1938">
                  <c:v>24.36</c:v>
                </c:pt>
                <c:pt idx="1939">
                  <c:v>21.29</c:v>
                </c:pt>
                <c:pt idx="1940">
                  <c:v>21.37</c:v>
                </c:pt>
                <c:pt idx="1941">
                  <c:v>21.26</c:v>
                </c:pt>
                <c:pt idx="1942">
                  <c:v>21.95</c:v>
                </c:pt>
                <c:pt idx="1943">
                  <c:v>21.79</c:v>
                </c:pt>
                <c:pt idx="1944">
                  <c:v>21.75</c:v>
                </c:pt>
                <c:pt idx="1945">
                  <c:v>21.56</c:v>
                </c:pt>
                <c:pt idx="1946">
                  <c:v>22.13</c:v>
                </c:pt>
                <c:pt idx="1947">
                  <c:v>22.36</c:v>
                </c:pt>
                <c:pt idx="1948">
                  <c:v>22.38</c:v>
                </c:pt>
                <c:pt idx="1949">
                  <c:v>22.08</c:v>
                </c:pt>
                <c:pt idx="1950">
                  <c:v>22.12</c:v>
                </c:pt>
                <c:pt idx="1951">
                  <c:v>22.15</c:v>
                </c:pt>
                <c:pt idx="1952">
                  <c:v>22.13</c:v>
                </c:pt>
                <c:pt idx="1953">
                  <c:v>22.18</c:v>
                </c:pt>
                <c:pt idx="1954">
                  <c:v>22</c:v>
                </c:pt>
                <c:pt idx="1955">
                  <c:v>22.06</c:v>
                </c:pt>
                <c:pt idx="1956">
                  <c:v>22.12</c:v>
                </c:pt>
                <c:pt idx="1957">
                  <c:v>22.07</c:v>
                </c:pt>
                <c:pt idx="1958">
                  <c:v>22.1</c:v>
                </c:pt>
                <c:pt idx="1959">
                  <c:v>22.28</c:v>
                </c:pt>
                <c:pt idx="1960">
                  <c:v>22.24</c:v>
                </c:pt>
                <c:pt idx="1961">
                  <c:v>22.14</c:v>
                </c:pt>
                <c:pt idx="1962">
                  <c:v>22.18</c:v>
                </c:pt>
                <c:pt idx="1963">
                  <c:v>22.74</c:v>
                </c:pt>
                <c:pt idx="1964">
                  <c:v>22.71</c:v>
                </c:pt>
                <c:pt idx="1965">
                  <c:v>22.43</c:v>
                </c:pt>
                <c:pt idx="1966">
                  <c:v>23.28</c:v>
                </c:pt>
                <c:pt idx="1967">
                  <c:v>23.93</c:v>
                </c:pt>
                <c:pt idx="1968">
                  <c:v>23.9</c:v>
                </c:pt>
                <c:pt idx="1969">
                  <c:v>24.11</c:v>
                </c:pt>
                <c:pt idx="1970">
                  <c:v>24.16</c:v>
                </c:pt>
                <c:pt idx="1971">
                  <c:v>24.46</c:v>
                </c:pt>
                <c:pt idx="1972">
                  <c:v>24.36</c:v>
                </c:pt>
                <c:pt idx="1973">
                  <c:v>24.52</c:v>
                </c:pt>
                <c:pt idx="1974">
                  <c:v>24.55</c:v>
                </c:pt>
                <c:pt idx="1975">
                  <c:v>24.62</c:v>
                </c:pt>
                <c:pt idx="1976">
                  <c:v>24.12</c:v>
                </c:pt>
                <c:pt idx="1977">
                  <c:v>24.54</c:v>
                </c:pt>
                <c:pt idx="1978">
                  <c:v>25.36</c:v>
                </c:pt>
                <c:pt idx="1979">
                  <c:v>25.31</c:v>
                </c:pt>
                <c:pt idx="1980">
                  <c:v>25.17</c:v>
                </c:pt>
                <c:pt idx="1981">
                  <c:v>25.51</c:v>
                </c:pt>
                <c:pt idx="1982">
                  <c:v>25.67</c:v>
                </c:pt>
                <c:pt idx="1983">
                  <c:v>25.99</c:v>
                </c:pt>
                <c:pt idx="1984">
                  <c:v>26.84</c:v>
                </c:pt>
                <c:pt idx="1985">
                  <c:v>26.43</c:v>
                </c:pt>
                <c:pt idx="1986">
                  <c:v>26.18</c:v>
                </c:pt>
                <c:pt idx="1987">
                  <c:v>26.15</c:v>
                </c:pt>
                <c:pt idx="1988">
                  <c:v>26.04</c:v>
                </c:pt>
                <c:pt idx="1989">
                  <c:v>26.24</c:v>
                </c:pt>
                <c:pt idx="1990">
                  <c:v>26.11</c:v>
                </c:pt>
                <c:pt idx="1991">
                  <c:v>26.24</c:v>
                </c:pt>
                <c:pt idx="1992">
                  <c:v>27.66</c:v>
                </c:pt>
                <c:pt idx="1993">
                  <c:v>28.29</c:v>
                </c:pt>
                <c:pt idx="1994">
                  <c:v>28.05</c:v>
                </c:pt>
                <c:pt idx="1995">
                  <c:v>28.75</c:v>
                </c:pt>
                <c:pt idx="1996">
                  <c:v>28.55</c:v>
                </c:pt>
                <c:pt idx="1997">
                  <c:v>28.86</c:v>
                </c:pt>
                <c:pt idx="1998">
                  <c:v>29.15</c:v>
                </c:pt>
                <c:pt idx="1999">
                  <c:v>29.3</c:v>
                </c:pt>
                <c:pt idx="2000">
                  <c:v>30.3</c:v>
                </c:pt>
                <c:pt idx="2001">
                  <c:v>29.32</c:v>
                </c:pt>
                <c:pt idx="2002">
                  <c:v>29.1</c:v>
                </c:pt>
                <c:pt idx="2003">
                  <c:v>28.96</c:v>
                </c:pt>
                <c:pt idx="2004">
                  <c:v>29.81</c:v>
                </c:pt>
                <c:pt idx="2005">
                  <c:v>29.64</c:v>
                </c:pt>
                <c:pt idx="2006">
                  <c:v>30.12</c:v>
                </c:pt>
                <c:pt idx="2007">
                  <c:v>30.63</c:v>
                </c:pt>
                <c:pt idx="2008">
                  <c:v>31.78</c:v>
                </c:pt>
                <c:pt idx="2009">
                  <c:v>32.75</c:v>
                </c:pt>
                <c:pt idx="2010">
                  <c:v>32.340000000000003</c:v>
                </c:pt>
                <c:pt idx="2011">
                  <c:v>31.76</c:v>
                </c:pt>
                <c:pt idx="2012">
                  <c:v>31.67</c:v>
                </c:pt>
                <c:pt idx="2013">
                  <c:v>31.52</c:v>
                </c:pt>
                <c:pt idx="2014">
                  <c:v>32.11</c:v>
                </c:pt>
                <c:pt idx="2015">
                  <c:v>32.520000000000003</c:v>
                </c:pt>
                <c:pt idx="2016">
                  <c:v>32.76</c:v>
                </c:pt>
                <c:pt idx="2017">
                  <c:v>33.49</c:v>
                </c:pt>
                <c:pt idx="2018">
                  <c:v>33.270000000000003</c:v>
                </c:pt>
                <c:pt idx="2019">
                  <c:v>33.53</c:v>
                </c:pt>
                <c:pt idx="2020">
                  <c:v>33.549999999999997</c:v>
                </c:pt>
                <c:pt idx="2021">
                  <c:v>34.56</c:v>
                </c:pt>
                <c:pt idx="2022">
                  <c:v>35.11</c:v>
                </c:pt>
                <c:pt idx="2023">
                  <c:v>35.1</c:v>
                </c:pt>
                <c:pt idx="2024">
                  <c:v>34.69</c:v>
                </c:pt>
                <c:pt idx="2025">
                  <c:v>35.58</c:v>
                </c:pt>
                <c:pt idx="2026">
                  <c:v>35.58</c:v>
                </c:pt>
                <c:pt idx="2027">
                  <c:v>36.03</c:v>
                </c:pt>
                <c:pt idx="2028">
                  <c:v>37.119999999999997</c:v>
                </c:pt>
                <c:pt idx="2029">
                  <c:v>36.590000000000003</c:v>
                </c:pt>
                <c:pt idx="2030">
                  <c:v>35.58</c:v>
                </c:pt>
                <c:pt idx="2031">
                  <c:v>34.64</c:v>
                </c:pt>
                <c:pt idx="2032">
                  <c:v>34.82</c:v>
                </c:pt>
                <c:pt idx="2033">
                  <c:v>34.04</c:v>
                </c:pt>
                <c:pt idx="2034">
                  <c:v>34.94</c:v>
                </c:pt>
                <c:pt idx="2035">
                  <c:v>35.68</c:v>
                </c:pt>
                <c:pt idx="2036">
                  <c:v>35.369999999999997</c:v>
                </c:pt>
                <c:pt idx="2037">
                  <c:v>36.049999999999997</c:v>
                </c:pt>
                <c:pt idx="2038">
                  <c:v>36.299999999999997</c:v>
                </c:pt>
                <c:pt idx="2039">
                  <c:v>36.18</c:v>
                </c:pt>
                <c:pt idx="2040">
                  <c:v>36.03</c:v>
                </c:pt>
                <c:pt idx="2041">
                  <c:v>35.799999999999997</c:v>
                </c:pt>
                <c:pt idx="2042">
                  <c:v>35.520000000000003</c:v>
                </c:pt>
                <c:pt idx="2043">
                  <c:v>35.08</c:v>
                </c:pt>
                <c:pt idx="2044">
                  <c:v>35.76</c:v>
                </c:pt>
                <c:pt idx="2045">
                  <c:v>34.200000000000003</c:v>
                </c:pt>
                <c:pt idx="2046">
                  <c:v>34.39</c:v>
                </c:pt>
                <c:pt idx="2047">
                  <c:v>34.75</c:v>
                </c:pt>
                <c:pt idx="2048">
                  <c:v>34.64</c:v>
                </c:pt>
                <c:pt idx="2049">
                  <c:v>34.04</c:v>
                </c:pt>
                <c:pt idx="2050">
                  <c:v>34.03</c:v>
                </c:pt>
                <c:pt idx="2051">
                  <c:v>34.659999999999997</c:v>
                </c:pt>
                <c:pt idx="2052">
                  <c:v>40.06</c:v>
                </c:pt>
                <c:pt idx="2053">
                  <c:v>38.74</c:v>
                </c:pt>
                <c:pt idx="2054">
                  <c:v>38.44</c:v>
                </c:pt>
                <c:pt idx="2055">
                  <c:v>37.32</c:v>
                </c:pt>
                <c:pt idx="2056">
                  <c:v>39.1</c:v>
                </c:pt>
                <c:pt idx="2057">
                  <c:v>39.22</c:v>
                </c:pt>
                <c:pt idx="2058">
                  <c:v>39.130000000000003</c:v>
                </c:pt>
                <c:pt idx="2059">
                  <c:v>38.65</c:v>
                </c:pt>
                <c:pt idx="2060">
                  <c:v>40.01</c:v>
                </c:pt>
                <c:pt idx="2061">
                  <c:v>40.07</c:v>
                </c:pt>
                <c:pt idx="2062">
                  <c:v>39.26</c:v>
                </c:pt>
                <c:pt idx="2063">
                  <c:v>38.47</c:v>
                </c:pt>
                <c:pt idx="2064">
                  <c:v>37.729999999999997</c:v>
                </c:pt>
                <c:pt idx="2065">
                  <c:v>37.69</c:v>
                </c:pt>
                <c:pt idx="2066">
                  <c:v>36.26</c:v>
                </c:pt>
                <c:pt idx="2067">
                  <c:v>33.71</c:v>
                </c:pt>
                <c:pt idx="2068">
                  <c:v>34.19</c:v>
                </c:pt>
                <c:pt idx="2069">
                  <c:v>34.26</c:v>
                </c:pt>
                <c:pt idx="2070">
                  <c:v>32.909999999999997</c:v>
                </c:pt>
                <c:pt idx="2071">
                  <c:v>33.07</c:v>
                </c:pt>
                <c:pt idx="2072">
                  <c:v>33.6</c:v>
                </c:pt>
                <c:pt idx="2073">
                  <c:v>34.200000000000003</c:v>
                </c:pt>
                <c:pt idx="2074">
                  <c:v>35.049999999999997</c:v>
                </c:pt>
                <c:pt idx="2075">
                  <c:v>35.56</c:v>
                </c:pt>
                <c:pt idx="2076">
                  <c:v>35.43</c:v>
                </c:pt>
                <c:pt idx="2077">
                  <c:v>34.97</c:v>
                </c:pt>
                <c:pt idx="2078">
                  <c:v>35.44</c:v>
                </c:pt>
                <c:pt idx="2079">
                  <c:v>34.81</c:v>
                </c:pt>
                <c:pt idx="2080">
                  <c:v>34.46</c:v>
                </c:pt>
                <c:pt idx="2081">
                  <c:v>35.950000000000003</c:v>
                </c:pt>
                <c:pt idx="2082">
                  <c:v>32.61</c:v>
                </c:pt>
                <c:pt idx="2083">
                  <c:v>32.61</c:v>
                </c:pt>
                <c:pt idx="2084">
                  <c:v>33.119999999999997</c:v>
                </c:pt>
                <c:pt idx="2085">
                  <c:v>33.85</c:v>
                </c:pt>
                <c:pt idx="2086">
                  <c:v>33.74</c:v>
                </c:pt>
                <c:pt idx="2087">
                  <c:v>34.200000000000003</c:v>
                </c:pt>
                <c:pt idx="2088">
                  <c:v>34.26</c:v>
                </c:pt>
                <c:pt idx="2089">
                  <c:v>33.93</c:v>
                </c:pt>
                <c:pt idx="2090">
                  <c:v>34.659999999999997</c:v>
                </c:pt>
                <c:pt idx="2091">
                  <c:v>34.33</c:v>
                </c:pt>
                <c:pt idx="2092">
                  <c:v>33.92</c:v>
                </c:pt>
                <c:pt idx="2093">
                  <c:v>33.130000000000003</c:v>
                </c:pt>
                <c:pt idx="2094">
                  <c:v>32.92</c:v>
                </c:pt>
                <c:pt idx="2095">
                  <c:v>32.619999999999997</c:v>
                </c:pt>
                <c:pt idx="2096">
                  <c:v>32.69</c:v>
                </c:pt>
                <c:pt idx="2097">
                  <c:v>32.54</c:v>
                </c:pt>
                <c:pt idx="2098">
                  <c:v>32.619999999999997</c:v>
                </c:pt>
                <c:pt idx="2099">
                  <c:v>30.87</c:v>
                </c:pt>
                <c:pt idx="2100">
                  <c:v>30.1</c:v>
                </c:pt>
                <c:pt idx="2101">
                  <c:v>31.12</c:v>
                </c:pt>
                <c:pt idx="2102">
                  <c:v>31.13</c:v>
                </c:pt>
                <c:pt idx="2103">
                  <c:v>30.83</c:v>
                </c:pt>
                <c:pt idx="2104">
                  <c:v>31.56</c:v>
                </c:pt>
                <c:pt idx="2105">
                  <c:v>30.91</c:v>
                </c:pt>
                <c:pt idx="2106">
                  <c:v>30.8</c:v>
                </c:pt>
                <c:pt idx="2107">
                  <c:v>30.65</c:v>
                </c:pt>
                <c:pt idx="2108">
                  <c:v>30.96</c:v>
                </c:pt>
                <c:pt idx="2109">
                  <c:v>29.92</c:v>
                </c:pt>
                <c:pt idx="2110">
                  <c:v>29.49</c:v>
                </c:pt>
                <c:pt idx="2111">
                  <c:v>30.61</c:v>
                </c:pt>
                <c:pt idx="2112">
                  <c:v>30.75</c:v>
                </c:pt>
                <c:pt idx="2113">
                  <c:v>30.97</c:v>
                </c:pt>
                <c:pt idx="2114">
                  <c:v>31.02</c:v>
                </c:pt>
                <c:pt idx="2115">
                  <c:v>32.119999999999997</c:v>
                </c:pt>
                <c:pt idx="2116">
                  <c:v>32.880000000000003</c:v>
                </c:pt>
                <c:pt idx="2117">
                  <c:v>33.299999999999997</c:v>
                </c:pt>
                <c:pt idx="2118">
                  <c:v>32.979999999999997</c:v>
                </c:pt>
                <c:pt idx="2119">
                  <c:v>32.78</c:v>
                </c:pt>
                <c:pt idx="2120">
                  <c:v>32.5</c:v>
                </c:pt>
                <c:pt idx="2121">
                  <c:v>32.200000000000003</c:v>
                </c:pt>
                <c:pt idx="2122">
                  <c:v>32.200000000000003</c:v>
                </c:pt>
                <c:pt idx="2123">
                  <c:v>32.619999999999997</c:v>
                </c:pt>
                <c:pt idx="2124">
                  <c:v>31.89</c:v>
                </c:pt>
                <c:pt idx="2125">
                  <c:v>30.95</c:v>
                </c:pt>
                <c:pt idx="2126">
                  <c:v>30.36</c:v>
                </c:pt>
                <c:pt idx="2127">
                  <c:v>30.24</c:v>
                </c:pt>
                <c:pt idx="2128">
                  <c:v>30.04</c:v>
                </c:pt>
                <c:pt idx="2129">
                  <c:v>30.23</c:v>
                </c:pt>
                <c:pt idx="2130">
                  <c:v>30.88</c:v>
                </c:pt>
                <c:pt idx="2131">
                  <c:v>31.77</c:v>
                </c:pt>
                <c:pt idx="2132">
                  <c:v>29.53</c:v>
                </c:pt>
                <c:pt idx="2133">
                  <c:v>28.6</c:v>
                </c:pt>
                <c:pt idx="2134">
                  <c:v>29.48</c:v>
                </c:pt>
                <c:pt idx="2135">
                  <c:v>29.91</c:v>
                </c:pt>
                <c:pt idx="2136">
                  <c:v>29.63</c:v>
                </c:pt>
                <c:pt idx="2137">
                  <c:v>30.02</c:v>
                </c:pt>
                <c:pt idx="2138">
                  <c:v>30.26</c:v>
                </c:pt>
                <c:pt idx="2139">
                  <c:v>30.34</c:v>
                </c:pt>
                <c:pt idx="2140">
                  <c:v>30.46</c:v>
                </c:pt>
                <c:pt idx="2141">
                  <c:v>29.49</c:v>
                </c:pt>
                <c:pt idx="2142">
                  <c:v>29.97</c:v>
                </c:pt>
                <c:pt idx="2143">
                  <c:v>30.06</c:v>
                </c:pt>
                <c:pt idx="2144">
                  <c:v>29.75</c:v>
                </c:pt>
                <c:pt idx="2145">
                  <c:v>29.75</c:v>
                </c:pt>
                <c:pt idx="2146">
                  <c:v>30.27</c:v>
                </c:pt>
                <c:pt idx="2147">
                  <c:v>29.78</c:v>
                </c:pt>
                <c:pt idx="2148">
                  <c:v>31.15</c:v>
                </c:pt>
                <c:pt idx="2149">
                  <c:v>31.02</c:v>
                </c:pt>
                <c:pt idx="2150">
                  <c:v>30.26</c:v>
                </c:pt>
                <c:pt idx="2151">
                  <c:v>29.94</c:v>
                </c:pt>
                <c:pt idx="2152">
                  <c:v>30.08</c:v>
                </c:pt>
                <c:pt idx="2153">
                  <c:v>31.73</c:v>
                </c:pt>
                <c:pt idx="2154">
                  <c:v>31.9</c:v>
                </c:pt>
                <c:pt idx="2155">
                  <c:v>32.14</c:v>
                </c:pt>
                <c:pt idx="2156">
                  <c:v>32.31</c:v>
                </c:pt>
                <c:pt idx="2157">
                  <c:v>32.450000000000003</c:v>
                </c:pt>
                <c:pt idx="2158">
                  <c:v>33.020000000000003</c:v>
                </c:pt>
                <c:pt idx="2159">
                  <c:v>33.19</c:v>
                </c:pt>
                <c:pt idx="2160">
                  <c:v>32.39</c:v>
                </c:pt>
                <c:pt idx="2161">
                  <c:v>32.14</c:v>
                </c:pt>
                <c:pt idx="2162">
                  <c:v>31.34</c:v>
                </c:pt>
                <c:pt idx="2163">
                  <c:v>31.18</c:v>
                </c:pt>
                <c:pt idx="2164">
                  <c:v>30.38</c:v>
                </c:pt>
                <c:pt idx="2165">
                  <c:v>31.11</c:v>
                </c:pt>
                <c:pt idx="2166">
                  <c:v>30.63</c:v>
                </c:pt>
                <c:pt idx="2167">
                  <c:v>30.36</c:v>
                </c:pt>
                <c:pt idx="2168">
                  <c:v>30.43</c:v>
                </c:pt>
                <c:pt idx="2169">
                  <c:v>30.75</c:v>
                </c:pt>
                <c:pt idx="2170">
                  <c:v>30.98</c:v>
                </c:pt>
                <c:pt idx="2171">
                  <c:v>30.96</c:v>
                </c:pt>
                <c:pt idx="2172">
                  <c:v>30.74</c:v>
                </c:pt>
                <c:pt idx="2173">
                  <c:v>31.91</c:v>
                </c:pt>
                <c:pt idx="2174">
                  <c:v>31.89</c:v>
                </c:pt>
                <c:pt idx="2175">
                  <c:v>31.18</c:v>
                </c:pt>
                <c:pt idx="2176">
                  <c:v>31.87</c:v>
                </c:pt>
                <c:pt idx="2177">
                  <c:v>32.36</c:v>
                </c:pt>
                <c:pt idx="2178">
                  <c:v>32.36</c:v>
                </c:pt>
                <c:pt idx="2179">
                  <c:v>32.549999999999997</c:v>
                </c:pt>
                <c:pt idx="2180">
                  <c:v>32.96</c:v>
                </c:pt>
                <c:pt idx="2181">
                  <c:v>33.33</c:v>
                </c:pt>
                <c:pt idx="2182">
                  <c:v>33.5</c:v>
                </c:pt>
                <c:pt idx="2183">
                  <c:v>33.08</c:v>
                </c:pt>
                <c:pt idx="2184">
                  <c:v>33</c:v>
                </c:pt>
                <c:pt idx="2185">
                  <c:v>32.96</c:v>
                </c:pt>
                <c:pt idx="2186">
                  <c:v>34.26</c:v>
                </c:pt>
                <c:pt idx="2187">
                  <c:v>33.49</c:v>
                </c:pt>
                <c:pt idx="2188">
                  <c:v>33.200000000000003</c:v>
                </c:pt>
                <c:pt idx="2189">
                  <c:v>34.700000000000003</c:v>
                </c:pt>
                <c:pt idx="2190">
                  <c:v>33.6</c:v>
                </c:pt>
                <c:pt idx="2191">
                  <c:v>33.46</c:v>
                </c:pt>
                <c:pt idx="2192">
                  <c:v>35.19</c:v>
                </c:pt>
                <c:pt idx="2193">
                  <c:v>36.69</c:v>
                </c:pt>
                <c:pt idx="2194">
                  <c:v>37.01</c:v>
                </c:pt>
                <c:pt idx="2195">
                  <c:v>36.86</c:v>
                </c:pt>
                <c:pt idx="2196">
                  <c:v>37.72</c:v>
                </c:pt>
                <c:pt idx="2197">
                  <c:v>38.020000000000003</c:v>
                </c:pt>
                <c:pt idx="2198">
                  <c:v>38.08</c:v>
                </c:pt>
                <c:pt idx="2199">
                  <c:v>38.43</c:v>
                </c:pt>
                <c:pt idx="2200">
                  <c:v>37.43</c:v>
                </c:pt>
                <c:pt idx="2201">
                  <c:v>37.619999999999997</c:v>
                </c:pt>
                <c:pt idx="2202">
                  <c:v>37.68</c:v>
                </c:pt>
                <c:pt idx="2203">
                  <c:v>37.950000000000003</c:v>
                </c:pt>
                <c:pt idx="2204">
                  <c:v>39</c:v>
                </c:pt>
                <c:pt idx="2205">
                  <c:v>39.020000000000003</c:v>
                </c:pt>
                <c:pt idx="2206">
                  <c:v>38.479999999999997</c:v>
                </c:pt>
                <c:pt idx="2207">
                  <c:v>38.06</c:v>
                </c:pt>
                <c:pt idx="2208">
                  <c:v>38.07</c:v>
                </c:pt>
                <c:pt idx="2209">
                  <c:v>37.89</c:v>
                </c:pt>
                <c:pt idx="2210">
                  <c:v>37.520000000000003</c:v>
                </c:pt>
                <c:pt idx="2211">
                  <c:v>37.14</c:v>
                </c:pt>
                <c:pt idx="2212">
                  <c:v>36.81</c:v>
                </c:pt>
                <c:pt idx="2213">
                  <c:v>36.53</c:v>
                </c:pt>
                <c:pt idx="2214">
                  <c:v>37.200000000000003</c:v>
                </c:pt>
                <c:pt idx="2215">
                  <c:v>37.020000000000003</c:v>
                </c:pt>
                <c:pt idx="2216">
                  <c:v>37.229999999999997</c:v>
                </c:pt>
                <c:pt idx="2217">
                  <c:v>37.229999999999997</c:v>
                </c:pt>
                <c:pt idx="2218">
                  <c:v>36.79</c:v>
                </c:pt>
                <c:pt idx="2219">
                  <c:v>36.33</c:v>
                </c:pt>
                <c:pt idx="2220">
                  <c:v>36.47</c:v>
                </c:pt>
                <c:pt idx="2221">
                  <c:v>36.729999999999997</c:v>
                </c:pt>
                <c:pt idx="2222">
                  <c:v>36.65</c:v>
                </c:pt>
                <c:pt idx="2223">
                  <c:v>36.840000000000003</c:v>
                </c:pt>
                <c:pt idx="2224">
                  <c:v>37.11</c:v>
                </c:pt>
                <c:pt idx="2225">
                  <c:v>36.6</c:v>
                </c:pt>
                <c:pt idx="2226">
                  <c:v>36.76</c:v>
                </c:pt>
                <c:pt idx="2227">
                  <c:v>36.76</c:v>
                </c:pt>
                <c:pt idx="2228">
                  <c:v>36.51</c:v>
                </c:pt>
                <c:pt idx="2229">
                  <c:v>36.299999999999997</c:v>
                </c:pt>
                <c:pt idx="2230">
                  <c:v>36.6</c:v>
                </c:pt>
                <c:pt idx="2231">
                  <c:v>36.799999999999997</c:v>
                </c:pt>
                <c:pt idx="2232">
                  <c:v>36.78</c:v>
                </c:pt>
                <c:pt idx="2233">
                  <c:v>35.549999999999997</c:v>
                </c:pt>
                <c:pt idx="2234">
                  <c:v>35.79</c:v>
                </c:pt>
                <c:pt idx="2235">
                  <c:v>35.33</c:v>
                </c:pt>
                <c:pt idx="2236">
                  <c:v>34.229999999999997</c:v>
                </c:pt>
                <c:pt idx="2237">
                  <c:v>34.4</c:v>
                </c:pt>
                <c:pt idx="2238">
                  <c:v>34.17</c:v>
                </c:pt>
                <c:pt idx="2239">
                  <c:v>31.94</c:v>
                </c:pt>
                <c:pt idx="2240">
                  <c:v>32.17</c:v>
                </c:pt>
                <c:pt idx="2241">
                  <c:v>32.08</c:v>
                </c:pt>
                <c:pt idx="2242">
                  <c:v>33.380000000000003</c:v>
                </c:pt>
                <c:pt idx="2243">
                  <c:v>34.58</c:v>
                </c:pt>
                <c:pt idx="2244">
                  <c:v>33.9</c:v>
                </c:pt>
                <c:pt idx="2245">
                  <c:v>32.89</c:v>
                </c:pt>
                <c:pt idx="2246">
                  <c:v>32.67</c:v>
                </c:pt>
                <c:pt idx="2247">
                  <c:v>32.96</c:v>
                </c:pt>
                <c:pt idx="2248">
                  <c:v>32.700000000000003</c:v>
                </c:pt>
                <c:pt idx="2249">
                  <c:v>31.72</c:v>
                </c:pt>
                <c:pt idx="2250">
                  <c:v>30.55</c:v>
                </c:pt>
                <c:pt idx="2251">
                  <c:v>30.15</c:v>
                </c:pt>
                <c:pt idx="2252">
                  <c:v>29.17</c:v>
                </c:pt>
                <c:pt idx="2253">
                  <c:v>29.23</c:v>
                </c:pt>
                <c:pt idx="2254">
                  <c:v>29.16</c:v>
                </c:pt>
                <c:pt idx="2255">
                  <c:v>29.34</c:v>
                </c:pt>
                <c:pt idx="2256">
                  <c:v>29.9</c:v>
                </c:pt>
                <c:pt idx="2257">
                  <c:v>30.11</c:v>
                </c:pt>
                <c:pt idx="2258">
                  <c:v>29</c:v>
                </c:pt>
                <c:pt idx="2259">
                  <c:v>29.98</c:v>
                </c:pt>
                <c:pt idx="2260">
                  <c:v>30.05</c:v>
                </c:pt>
                <c:pt idx="2261">
                  <c:v>29.73</c:v>
                </c:pt>
                <c:pt idx="2262">
                  <c:v>28.63</c:v>
                </c:pt>
                <c:pt idx="2263">
                  <c:v>28.46</c:v>
                </c:pt>
                <c:pt idx="2264">
                  <c:v>29.9</c:v>
                </c:pt>
                <c:pt idx="2265">
                  <c:v>31.28</c:v>
                </c:pt>
                <c:pt idx="2266">
                  <c:v>31.41</c:v>
                </c:pt>
                <c:pt idx="2267">
                  <c:v>30</c:v>
                </c:pt>
                <c:pt idx="2268">
                  <c:v>30.3</c:v>
                </c:pt>
                <c:pt idx="2269">
                  <c:v>30.57</c:v>
                </c:pt>
                <c:pt idx="2270">
                  <c:v>30.91</c:v>
                </c:pt>
                <c:pt idx="2271">
                  <c:v>31.72</c:v>
                </c:pt>
                <c:pt idx="2272">
                  <c:v>31.03</c:v>
                </c:pt>
                <c:pt idx="2273">
                  <c:v>31.73</c:v>
                </c:pt>
                <c:pt idx="2274">
                  <c:v>31.53</c:v>
                </c:pt>
                <c:pt idx="2275">
                  <c:v>32.46</c:v>
                </c:pt>
                <c:pt idx="2276">
                  <c:v>33.020000000000003</c:v>
                </c:pt>
                <c:pt idx="2277">
                  <c:v>31.87</c:v>
                </c:pt>
                <c:pt idx="2278">
                  <c:v>31.18</c:v>
                </c:pt>
                <c:pt idx="2279">
                  <c:v>30.39</c:v>
                </c:pt>
                <c:pt idx="2280">
                  <c:v>30.8</c:v>
                </c:pt>
                <c:pt idx="2281">
                  <c:v>31.34</c:v>
                </c:pt>
                <c:pt idx="2282">
                  <c:v>31.57</c:v>
                </c:pt>
                <c:pt idx="2283">
                  <c:v>31.66</c:v>
                </c:pt>
                <c:pt idx="2284">
                  <c:v>31.77</c:v>
                </c:pt>
                <c:pt idx="2285">
                  <c:v>31.5</c:v>
                </c:pt>
                <c:pt idx="2286">
                  <c:v>31.87</c:v>
                </c:pt>
                <c:pt idx="2287">
                  <c:v>31.3</c:v>
                </c:pt>
                <c:pt idx="2288">
                  <c:v>31.5</c:v>
                </c:pt>
                <c:pt idx="2289">
                  <c:v>30.55</c:v>
                </c:pt>
                <c:pt idx="2290">
                  <c:v>28.6</c:v>
                </c:pt>
                <c:pt idx="2291">
                  <c:v>30.03</c:v>
                </c:pt>
                <c:pt idx="2292">
                  <c:v>30.3</c:v>
                </c:pt>
                <c:pt idx="2293">
                  <c:v>30.35</c:v>
                </c:pt>
                <c:pt idx="2294">
                  <c:v>30.45</c:v>
                </c:pt>
                <c:pt idx="2295">
                  <c:v>30.66</c:v>
                </c:pt>
                <c:pt idx="2296">
                  <c:v>28.55</c:v>
                </c:pt>
                <c:pt idx="2297">
                  <c:v>28.96</c:v>
                </c:pt>
                <c:pt idx="2298">
                  <c:v>30.01</c:v>
                </c:pt>
                <c:pt idx="2299">
                  <c:v>30.38</c:v>
                </c:pt>
                <c:pt idx="2300">
                  <c:v>30.97</c:v>
                </c:pt>
                <c:pt idx="2301">
                  <c:v>30.84</c:v>
                </c:pt>
                <c:pt idx="2302">
                  <c:v>31.03</c:v>
                </c:pt>
                <c:pt idx="2303">
                  <c:v>30.53</c:v>
                </c:pt>
                <c:pt idx="2304">
                  <c:v>30.61</c:v>
                </c:pt>
                <c:pt idx="2305">
                  <c:v>30.16</c:v>
                </c:pt>
                <c:pt idx="2306">
                  <c:v>30.33</c:v>
                </c:pt>
                <c:pt idx="2307">
                  <c:v>30.67</c:v>
                </c:pt>
                <c:pt idx="2308">
                  <c:v>29.85</c:v>
                </c:pt>
                <c:pt idx="2309">
                  <c:v>30.24</c:v>
                </c:pt>
                <c:pt idx="2310">
                  <c:v>30.64</c:v>
                </c:pt>
                <c:pt idx="2311">
                  <c:v>30.61</c:v>
                </c:pt>
                <c:pt idx="2312">
                  <c:v>30.47</c:v>
                </c:pt>
                <c:pt idx="2313">
                  <c:v>30.74</c:v>
                </c:pt>
                <c:pt idx="2314">
                  <c:v>30.75</c:v>
                </c:pt>
                <c:pt idx="2315">
                  <c:v>30.67</c:v>
                </c:pt>
                <c:pt idx="2316">
                  <c:v>30.51</c:v>
                </c:pt>
                <c:pt idx="2317">
                  <c:v>30.6</c:v>
                </c:pt>
                <c:pt idx="2318">
                  <c:v>32.17</c:v>
                </c:pt>
                <c:pt idx="2319">
                  <c:v>32.5</c:v>
                </c:pt>
                <c:pt idx="2320">
                  <c:v>32.19</c:v>
                </c:pt>
                <c:pt idx="2321">
                  <c:v>32.69</c:v>
                </c:pt>
                <c:pt idx="2322">
                  <c:v>34</c:v>
                </c:pt>
                <c:pt idx="2323">
                  <c:v>34.409999999999997</c:v>
                </c:pt>
                <c:pt idx="2324">
                  <c:v>33.82</c:v>
                </c:pt>
                <c:pt idx="2325">
                  <c:v>32.56</c:v>
                </c:pt>
                <c:pt idx="2326">
                  <c:v>33.76</c:v>
                </c:pt>
                <c:pt idx="2327">
                  <c:v>34.200000000000003</c:v>
                </c:pt>
                <c:pt idx="2328">
                  <c:v>34.5</c:v>
                </c:pt>
                <c:pt idx="2329">
                  <c:v>35.47</c:v>
                </c:pt>
                <c:pt idx="2330">
                  <c:v>35.04</c:v>
                </c:pt>
                <c:pt idx="2331">
                  <c:v>36.01</c:v>
                </c:pt>
                <c:pt idx="2332">
                  <c:v>35.85</c:v>
                </c:pt>
                <c:pt idx="2333">
                  <c:v>35.96</c:v>
                </c:pt>
                <c:pt idx="2334">
                  <c:v>35.97</c:v>
                </c:pt>
                <c:pt idx="2335">
                  <c:v>35.31</c:v>
                </c:pt>
                <c:pt idx="2336">
                  <c:v>33.630000000000003</c:v>
                </c:pt>
                <c:pt idx="2337">
                  <c:v>33.28</c:v>
                </c:pt>
                <c:pt idx="2338">
                  <c:v>32.44</c:v>
                </c:pt>
                <c:pt idx="2339">
                  <c:v>32.31</c:v>
                </c:pt>
                <c:pt idx="2340">
                  <c:v>32.35</c:v>
                </c:pt>
                <c:pt idx="2341">
                  <c:v>31.64</c:v>
                </c:pt>
                <c:pt idx="2342">
                  <c:v>31.14</c:v>
                </c:pt>
                <c:pt idx="2343">
                  <c:v>31.71</c:v>
                </c:pt>
                <c:pt idx="2344">
                  <c:v>31.75</c:v>
                </c:pt>
                <c:pt idx="2345">
                  <c:v>31.08</c:v>
                </c:pt>
                <c:pt idx="2346">
                  <c:v>32.42</c:v>
                </c:pt>
                <c:pt idx="2347">
                  <c:v>31.91</c:v>
                </c:pt>
                <c:pt idx="2348">
                  <c:v>31.37</c:v>
                </c:pt>
                <c:pt idx="2349">
                  <c:v>31.8</c:v>
                </c:pt>
                <c:pt idx="2350">
                  <c:v>30.36</c:v>
                </c:pt>
                <c:pt idx="2351">
                  <c:v>30.84</c:v>
                </c:pt>
                <c:pt idx="2352">
                  <c:v>30.87</c:v>
                </c:pt>
                <c:pt idx="2353">
                  <c:v>30.53</c:v>
                </c:pt>
                <c:pt idx="2354">
                  <c:v>31.59</c:v>
                </c:pt>
                <c:pt idx="2355">
                  <c:v>32.72</c:v>
                </c:pt>
                <c:pt idx="2356">
                  <c:v>33.25</c:v>
                </c:pt>
                <c:pt idx="2357">
                  <c:v>32.9</c:v>
                </c:pt>
                <c:pt idx="2358">
                  <c:v>32.909999999999997</c:v>
                </c:pt>
                <c:pt idx="2359">
                  <c:v>33.229999999999997</c:v>
                </c:pt>
                <c:pt idx="2360">
                  <c:v>33.42</c:v>
                </c:pt>
                <c:pt idx="2361">
                  <c:v>33.47</c:v>
                </c:pt>
                <c:pt idx="2362">
                  <c:v>32.54</c:v>
                </c:pt>
                <c:pt idx="2363">
                  <c:v>32.76</c:v>
                </c:pt>
                <c:pt idx="2364">
                  <c:v>32.81</c:v>
                </c:pt>
                <c:pt idx="2365">
                  <c:v>32.81</c:v>
                </c:pt>
                <c:pt idx="2366">
                  <c:v>32.450000000000003</c:v>
                </c:pt>
                <c:pt idx="2367">
                  <c:v>32.5</c:v>
                </c:pt>
                <c:pt idx="2368">
                  <c:v>31.69</c:v>
                </c:pt>
                <c:pt idx="2369">
                  <c:v>32.11</c:v>
                </c:pt>
                <c:pt idx="2370">
                  <c:v>32.25</c:v>
                </c:pt>
                <c:pt idx="2371">
                  <c:v>33.130000000000003</c:v>
                </c:pt>
                <c:pt idx="2372">
                  <c:v>33.020000000000003</c:v>
                </c:pt>
                <c:pt idx="2373">
                  <c:v>32.97</c:v>
                </c:pt>
                <c:pt idx="2374">
                  <c:v>33.130000000000003</c:v>
                </c:pt>
                <c:pt idx="2375">
                  <c:v>33.5</c:v>
                </c:pt>
                <c:pt idx="2376">
                  <c:v>33.340000000000003</c:v>
                </c:pt>
                <c:pt idx="2377">
                  <c:v>33.28</c:v>
                </c:pt>
                <c:pt idx="2378">
                  <c:v>32.89</c:v>
                </c:pt>
                <c:pt idx="2379">
                  <c:v>33.49</c:v>
                </c:pt>
                <c:pt idx="2380">
                  <c:v>33.450000000000003</c:v>
                </c:pt>
                <c:pt idx="2381">
                  <c:v>32.92</c:v>
                </c:pt>
                <c:pt idx="2382">
                  <c:v>38.25</c:v>
                </c:pt>
                <c:pt idx="2383">
                  <c:v>39.68</c:v>
                </c:pt>
                <c:pt idx="2384">
                  <c:v>39.47</c:v>
                </c:pt>
                <c:pt idx="2385">
                  <c:v>39.33</c:v>
                </c:pt>
                <c:pt idx="2386">
                  <c:v>40.39</c:v>
                </c:pt>
                <c:pt idx="2387">
                  <c:v>41.69</c:v>
                </c:pt>
                <c:pt idx="2388">
                  <c:v>42.07</c:v>
                </c:pt>
                <c:pt idx="2389">
                  <c:v>41.35</c:v>
                </c:pt>
                <c:pt idx="2390">
                  <c:v>41.92</c:v>
                </c:pt>
                <c:pt idx="2391">
                  <c:v>42.92</c:v>
                </c:pt>
                <c:pt idx="2392">
                  <c:v>42.57</c:v>
                </c:pt>
                <c:pt idx="2393">
                  <c:v>41.54</c:v>
                </c:pt>
                <c:pt idx="2394">
                  <c:v>41.39</c:v>
                </c:pt>
                <c:pt idx="2395">
                  <c:v>41.81</c:v>
                </c:pt>
                <c:pt idx="2396">
                  <c:v>40.729999999999997</c:v>
                </c:pt>
                <c:pt idx="2397">
                  <c:v>40.93</c:v>
                </c:pt>
                <c:pt idx="2398">
                  <c:v>40.67</c:v>
                </c:pt>
                <c:pt idx="2399">
                  <c:v>41.23</c:v>
                </c:pt>
                <c:pt idx="2400">
                  <c:v>41.4</c:v>
                </c:pt>
                <c:pt idx="2401">
                  <c:v>43.37</c:v>
                </c:pt>
                <c:pt idx="2402">
                  <c:v>43.75</c:v>
                </c:pt>
                <c:pt idx="2403">
                  <c:v>42.73</c:v>
                </c:pt>
                <c:pt idx="2404">
                  <c:v>42.27</c:v>
                </c:pt>
                <c:pt idx="2405">
                  <c:v>42.94</c:v>
                </c:pt>
                <c:pt idx="2406">
                  <c:v>43.35</c:v>
                </c:pt>
                <c:pt idx="2407">
                  <c:v>44.2</c:v>
                </c:pt>
                <c:pt idx="2408">
                  <c:v>39.49</c:v>
                </c:pt>
                <c:pt idx="2409">
                  <c:v>38.85</c:v>
                </c:pt>
                <c:pt idx="2410">
                  <c:v>39.090000000000003</c:v>
                </c:pt>
                <c:pt idx="2411">
                  <c:v>38.869999999999997</c:v>
                </c:pt>
                <c:pt idx="2412">
                  <c:v>38.82</c:v>
                </c:pt>
                <c:pt idx="2413">
                  <c:v>39.090000000000003</c:v>
                </c:pt>
                <c:pt idx="2414">
                  <c:v>40.409999999999997</c:v>
                </c:pt>
                <c:pt idx="2415">
                  <c:v>40.98</c:v>
                </c:pt>
                <c:pt idx="2416">
                  <c:v>40.78</c:v>
                </c:pt>
                <c:pt idx="2417">
                  <c:v>41.5</c:v>
                </c:pt>
                <c:pt idx="2418">
                  <c:v>40.22</c:v>
                </c:pt>
                <c:pt idx="2419">
                  <c:v>41.86</c:v>
                </c:pt>
                <c:pt idx="2420">
                  <c:v>41</c:v>
                </c:pt>
                <c:pt idx="2421">
                  <c:v>41.01</c:v>
                </c:pt>
                <c:pt idx="2422">
                  <c:v>40.869999999999997</c:v>
                </c:pt>
                <c:pt idx="2423">
                  <c:v>39.840000000000003</c:v>
                </c:pt>
                <c:pt idx="2424">
                  <c:v>39.590000000000003</c:v>
                </c:pt>
                <c:pt idx="2425">
                  <c:v>38.94</c:v>
                </c:pt>
                <c:pt idx="2426">
                  <c:v>38.200000000000003</c:v>
                </c:pt>
                <c:pt idx="2427">
                  <c:v>38.99</c:v>
                </c:pt>
                <c:pt idx="2428">
                  <c:v>38.72</c:v>
                </c:pt>
                <c:pt idx="2429">
                  <c:v>38.61</c:v>
                </c:pt>
                <c:pt idx="2430">
                  <c:v>38.130000000000003</c:v>
                </c:pt>
                <c:pt idx="2431">
                  <c:v>38</c:v>
                </c:pt>
                <c:pt idx="2432">
                  <c:v>37.909999999999997</c:v>
                </c:pt>
                <c:pt idx="2433">
                  <c:v>37.68</c:v>
                </c:pt>
                <c:pt idx="2434">
                  <c:v>38</c:v>
                </c:pt>
                <c:pt idx="2435">
                  <c:v>38.26</c:v>
                </c:pt>
                <c:pt idx="2436">
                  <c:v>38.21</c:v>
                </c:pt>
                <c:pt idx="2437">
                  <c:v>37.82</c:v>
                </c:pt>
                <c:pt idx="2438">
                  <c:v>37.28</c:v>
                </c:pt>
                <c:pt idx="2439">
                  <c:v>37.43</c:v>
                </c:pt>
                <c:pt idx="2440">
                  <c:v>36.840000000000003</c:v>
                </c:pt>
                <c:pt idx="2441">
                  <c:v>36.119999999999997</c:v>
                </c:pt>
                <c:pt idx="2442">
                  <c:v>35.56</c:v>
                </c:pt>
                <c:pt idx="2443">
                  <c:v>28</c:v>
                </c:pt>
                <c:pt idx="2444">
                  <c:v>27.21</c:v>
                </c:pt>
                <c:pt idx="2445">
                  <c:v>27.64</c:v>
                </c:pt>
                <c:pt idx="2446">
                  <c:v>28.37</c:v>
                </c:pt>
                <c:pt idx="2447">
                  <c:v>27.51</c:v>
                </c:pt>
                <c:pt idx="2448">
                  <c:v>26.14</c:v>
                </c:pt>
                <c:pt idx="2449">
                  <c:v>26.97</c:v>
                </c:pt>
                <c:pt idx="2450">
                  <c:v>26.08</c:v>
                </c:pt>
                <c:pt idx="2451">
                  <c:v>26.41</c:v>
                </c:pt>
                <c:pt idx="2452">
                  <c:v>26.5</c:v>
                </c:pt>
                <c:pt idx="2453">
                  <c:v>26.44</c:v>
                </c:pt>
                <c:pt idx="2454">
                  <c:v>26.75</c:v>
                </c:pt>
                <c:pt idx="2455">
                  <c:v>27.53</c:v>
                </c:pt>
                <c:pt idx="2456">
                  <c:v>27.78</c:v>
                </c:pt>
                <c:pt idx="2457">
                  <c:v>27.68</c:v>
                </c:pt>
                <c:pt idx="2458">
                  <c:v>27.53</c:v>
                </c:pt>
                <c:pt idx="2459">
                  <c:v>26.9</c:v>
                </c:pt>
                <c:pt idx="2460">
                  <c:v>27.28</c:v>
                </c:pt>
                <c:pt idx="2461">
                  <c:v>27.9</c:v>
                </c:pt>
                <c:pt idx="2462">
                  <c:v>27.51</c:v>
                </c:pt>
                <c:pt idx="2463">
                  <c:v>27.58</c:v>
                </c:pt>
                <c:pt idx="2464">
                  <c:v>27.5</c:v>
                </c:pt>
                <c:pt idx="2465">
                  <c:v>28.18</c:v>
                </c:pt>
                <c:pt idx="2466">
                  <c:v>27.56</c:v>
                </c:pt>
                <c:pt idx="2467">
                  <c:v>27.53</c:v>
                </c:pt>
                <c:pt idx="2468">
                  <c:v>28.37</c:v>
                </c:pt>
                <c:pt idx="2469">
                  <c:v>29.55</c:v>
                </c:pt>
                <c:pt idx="2470">
                  <c:v>29.82</c:v>
                </c:pt>
                <c:pt idx="2471">
                  <c:v>31.1</c:v>
                </c:pt>
                <c:pt idx="2472">
                  <c:v>31.21</c:v>
                </c:pt>
                <c:pt idx="2473">
                  <c:v>31.17</c:v>
                </c:pt>
                <c:pt idx="2474">
                  <c:v>32.270000000000003</c:v>
                </c:pt>
                <c:pt idx="2475">
                  <c:v>31.92</c:v>
                </c:pt>
                <c:pt idx="2476">
                  <c:v>31.19</c:v>
                </c:pt>
                <c:pt idx="2477">
                  <c:v>30.64</c:v>
                </c:pt>
                <c:pt idx="2478">
                  <c:v>30.05</c:v>
                </c:pt>
                <c:pt idx="2479">
                  <c:v>29.65</c:v>
                </c:pt>
                <c:pt idx="2480">
                  <c:v>28.9</c:v>
                </c:pt>
                <c:pt idx="2481">
                  <c:v>29</c:v>
                </c:pt>
                <c:pt idx="2482">
                  <c:v>29.38</c:v>
                </c:pt>
                <c:pt idx="2483">
                  <c:v>29.14</c:v>
                </c:pt>
                <c:pt idx="2484">
                  <c:v>28.3</c:v>
                </c:pt>
                <c:pt idx="2485">
                  <c:v>28.35</c:v>
                </c:pt>
                <c:pt idx="2486">
                  <c:v>29.41</c:v>
                </c:pt>
                <c:pt idx="2487">
                  <c:v>29.19</c:v>
                </c:pt>
                <c:pt idx="2488">
                  <c:v>28.5</c:v>
                </c:pt>
                <c:pt idx="2489">
                  <c:v>28.8</c:v>
                </c:pt>
                <c:pt idx="2490">
                  <c:v>28.94</c:v>
                </c:pt>
                <c:pt idx="2491">
                  <c:v>29.56</c:v>
                </c:pt>
                <c:pt idx="2492">
                  <c:v>29.41</c:v>
                </c:pt>
                <c:pt idx="2493">
                  <c:v>29.89</c:v>
                </c:pt>
                <c:pt idx="2494">
                  <c:v>30.33</c:v>
                </c:pt>
                <c:pt idx="2495">
                  <c:v>30.41</c:v>
                </c:pt>
                <c:pt idx="2496">
                  <c:v>29.43</c:v>
                </c:pt>
                <c:pt idx="2497">
                  <c:v>29.01</c:v>
                </c:pt>
                <c:pt idx="2498">
                  <c:v>29.06</c:v>
                </c:pt>
                <c:pt idx="2499">
                  <c:v>29.45</c:v>
                </c:pt>
                <c:pt idx="2500">
                  <c:v>29.66</c:v>
                </c:pt>
                <c:pt idx="2501">
                  <c:v>30.05</c:v>
                </c:pt>
                <c:pt idx="2502">
                  <c:v>29.39</c:v>
                </c:pt>
                <c:pt idx="2503">
                  <c:v>29.25</c:v>
                </c:pt>
                <c:pt idx="2504">
                  <c:v>28.53</c:v>
                </c:pt>
                <c:pt idx="2505">
                  <c:v>28.94</c:v>
                </c:pt>
                <c:pt idx="2506">
                  <c:v>31.15</c:v>
                </c:pt>
                <c:pt idx="2507">
                  <c:v>31.08</c:v>
                </c:pt>
                <c:pt idx="2508">
                  <c:v>31.5</c:v>
                </c:pt>
                <c:pt idx="2509">
                  <c:v>31.35</c:v>
                </c:pt>
                <c:pt idx="2510">
                  <c:v>30.91</c:v>
                </c:pt>
                <c:pt idx="2511">
                  <c:v>31.07</c:v>
                </c:pt>
                <c:pt idx="2512">
                  <c:v>31.12</c:v>
                </c:pt>
                <c:pt idx="2513">
                  <c:v>31.02</c:v>
                </c:pt>
                <c:pt idx="2514">
                  <c:v>29.83</c:v>
                </c:pt>
                <c:pt idx="2515">
                  <c:v>30.52</c:v>
                </c:pt>
                <c:pt idx="2516">
                  <c:v>30.67</c:v>
                </c:pt>
                <c:pt idx="2517">
                  <c:v>28.18</c:v>
                </c:pt>
                <c:pt idx="2518">
                  <c:v>27.56</c:v>
                </c:pt>
                <c:pt idx="2519">
                  <c:v>27.53</c:v>
                </c:pt>
                <c:pt idx="2520">
                  <c:v>28.37</c:v>
                </c:pt>
                <c:pt idx="2521">
                  <c:v>29.55</c:v>
                </c:pt>
                <c:pt idx="2522">
                  <c:v>29.82</c:v>
                </c:pt>
                <c:pt idx="2523">
                  <c:v>31.1</c:v>
                </c:pt>
                <c:pt idx="2524">
                  <c:v>31.21</c:v>
                </c:pt>
                <c:pt idx="2525">
                  <c:v>31.17</c:v>
                </c:pt>
                <c:pt idx="2526">
                  <c:v>32.270000000000003</c:v>
                </c:pt>
                <c:pt idx="2527">
                  <c:v>31.92</c:v>
                </c:pt>
                <c:pt idx="2528">
                  <c:v>31.19</c:v>
                </c:pt>
                <c:pt idx="2529">
                  <c:v>30.64</c:v>
                </c:pt>
                <c:pt idx="2530">
                  <c:v>30.05</c:v>
                </c:pt>
                <c:pt idx="2531">
                  <c:v>29.65</c:v>
                </c:pt>
                <c:pt idx="2532">
                  <c:v>28.9</c:v>
                </c:pt>
                <c:pt idx="2533">
                  <c:v>29</c:v>
                </c:pt>
                <c:pt idx="2534">
                  <c:v>29.38</c:v>
                </c:pt>
                <c:pt idx="2535">
                  <c:v>29.14</c:v>
                </c:pt>
                <c:pt idx="2536">
                  <c:v>28.3</c:v>
                </c:pt>
                <c:pt idx="2537">
                  <c:v>28.35</c:v>
                </c:pt>
                <c:pt idx="2538">
                  <c:v>29.41</c:v>
                </c:pt>
                <c:pt idx="2539">
                  <c:v>29.19</c:v>
                </c:pt>
                <c:pt idx="2540">
                  <c:v>28.5</c:v>
                </c:pt>
                <c:pt idx="2541">
                  <c:v>28.8</c:v>
                </c:pt>
                <c:pt idx="2542">
                  <c:v>28.94</c:v>
                </c:pt>
                <c:pt idx="2543">
                  <c:v>29.56</c:v>
                </c:pt>
                <c:pt idx="2544">
                  <c:v>29.41</c:v>
                </c:pt>
                <c:pt idx="2545">
                  <c:v>29.89</c:v>
                </c:pt>
                <c:pt idx="2546">
                  <c:v>30.33</c:v>
                </c:pt>
                <c:pt idx="2547">
                  <c:v>30.41</c:v>
                </c:pt>
                <c:pt idx="2548">
                  <c:v>29.43</c:v>
                </c:pt>
                <c:pt idx="2549">
                  <c:v>29.01</c:v>
                </c:pt>
                <c:pt idx="2550">
                  <c:v>29.06</c:v>
                </c:pt>
                <c:pt idx="2551">
                  <c:v>29.45</c:v>
                </c:pt>
                <c:pt idx="2552">
                  <c:v>29.66</c:v>
                </c:pt>
                <c:pt idx="2553">
                  <c:v>30.05</c:v>
                </c:pt>
                <c:pt idx="2554">
                  <c:v>29.39</c:v>
                </c:pt>
                <c:pt idx="2555">
                  <c:v>29.25</c:v>
                </c:pt>
                <c:pt idx="2556">
                  <c:v>28.53</c:v>
                </c:pt>
                <c:pt idx="2557">
                  <c:v>28.94</c:v>
                </c:pt>
                <c:pt idx="2558">
                  <c:v>31.15</c:v>
                </c:pt>
                <c:pt idx="2559">
                  <c:v>31.08</c:v>
                </c:pt>
                <c:pt idx="2560">
                  <c:v>31.5</c:v>
                </c:pt>
                <c:pt idx="2561">
                  <c:v>31.35</c:v>
                </c:pt>
                <c:pt idx="2562">
                  <c:v>30.91</c:v>
                </c:pt>
                <c:pt idx="2563">
                  <c:v>31.07</c:v>
                </c:pt>
                <c:pt idx="2564">
                  <c:v>31.12</c:v>
                </c:pt>
                <c:pt idx="2565">
                  <c:v>31.02</c:v>
                </c:pt>
                <c:pt idx="2566">
                  <c:v>29.83</c:v>
                </c:pt>
                <c:pt idx="2567">
                  <c:v>30.52</c:v>
                </c:pt>
                <c:pt idx="2568">
                  <c:v>30.67</c:v>
                </c:pt>
              </c:numCache>
            </c:numRef>
          </c:val>
          <c:smooth val="0"/>
          <c:extLst>
            <c:ext xmlns:c16="http://schemas.microsoft.com/office/drawing/2014/chart" uri="{C3380CC4-5D6E-409C-BE32-E72D297353CC}">
              <c16:uniqueId val="{00000000-8CA5-4CDF-81A5-8AC07446BACA}"/>
            </c:ext>
          </c:extLst>
        </c:ser>
        <c:dLbls>
          <c:showLegendKey val="0"/>
          <c:showVal val="0"/>
          <c:showCatName val="0"/>
          <c:showSerName val="0"/>
          <c:showPercent val="0"/>
          <c:showBubbleSize val="0"/>
        </c:dLbls>
        <c:smooth val="0"/>
        <c:axId val="643171800"/>
        <c:axId val="643174424"/>
      </c:lineChart>
      <c:catAx>
        <c:axId val="643171800"/>
        <c:scaling>
          <c:orientation val="minMax"/>
        </c:scaling>
        <c:delete val="0"/>
        <c:axPos val="b"/>
        <c:numFmt formatCode="yy"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174424"/>
        <c:crosses val="autoZero"/>
        <c:auto val="1"/>
        <c:lblAlgn val="ctr"/>
        <c:lblOffset val="100"/>
        <c:noMultiLvlLbl val="0"/>
      </c:catAx>
      <c:valAx>
        <c:axId val="643174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171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'IR and Writeup'!$B$29</c:f>
              <c:strCache>
                <c:ptCount val="1"/>
                <c:pt idx="0">
                  <c:v>TEV/EBITDA</c:v>
                </c:pt>
              </c:strCache>
            </c:strRef>
          </c:tx>
          <c:spPr>
            <a:ln w="28575" cap="rnd">
              <a:solidFill>
                <a:schemeClr val="accent1"/>
              </a:solidFill>
              <a:round/>
            </a:ln>
            <a:effectLst/>
          </c:spPr>
          <c:marker>
            <c:symbol val="none"/>
          </c:marker>
          <c:cat>
            <c:strRef>
              <c:f>'IR and Writeup'!$C$25:$V$25</c:f>
              <c:strCache>
                <c:ptCount val="20"/>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pt idx="14">
                  <c:v>24</c:v>
                </c:pt>
                <c:pt idx="15">
                  <c:v>25</c:v>
                </c:pt>
                <c:pt idx="16">
                  <c:v>26</c:v>
                </c:pt>
                <c:pt idx="17">
                  <c:v>27</c:v>
                </c:pt>
                <c:pt idx="18">
                  <c:v>28</c:v>
                </c:pt>
                <c:pt idx="19">
                  <c:v>29</c:v>
                </c:pt>
              </c:strCache>
            </c:strRef>
          </c:cat>
          <c:val>
            <c:numRef>
              <c:f>'IR and Writeup'!$C$29:$V$29</c:f>
              <c:numCache>
                <c:formatCode>_(* #,##0.00_);_(* \(#,##0.00\);_(* "-"??_);_(@_)</c:formatCode>
                <c:ptCount val="20"/>
                <c:pt idx="0">
                  <c:v>17.699798306605359</c:v>
                </c:pt>
                <c:pt idx="1">
                  <c:v>15.9772518890568</c:v>
                </c:pt>
                <c:pt idx="2">
                  <c:v>16.98887184476613</c:v>
                </c:pt>
                <c:pt idx="3">
                  <c:v>11.103721079463993</c:v>
                </c:pt>
                <c:pt idx="4">
                  <c:v>18.151243437230008</c:v>
                </c:pt>
                <c:pt idx="5">
                  <c:v>12.091142241065585</c:v>
                </c:pt>
                <c:pt idx="6">
                  <c:v>13.716678248867598</c:v>
                </c:pt>
                <c:pt idx="7">
                  <c:v>9.5721347856264298</c:v>
                </c:pt>
                <c:pt idx="8">
                  <c:v>15.888436318624347</c:v>
                </c:pt>
                <c:pt idx="9">
                  <c:v>12.376989849178756</c:v>
                </c:pt>
                <c:pt idx="10">
                  <c:v>12.75926110542656</c:v>
                </c:pt>
                <c:pt idx="11">
                  <c:v>12.75926110542656</c:v>
                </c:pt>
                <c:pt idx="12">
                  <c:v>12.75926110542656</c:v>
                </c:pt>
                <c:pt idx="13">
                  <c:v>12.75926110542656</c:v>
                </c:pt>
                <c:pt idx="14">
                  <c:v>12.75926110542656</c:v>
                </c:pt>
                <c:pt idx="15">
                  <c:v>12.75926110542656</c:v>
                </c:pt>
                <c:pt idx="16">
                  <c:v>12.75926110542656</c:v>
                </c:pt>
                <c:pt idx="17">
                  <c:v>12.75926110542656</c:v>
                </c:pt>
                <c:pt idx="18">
                  <c:v>12.75926110542656</c:v>
                </c:pt>
                <c:pt idx="19">
                  <c:v>12.75926110542656</c:v>
                </c:pt>
              </c:numCache>
            </c:numRef>
          </c:val>
          <c:smooth val="0"/>
          <c:extLst>
            <c:ext xmlns:c16="http://schemas.microsoft.com/office/drawing/2014/chart" uri="{C3380CC4-5D6E-409C-BE32-E72D297353CC}">
              <c16:uniqueId val="{00000000-03B3-4712-8849-BBE0DEE971BC}"/>
            </c:ext>
          </c:extLst>
        </c:ser>
        <c:dLbls>
          <c:showLegendKey val="0"/>
          <c:showVal val="0"/>
          <c:showCatName val="0"/>
          <c:showSerName val="0"/>
          <c:showPercent val="0"/>
          <c:showBubbleSize val="0"/>
        </c:dLbls>
        <c:smooth val="0"/>
        <c:axId val="679971112"/>
        <c:axId val="679970784"/>
      </c:lineChart>
      <c:catAx>
        <c:axId val="679971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0784"/>
        <c:crosses val="autoZero"/>
        <c:auto val="1"/>
        <c:lblAlgn val="ctr"/>
        <c:lblOffset val="100"/>
        <c:noMultiLvlLbl val="0"/>
      </c:catAx>
      <c:valAx>
        <c:axId val="679970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9971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190500</xdr:colOff>
      <xdr:row>2</xdr:row>
      <xdr:rowOff>152400</xdr:rowOff>
    </xdr:from>
    <xdr:ext cx="2352675" cy="904875"/>
    <xdr:pic>
      <xdr:nvPicPr>
        <xdr:cNvPr id="6" name="Picture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571500" y="533400"/>
          <a:ext cx="2352675" cy="904875"/>
        </a:xfrm>
        <a:prstGeom prst="rect">
          <a:avLst/>
        </a:prstGeom>
        <a:noFill/>
        <a:ln>
          <a:noFill/>
        </a:ln>
      </xdr:spPr>
    </xdr:pic>
    <xdr:clientData/>
  </xdr:oneCellAnchor>
  <xdr:oneCellAnchor>
    <xdr:from>
      <xdr:col>16</xdr:col>
      <xdr:colOff>304800</xdr:colOff>
      <xdr:row>33</xdr:row>
      <xdr:rowOff>76200</xdr:rowOff>
    </xdr:from>
    <xdr:ext cx="333375" cy="371475"/>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839825" y="7172325"/>
          <a:ext cx="333375" cy="3714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9525</xdr:colOff>
      <xdr:row>40</xdr:row>
      <xdr:rowOff>142875</xdr:rowOff>
    </xdr:from>
    <xdr:to>
      <xdr:col>5</xdr:col>
      <xdr:colOff>104775</xdr:colOff>
      <xdr:row>52</xdr:row>
      <xdr:rowOff>114300</xdr:rowOff>
    </xdr:to>
    <xdr:graphicFrame macro="">
      <xdr:nvGraphicFramePr>
        <xdr:cNvPr id="2" name="Chart 1">
          <a:extLst>
            <a:ext uri="{FF2B5EF4-FFF2-40B4-BE49-F238E27FC236}">
              <a16:creationId xmlns:a16="http://schemas.microsoft.com/office/drawing/2014/main" id="{EED2DFCC-F0EC-4A08-B06F-EC755D423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161924</xdr:colOff>
      <xdr:row>41</xdr:row>
      <xdr:rowOff>19050</xdr:rowOff>
    </xdr:from>
    <xdr:to>
      <xdr:col>9</xdr:col>
      <xdr:colOff>561974</xdr:colOff>
      <xdr:row>52</xdr:row>
      <xdr:rowOff>142875</xdr:rowOff>
    </xdr:to>
    <xdr:graphicFrame macro="">
      <xdr:nvGraphicFramePr>
        <xdr:cNvPr id="3" name="Chart 2">
          <a:extLst>
            <a:ext uri="{FF2B5EF4-FFF2-40B4-BE49-F238E27FC236}">
              <a16:creationId xmlns:a16="http://schemas.microsoft.com/office/drawing/2014/main" id="{F45A7D4A-969B-44D3-A377-523C1589E8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171450</xdr:colOff>
      <xdr:row>53</xdr:row>
      <xdr:rowOff>47625</xdr:rowOff>
    </xdr:from>
    <xdr:to>
      <xdr:col>9</xdr:col>
      <xdr:colOff>561975</xdr:colOff>
      <xdr:row>64</xdr:row>
      <xdr:rowOff>142875</xdr:rowOff>
    </xdr:to>
    <xdr:graphicFrame macro="">
      <xdr:nvGraphicFramePr>
        <xdr:cNvPr id="4" name="Chart 3">
          <a:extLst>
            <a:ext uri="{FF2B5EF4-FFF2-40B4-BE49-F238E27FC236}">
              <a16:creationId xmlns:a16="http://schemas.microsoft.com/office/drawing/2014/main" id="{65BFC519-1BCE-4CB3-A308-B9D8691F2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9525</xdr:colOff>
      <xdr:row>53</xdr:row>
      <xdr:rowOff>76200</xdr:rowOff>
    </xdr:from>
    <xdr:to>
      <xdr:col>5</xdr:col>
      <xdr:colOff>104775</xdr:colOff>
      <xdr:row>65</xdr:row>
      <xdr:rowOff>28575</xdr:rowOff>
    </xdr:to>
    <xdr:graphicFrame macro="">
      <xdr:nvGraphicFramePr>
        <xdr:cNvPr id="5" name="Chart 4">
          <a:extLst>
            <a:ext uri="{FF2B5EF4-FFF2-40B4-BE49-F238E27FC236}">
              <a16:creationId xmlns:a16="http://schemas.microsoft.com/office/drawing/2014/main" id="{E2EE5449-A8CC-47B9-8D24-96477AA7D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0.53292</cdr:x>
      <cdr:y>0.14815</cdr:y>
    </cdr:from>
    <cdr:to>
      <cdr:x>0.53292</cdr:x>
      <cdr:y>0.7672</cdr:y>
    </cdr:to>
    <cdr:cxnSp macro="">
      <cdr:nvCxnSpPr>
        <cdr:cNvPr id="3" name="Straight Connector 2">
          <a:extLst xmlns:a="http://schemas.openxmlformats.org/drawingml/2006/main">
            <a:ext uri="{FF2B5EF4-FFF2-40B4-BE49-F238E27FC236}">
              <a16:creationId xmlns:a16="http://schemas.microsoft.com/office/drawing/2014/main" id="{1A9CF74C-B212-4D82-A9C2-EF481C42E8B2}"/>
            </a:ext>
          </a:extLst>
        </cdr:cNvPr>
        <cdr:cNvCxnSpPr/>
      </cdr:nvCxnSpPr>
      <cdr:spPr>
        <a:xfrm xmlns:a="http://schemas.openxmlformats.org/drawingml/2006/main" flipV="1">
          <a:off x="1619250" y="266700"/>
          <a:ext cx="0" cy="1114425"/>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1</cdr:x>
      <cdr:y>0.14815</cdr:y>
    </cdr:from>
    <cdr:to>
      <cdr:x>1</cdr:x>
      <cdr:y>0.7672</cdr:y>
    </cdr:to>
    <cdr:cxnSp macro="">
      <cdr:nvCxnSpPr>
        <cdr:cNvPr id="4" name="Straight Connector 3">
          <a:extLst xmlns:a="http://schemas.openxmlformats.org/drawingml/2006/main">
            <a:ext uri="{FF2B5EF4-FFF2-40B4-BE49-F238E27FC236}">
              <a16:creationId xmlns:a16="http://schemas.microsoft.com/office/drawing/2014/main" id="{E5D57278-1F04-49DB-8984-16D7B883200A}"/>
            </a:ext>
          </a:extLst>
        </cdr:cNvPr>
        <cdr:cNvCxnSpPr/>
      </cdr:nvCxnSpPr>
      <cdr:spPr>
        <a:xfrm xmlns:a="http://schemas.openxmlformats.org/drawingml/2006/main" flipV="1">
          <a:off x="3038475" y="266700"/>
          <a:ext cx="0" cy="1114425"/>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4.xml><?xml version="1.0" encoding="utf-8"?>
<c:userShapes xmlns:c="http://schemas.openxmlformats.org/drawingml/2006/chart">
  <cdr:relSizeAnchor xmlns:cdr="http://schemas.openxmlformats.org/drawingml/2006/chartDrawing">
    <cdr:from>
      <cdr:x>0.51925</cdr:x>
      <cdr:y>0.17637</cdr:y>
    </cdr:from>
    <cdr:to>
      <cdr:x>0.51925</cdr:x>
      <cdr:y>0.79541</cdr:y>
    </cdr:to>
    <cdr:cxnSp macro="">
      <cdr:nvCxnSpPr>
        <cdr:cNvPr id="2" name="Straight Connector 1">
          <a:extLst xmlns:a="http://schemas.openxmlformats.org/drawingml/2006/main">
            <a:ext uri="{FF2B5EF4-FFF2-40B4-BE49-F238E27FC236}">
              <a16:creationId xmlns:a16="http://schemas.microsoft.com/office/drawing/2014/main" id="{E917F6CE-E56D-46AE-9BD9-EA52E1860AC8}"/>
            </a:ext>
          </a:extLst>
        </cdr:cNvPr>
        <cdr:cNvCxnSpPr/>
      </cdr:nvCxnSpPr>
      <cdr:spPr>
        <a:xfrm xmlns:a="http://schemas.openxmlformats.org/drawingml/2006/main" flipV="1">
          <a:off x="1498600" y="317500"/>
          <a:ext cx="0" cy="1114425"/>
        </a:xfrm>
        <a:prstGeom xmlns:a="http://schemas.openxmlformats.org/drawingml/2006/main" prst="line">
          <a:avLst/>
        </a:prstGeom>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5.xml><?xml version="1.0" encoding="utf-8"?>
<xdr:wsDr xmlns:xdr="http://schemas.openxmlformats.org/drawingml/2006/spreadsheetDrawing" xmlns:a="http://schemas.openxmlformats.org/drawingml/2006/main">
  <xdr:oneCellAnchor>
    <xdr:from>
      <xdr:col>1</xdr:col>
      <xdr:colOff>304800</xdr:colOff>
      <xdr:row>2</xdr:row>
      <xdr:rowOff>85725</xdr:rowOff>
    </xdr:from>
    <xdr:ext cx="2390775" cy="914400"/>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600075" y="466725"/>
          <a:ext cx="2390775" cy="914400"/>
        </a:xfrm>
        <a:prstGeom prst="rect">
          <a:avLst/>
        </a:prstGeom>
        <a:noFill/>
        <a:ln>
          <a:noFill/>
        </a:ln>
      </xdr:spPr>
    </xdr:pic>
    <xdr:clientData/>
  </xdr:oneCellAnchor>
  <xdr:oneCellAnchor>
    <xdr:from>
      <xdr:col>8</xdr:col>
      <xdr:colOff>228600</xdr:colOff>
      <xdr:row>26</xdr:row>
      <xdr:rowOff>47625</xdr:rowOff>
    </xdr:from>
    <xdr:ext cx="342900" cy="381000"/>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68125" y="5048250"/>
          <a:ext cx="342900" cy="3810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325Research22/Shared%20Documents/ATRO/Pipeline/IR/ATRO%20I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Writeup"/>
      <sheetName val="Earnings Power"/>
      <sheetName val="Metrics_several categories"/>
      <sheetName val="Financials"/>
      <sheetName val="Analysts"/>
      <sheetName val="Holders"/>
      <sheetName val="Profile"/>
      <sheetName val="StockPrices"/>
    </sheetNames>
    <sheetDataSet>
      <sheetData sheetId="0"/>
      <sheetData sheetId="1"/>
      <sheetData sheetId="2">
        <row r="15">
          <cell r="N15">
            <v>9.3240377995458505</v>
          </cell>
        </row>
      </sheetData>
      <sheetData sheetId="3"/>
      <sheetData sheetId="4"/>
      <sheetData sheetId="5"/>
      <sheetData sheetId="6"/>
      <sheetData sheetId="7">
        <row r="1">
          <cell r="E1" t="str">
            <v>Close</v>
          </cell>
        </row>
        <row r="2">
          <cell r="A2">
            <v>40134</v>
          </cell>
          <cell r="E2">
            <v>2.61</v>
          </cell>
        </row>
        <row r="3">
          <cell r="A3">
            <v>40135</v>
          </cell>
          <cell r="E3">
            <v>2.54</v>
          </cell>
        </row>
        <row r="4">
          <cell r="A4">
            <v>40136</v>
          </cell>
          <cell r="E4">
            <v>2.42</v>
          </cell>
        </row>
        <row r="5">
          <cell r="A5">
            <v>40137</v>
          </cell>
          <cell r="E5">
            <v>2.4700000000000002</v>
          </cell>
        </row>
        <row r="6">
          <cell r="A6">
            <v>40140</v>
          </cell>
          <cell r="E6">
            <v>2.44</v>
          </cell>
        </row>
        <row r="7">
          <cell r="A7">
            <v>40141</v>
          </cell>
          <cell r="E7">
            <v>2.44</v>
          </cell>
        </row>
        <row r="8">
          <cell r="A8">
            <v>40142</v>
          </cell>
          <cell r="E8">
            <v>2.44</v>
          </cell>
        </row>
        <row r="9">
          <cell r="A9">
            <v>40144</v>
          </cell>
          <cell r="E9">
            <v>2.35</v>
          </cell>
        </row>
        <row r="10">
          <cell r="A10">
            <v>40147</v>
          </cell>
          <cell r="E10">
            <v>2.42</v>
          </cell>
        </row>
        <row r="11">
          <cell r="A11">
            <v>40148</v>
          </cell>
          <cell r="E11">
            <v>2.4300000000000002</v>
          </cell>
        </row>
        <row r="12">
          <cell r="A12">
            <v>40149</v>
          </cell>
          <cell r="E12">
            <v>2.4700000000000002</v>
          </cell>
        </row>
        <row r="13">
          <cell r="A13">
            <v>40150</v>
          </cell>
          <cell r="E13">
            <v>2.41</v>
          </cell>
        </row>
        <row r="14">
          <cell r="A14">
            <v>40151</v>
          </cell>
          <cell r="E14">
            <v>2.5299999999999998</v>
          </cell>
        </row>
        <row r="15">
          <cell r="A15">
            <v>40154</v>
          </cell>
          <cell r="E15">
            <v>2.63</v>
          </cell>
        </row>
        <row r="16">
          <cell r="A16">
            <v>40155</v>
          </cell>
          <cell r="E16">
            <v>2.65</v>
          </cell>
        </row>
        <row r="17">
          <cell r="A17">
            <v>40156</v>
          </cell>
          <cell r="E17">
            <v>2.75</v>
          </cell>
        </row>
        <row r="18">
          <cell r="A18">
            <v>40157</v>
          </cell>
          <cell r="E18">
            <v>2.59</v>
          </cell>
        </row>
        <row r="19">
          <cell r="A19">
            <v>40158</v>
          </cell>
          <cell r="E19">
            <v>2.61</v>
          </cell>
        </row>
        <row r="20">
          <cell r="A20">
            <v>40161</v>
          </cell>
          <cell r="E20">
            <v>2.77</v>
          </cell>
        </row>
        <row r="21">
          <cell r="A21">
            <v>40162</v>
          </cell>
          <cell r="E21">
            <v>2.79</v>
          </cell>
        </row>
        <row r="22">
          <cell r="A22">
            <v>40163</v>
          </cell>
          <cell r="E22">
            <v>2.76</v>
          </cell>
        </row>
        <row r="23">
          <cell r="A23">
            <v>40164</v>
          </cell>
          <cell r="E23">
            <v>2.71</v>
          </cell>
        </row>
        <row r="24">
          <cell r="A24">
            <v>40165</v>
          </cell>
          <cell r="E24">
            <v>2.83</v>
          </cell>
        </row>
        <row r="25">
          <cell r="A25">
            <v>40168</v>
          </cell>
          <cell r="E25">
            <v>2.83</v>
          </cell>
        </row>
        <row r="26">
          <cell r="A26">
            <v>40169</v>
          </cell>
          <cell r="E26">
            <v>2.74</v>
          </cell>
        </row>
        <row r="27">
          <cell r="A27">
            <v>40170</v>
          </cell>
          <cell r="E27">
            <v>2.7</v>
          </cell>
        </row>
        <row r="28">
          <cell r="A28">
            <v>40171</v>
          </cell>
          <cell r="E28">
            <v>2.76</v>
          </cell>
        </row>
        <row r="29">
          <cell r="A29">
            <v>40175</v>
          </cell>
          <cell r="E29">
            <v>2.69</v>
          </cell>
        </row>
        <row r="30">
          <cell r="A30">
            <v>40176</v>
          </cell>
          <cell r="E30">
            <v>2.6</v>
          </cell>
        </row>
        <row r="31">
          <cell r="A31">
            <v>40177</v>
          </cell>
          <cell r="E31">
            <v>2.61</v>
          </cell>
        </row>
        <row r="32">
          <cell r="A32">
            <v>40178</v>
          </cell>
          <cell r="E32">
            <v>2.62</v>
          </cell>
        </row>
        <row r="33">
          <cell r="A33">
            <v>40182</v>
          </cell>
          <cell r="E33">
            <v>2.83</v>
          </cell>
        </row>
        <row r="34">
          <cell r="A34">
            <v>40183</v>
          </cell>
          <cell r="E34">
            <v>2.75</v>
          </cell>
        </row>
        <row r="35">
          <cell r="A35">
            <v>40184</v>
          </cell>
          <cell r="E35">
            <v>2.67</v>
          </cell>
        </row>
        <row r="36">
          <cell r="A36">
            <v>40185</v>
          </cell>
          <cell r="E36">
            <v>2.7</v>
          </cell>
        </row>
        <row r="37">
          <cell r="A37">
            <v>40186</v>
          </cell>
          <cell r="E37">
            <v>2.71</v>
          </cell>
        </row>
        <row r="38">
          <cell r="A38">
            <v>40189</v>
          </cell>
          <cell r="E38">
            <v>2.69</v>
          </cell>
        </row>
        <row r="39">
          <cell r="A39">
            <v>40190</v>
          </cell>
          <cell r="E39">
            <v>2.69</v>
          </cell>
        </row>
        <row r="40">
          <cell r="A40">
            <v>40191</v>
          </cell>
          <cell r="E40">
            <v>2.7</v>
          </cell>
        </row>
        <row r="41">
          <cell r="A41">
            <v>40192</v>
          </cell>
          <cell r="E41">
            <v>2.59</v>
          </cell>
        </row>
        <row r="42">
          <cell r="A42">
            <v>40193</v>
          </cell>
          <cell r="E42">
            <v>2.4900000000000002</v>
          </cell>
        </row>
        <row r="43">
          <cell r="A43">
            <v>40197</v>
          </cell>
          <cell r="E43">
            <v>2.44</v>
          </cell>
        </row>
        <row r="44">
          <cell r="A44">
            <v>40198</v>
          </cell>
          <cell r="E44">
            <v>2.42</v>
          </cell>
        </row>
        <row r="45">
          <cell r="A45">
            <v>40199</v>
          </cell>
          <cell r="E45">
            <v>2.31</v>
          </cell>
        </row>
        <row r="46">
          <cell r="A46">
            <v>40200</v>
          </cell>
          <cell r="E46">
            <v>2.3199999999999998</v>
          </cell>
        </row>
        <row r="47">
          <cell r="A47">
            <v>40203</v>
          </cell>
          <cell r="E47">
            <v>2.31</v>
          </cell>
        </row>
        <row r="48">
          <cell r="A48">
            <v>40204</v>
          </cell>
          <cell r="E48">
            <v>2.2999999999999998</v>
          </cell>
        </row>
        <row r="49">
          <cell r="A49">
            <v>40205</v>
          </cell>
          <cell r="E49">
            <v>2.36</v>
          </cell>
        </row>
        <row r="50">
          <cell r="A50">
            <v>40206</v>
          </cell>
          <cell r="E50">
            <v>2.4500000000000002</v>
          </cell>
        </row>
        <row r="51">
          <cell r="A51">
            <v>40207</v>
          </cell>
          <cell r="E51">
            <v>2.48</v>
          </cell>
        </row>
        <row r="52">
          <cell r="A52">
            <v>40210</v>
          </cell>
          <cell r="E52">
            <v>2.6</v>
          </cell>
        </row>
        <row r="53">
          <cell r="A53">
            <v>40211</v>
          </cell>
          <cell r="E53">
            <v>2.4700000000000002</v>
          </cell>
        </row>
        <row r="54">
          <cell r="A54">
            <v>40212</v>
          </cell>
          <cell r="E54">
            <v>2.38</v>
          </cell>
        </row>
        <row r="55">
          <cell r="A55">
            <v>40213</v>
          </cell>
          <cell r="E55">
            <v>2.2799999999999998</v>
          </cell>
        </row>
        <row r="56">
          <cell r="A56">
            <v>40214</v>
          </cell>
          <cell r="E56">
            <v>2.33</v>
          </cell>
        </row>
        <row r="57">
          <cell r="A57">
            <v>40217</v>
          </cell>
          <cell r="E57">
            <v>2.3199999999999998</v>
          </cell>
        </row>
        <row r="58">
          <cell r="A58">
            <v>40218</v>
          </cell>
          <cell r="E58">
            <v>2.46</v>
          </cell>
        </row>
        <row r="59">
          <cell r="A59">
            <v>40219</v>
          </cell>
          <cell r="E59">
            <v>2.41</v>
          </cell>
        </row>
        <row r="60">
          <cell r="A60">
            <v>40220</v>
          </cell>
          <cell r="E60">
            <v>2.48</v>
          </cell>
        </row>
        <row r="61">
          <cell r="A61">
            <v>40221</v>
          </cell>
          <cell r="E61">
            <v>2.5099999999999998</v>
          </cell>
        </row>
        <row r="62">
          <cell r="A62">
            <v>40225</v>
          </cell>
          <cell r="E62">
            <v>2.4900000000000002</v>
          </cell>
        </row>
        <row r="63">
          <cell r="A63">
            <v>40226</v>
          </cell>
          <cell r="E63">
            <v>2.5099999999999998</v>
          </cell>
        </row>
        <row r="64">
          <cell r="A64">
            <v>40227</v>
          </cell>
          <cell r="E64">
            <v>2.58</v>
          </cell>
        </row>
        <row r="65">
          <cell r="A65">
            <v>40228</v>
          </cell>
          <cell r="E65">
            <v>2.54</v>
          </cell>
        </row>
        <row r="66">
          <cell r="A66">
            <v>40231</v>
          </cell>
          <cell r="E66">
            <v>2.5299999999999998</v>
          </cell>
        </row>
        <row r="67">
          <cell r="A67">
            <v>40232</v>
          </cell>
          <cell r="E67">
            <v>2.68</v>
          </cell>
        </row>
        <row r="68">
          <cell r="A68">
            <v>40233</v>
          </cell>
          <cell r="E68">
            <v>2.5499999999999998</v>
          </cell>
        </row>
        <row r="69">
          <cell r="A69">
            <v>40234</v>
          </cell>
          <cell r="E69">
            <v>2.58</v>
          </cell>
        </row>
        <row r="70">
          <cell r="A70">
            <v>40235</v>
          </cell>
          <cell r="E70">
            <v>2.69</v>
          </cell>
        </row>
        <row r="71">
          <cell r="A71">
            <v>40238</v>
          </cell>
          <cell r="E71">
            <v>2.73</v>
          </cell>
        </row>
        <row r="72">
          <cell r="A72">
            <v>40239</v>
          </cell>
          <cell r="E72">
            <v>2.71</v>
          </cell>
        </row>
        <row r="73">
          <cell r="A73">
            <v>40240</v>
          </cell>
          <cell r="E73">
            <v>2.71</v>
          </cell>
        </row>
        <row r="74">
          <cell r="A74">
            <v>40241</v>
          </cell>
          <cell r="E74">
            <v>2.73</v>
          </cell>
        </row>
        <row r="75">
          <cell r="A75">
            <v>40242</v>
          </cell>
          <cell r="E75">
            <v>2.82</v>
          </cell>
        </row>
        <row r="76">
          <cell r="A76">
            <v>40245</v>
          </cell>
          <cell r="E76">
            <v>2.81</v>
          </cell>
        </row>
        <row r="77">
          <cell r="A77">
            <v>40246</v>
          </cell>
          <cell r="E77">
            <v>2.83</v>
          </cell>
        </row>
        <row r="78">
          <cell r="A78">
            <v>40247</v>
          </cell>
          <cell r="E78">
            <v>2.83</v>
          </cell>
        </row>
        <row r="79">
          <cell r="A79">
            <v>40248</v>
          </cell>
          <cell r="E79">
            <v>2.88</v>
          </cell>
        </row>
        <row r="80">
          <cell r="A80">
            <v>40249</v>
          </cell>
          <cell r="E80">
            <v>2.9</v>
          </cell>
        </row>
        <row r="81">
          <cell r="A81">
            <v>40252</v>
          </cell>
          <cell r="E81">
            <v>2.91</v>
          </cell>
        </row>
        <row r="82">
          <cell r="A82">
            <v>40253</v>
          </cell>
          <cell r="E82">
            <v>2.92</v>
          </cell>
        </row>
        <row r="83">
          <cell r="A83">
            <v>40254</v>
          </cell>
          <cell r="E83">
            <v>2.88</v>
          </cell>
        </row>
        <row r="84">
          <cell r="A84">
            <v>40255</v>
          </cell>
          <cell r="E84">
            <v>2.86</v>
          </cell>
        </row>
        <row r="85">
          <cell r="A85">
            <v>40256</v>
          </cell>
          <cell r="E85">
            <v>2.88</v>
          </cell>
        </row>
        <row r="86">
          <cell r="A86">
            <v>40259</v>
          </cell>
          <cell r="E86">
            <v>3.01</v>
          </cell>
        </row>
        <row r="87">
          <cell r="A87">
            <v>40260</v>
          </cell>
          <cell r="E87">
            <v>3.03</v>
          </cell>
        </row>
        <row r="88">
          <cell r="A88">
            <v>40261</v>
          </cell>
          <cell r="E88">
            <v>2.95</v>
          </cell>
        </row>
        <row r="89">
          <cell r="A89">
            <v>40262</v>
          </cell>
          <cell r="E89">
            <v>2.93</v>
          </cell>
        </row>
        <row r="90">
          <cell r="A90">
            <v>40263</v>
          </cell>
          <cell r="E90">
            <v>2.97</v>
          </cell>
        </row>
        <row r="91">
          <cell r="A91">
            <v>40266</v>
          </cell>
          <cell r="E91">
            <v>2.99</v>
          </cell>
        </row>
        <row r="92">
          <cell r="A92">
            <v>40267</v>
          </cell>
          <cell r="E92">
            <v>2.99</v>
          </cell>
        </row>
        <row r="93">
          <cell r="A93">
            <v>40268</v>
          </cell>
          <cell r="E93">
            <v>3.01</v>
          </cell>
        </row>
        <row r="94">
          <cell r="A94">
            <v>40269</v>
          </cell>
          <cell r="E94">
            <v>3.08</v>
          </cell>
        </row>
        <row r="95">
          <cell r="A95">
            <v>40273</v>
          </cell>
          <cell r="E95">
            <v>3.15</v>
          </cell>
        </row>
        <row r="96">
          <cell r="A96">
            <v>40274</v>
          </cell>
          <cell r="E96">
            <v>3.54</v>
          </cell>
        </row>
        <row r="97">
          <cell r="A97">
            <v>40275</v>
          </cell>
          <cell r="E97">
            <v>3.92</v>
          </cell>
        </row>
        <row r="98">
          <cell r="A98">
            <v>40276</v>
          </cell>
          <cell r="E98">
            <v>3.95</v>
          </cell>
        </row>
        <row r="99">
          <cell r="A99">
            <v>40277</v>
          </cell>
          <cell r="E99">
            <v>3.9</v>
          </cell>
        </row>
        <row r="100">
          <cell r="A100">
            <v>40280</v>
          </cell>
          <cell r="E100">
            <v>3.87</v>
          </cell>
        </row>
        <row r="101">
          <cell r="A101">
            <v>40281</v>
          </cell>
          <cell r="E101">
            <v>3.87</v>
          </cell>
        </row>
        <row r="102">
          <cell r="A102">
            <v>40282</v>
          </cell>
          <cell r="E102">
            <v>3.87</v>
          </cell>
        </row>
        <row r="103">
          <cell r="A103">
            <v>40283</v>
          </cell>
          <cell r="E103">
            <v>3.89</v>
          </cell>
        </row>
        <row r="104">
          <cell r="A104">
            <v>40284</v>
          </cell>
          <cell r="E104">
            <v>3.87</v>
          </cell>
        </row>
        <row r="105">
          <cell r="A105">
            <v>40287</v>
          </cell>
          <cell r="E105">
            <v>3.87</v>
          </cell>
        </row>
        <row r="106">
          <cell r="A106">
            <v>40288</v>
          </cell>
          <cell r="E106">
            <v>4.0999999999999996</v>
          </cell>
        </row>
        <row r="107">
          <cell r="A107">
            <v>40289</v>
          </cell>
          <cell r="E107">
            <v>4.1900000000000004</v>
          </cell>
        </row>
        <row r="108">
          <cell r="A108">
            <v>40290</v>
          </cell>
          <cell r="E108">
            <v>4.1500000000000004</v>
          </cell>
        </row>
        <row r="109">
          <cell r="A109">
            <v>40291</v>
          </cell>
          <cell r="E109">
            <v>4.2300000000000004</v>
          </cell>
        </row>
        <row r="110">
          <cell r="A110">
            <v>40294</v>
          </cell>
          <cell r="E110">
            <v>4.29</v>
          </cell>
        </row>
        <row r="111">
          <cell r="A111">
            <v>40295</v>
          </cell>
          <cell r="E111">
            <v>4.2300000000000004</v>
          </cell>
        </row>
        <row r="112">
          <cell r="A112">
            <v>40296</v>
          </cell>
          <cell r="E112">
            <v>4.3099999999999996</v>
          </cell>
        </row>
        <row r="113">
          <cell r="A113">
            <v>40297</v>
          </cell>
          <cell r="E113">
            <v>4.43</v>
          </cell>
        </row>
        <row r="114">
          <cell r="A114">
            <v>40298</v>
          </cell>
          <cell r="E114">
            <v>4.43</v>
          </cell>
        </row>
        <row r="115">
          <cell r="A115">
            <v>40301</v>
          </cell>
          <cell r="E115">
            <v>4.46</v>
          </cell>
        </row>
        <row r="116">
          <cell r="A116">
            <v>40302</v>
          </cell>
          <cell r="E116">
            <v>4.3899999999999997</v>
          </cell>
        </row>
        <row r="117">
          <cell r="A117">
            <v>40303</v>
          </cell>
          <cell r="E117">
            <v>4.74</v>
          </cell>
        </row>
        <row r="118">
          <cell r="A118">
            <v>40304</v>
          </cell>
          <cell r="E118">
            <v>4.9800000000000004</v>
          </cell>
        </row>
        <row r="119">
          <cell r="A119">
            <v>40305</v>
          </cell>
          <cell r="E119">
            <v>4.7699999999999996</v>
          </cell>
        </row>
        <row r="120">
          <cell r="A120">
            <v>40308</v>
          </cell>
          <cell r="E120">
            <v>5.12</v>
          </cell>
        </row>
        <row r="121">
          <cell r="A121">
            <v>40309</v>
          </cell>
          <cell r="E121">
            <v>5.28</v>
          </cell>
        </row>
        <row r="122">
          <cell r="A122">
            <v>40310</v>
          </cell>
          <cell r="E122">
            <v>5.44</v>
          </cell>
        </row>
        <row r="123">
          <cell r="A123">
            <v>40311</v>
          </cell>
          <cell r="E123">
            <v>5.32</v>
          </cell>
        </row>
        <row r="124">
          <cell r="A124">
            <v>40312</v>
          </cell>
          <cell r="E124">
            <v>5.32</v>
          </cell>
        </row>
        <row r="125">
          <cell r="A125">
            <v>40315</v>
          </cell>
          <cell r="E125">
            <v>5.16</v>
          </cell>
        </row>
        <row r="126">
          <cell r="A126">
            <v>40316</v>
          </cell>
          <cell r="E126">
            <v>5.14</v>
          </cell>
        </row>
        <row r="127">
          <cell r="A127">
            <v>40317</v>
          </cell>
          <cell r="E127">
            <v>5.16</v>
          </cell>
        </row>
        <row r="128">
          <cell r="A128">
            <v>40318</v>
          </cell>
          <cell r="E128">
            <v>4.83</v>
          </cell>
        </row>
        <row r="129">
          <cell r="A129">
            <v>40319</v>
          </cell>
          <cell r="E129">
            <v>4.8600000000000003</v>
          </cell>
        </row>
        <row r="130">
          <cell r="A130">
            <v>40322</v>
          </cell>
          <cell r="E130">
            <v>4.9000000000000004</v>
          </cell>
        </row>
        <row r="131">
          <cell r="A131">
            <v>40323</v>
          </cell>
          <cell r="E131">
            <v>4.88</v>
          </cell>
        </row>
        <row r="132">
          <cell r="A132">
            <v>40324</v>
          </cell>
          <cell r="E132">
            <v>4.78</v>
          </cell>
        </row>
        <row r="133">
          <cell r="A133">
            <v>40325</v>
          </cell>
          <cell r="E133">
            <v>5.13</v>
          </cell>
        </row>
        <row r="134">
          <cell r="A134">
            <v>40326</v>
          </cell>
          <cell r="E134">
            <v>5.19</v>
          </cell>
        </row>
        <row r="135">
          <cell r="A135">
            <v>40330</v>
          </cell>
          <cell r="E135">
            <v>5.0199999999999996</v>
          </cell>
        </row>
        <row r="136">
          <cell r="A136">
            <v>40331</v>
          </cell>
          <cell r="E136">
            <v>5.45</v>
          </cell>
        </row>
        <row r="137">
          <cell r="A137">
            <v>40332</v>
          </cell>
          <cell r="E137">
            <v>5.24</v>
          </cell>
        </row>
        <row r="138">
          <cell r="A138">
            <v>40333</v>
          </cell>
          <cell r="E138">
            <v>4.97</v>
          </cell>
        </row>
        <row r="139">
          <cell r="A139">
            <v>40336</v>
          </cell>
          <cell r="E139">
            <v>4.96</v>
          </cell>
        </row>
        <row r="140">
          <cell r="A140">
            <v>40337</v>
          </cell>
          <cell r="E140">
            <v>4.71</v>
          </cell>
        </row>
        <row r="141">
          <cell r="A141">
            <v>40338</v>
          </cell>
          <cell r="E141">
            <v>4.7</v>
          </cell>
        </row>
        <row r="142">
          <cell r="A142">
            <v>40339</v>
          </cell>
          <cell r="E142">
            <v>4.8099999999999996</v>
          </cell>
        </row>
        <row r="143">
          <cell r="A143">
            <v>40340</v>
          </cell>
          <cell r="E143">
            <v>4.8899999999999997</v>
          </cell>
        </row>
        <row r="144">
          <cell r="A144">
            <v>40343</v>
          </cell>
          <cell r="E144">
            <v>5.03</v>
          </cell>
        </row>
        <row r="145">
          <cell r="A145">
            <v>40344</v>
          </cell>
          <cell r="E145">
            <v>5.21</v>
          </cell>
        </row>
        <row r="146">
          <cell r="A146">
            <v>40345</v>
          </cell>
          <cell r="E146">
            <v>5.16</v>
          </cell>
        </row>
        <row r="147">
          <cell r="A147">
            <v>40346</v>
          </cell>
          <cell r="E147">
            <v>5.26</v>
          </cell>
        </row>
        <row r="148">
          <cell r="A148">
            <v>40347</v>
          </cell>
          <cell r="E148">
            <v>5.49</v>
          </cell>
        </row>
        <row r="149">
          <cell r="A149">
            <v>40350</v>
          </cell>
          <cell r="E149">
            <v>5.28</v>
          </cell>
        </row>
        <row r="150">
          <cell r="A150">
            <v>40351</v>
          </cell>
          <cell r="E150">
            <v>5.16</v>
          </cell>
        </row>
        <row r="151">
          <cell r="A151">
            <v>40352</v>
          </cell>
          <cell r="E151">
            <v>5.2</v>
          </cell>
        </row>
        <row r="152">
          <cell r="A152">
            <v>40353</v>
          </cell>
          <cell r="E152">
            <v>5.1100000000000003</v>
          </cell>
        </row>
        <row r="153">
          <cell r="A153">
            <v>40354</v>
          </cell>
          <cell r="E153">
            <v>5.49</v>
          </cell>
        </row>
        <row r="154">
          <cell r="A154">
            <v>40357</v>
          </cell>
          <cell r="E154">
            <v>5.39</v>
          </cell>
        </row>
        <row r="155">
          <cell r="A155">
            <v>40358</v>
          </cell>
          <cell r="E155">
            <v>5.27</v>
          </cell>
        </row>
        <row r="156">
          <cell r="A156">
            <v>40359</v>
          </cell>
          <cell r="E156">
            <v>5.0199999999999996</v>
          </cell>
        </row>
        <row r="157">
          <cell r="A157">
            <v>40360</v>
          </cell>
          <cell r="E157">
            <v>4.79</v>
          </cell>
        </row>
        <row r="158">
          <cell r="A158">
            <v>40361</v>
          </cell>
          <cell r="E158">
            <v>4.97</v>
          </cell>
        </row>
        <row r="159">
          <cell r="A159">
            <v>40365</v>
          </cell>
          <cell r="E159">
            <v>4.82</v>
          </cell>
        </row>
        <row r="160">
          <cell r="A160">
            <v>40366</v>
          </cell>
          <cell r="E160">
            <v>4.92</v>
          </cell>
        </row>
        <row r="161">
          <cell r="A161">
            <v>40367</v>
          </cell>
          <cell r="E161">
            <v>5</v>
          </cell>
        </row>
        <row r="162">
          <cell r="A162">
            <v>40368</v>
          </cell>
          <cell r="E162">
            <v>5.01</v>
          </cell>
        </row>
        <row r="163">
          <cell r="A163">
            <v>40371</v>
          </cell>
          <cell r="E163">
            <v>4.9000000000000004</v>
          </cell>
        </row>
        <row r="164">
          <cell r="A164">
            <v>40372</v>
          </cell>
          <cell r="E164">
            <v>5</v>
          </cell>
        </row>
        <row r="165">
          <cell r="A165">
            <v>40373</v>
          </cell>
          <cell r="E165">
            <v>4.99</v>
          </cell>
        </row>
        <row r="166">
          <cell r="A166">
            <v>40374</v>
          </cell>
          <cell r="E166">
            <v>4.91</v>
          </cell>
        </row>
        <row r="167">
          <cell r="A167">
            <v>40375</v>
          </cell>
          <cell r="E167">
            <v>4.54</v>
          </cell>
        </row>
        <row r="168">
          <cell r="A168">
            <v>40378</v>
          </cell>
          <cell r="E168">
            <v>4.2300000000000004</v>
          </cell>
        </row>
        <row r="169">
          <cell r="A169">
            <v>40379</v>
          </cell>
          <cell r="E169">
            <v>4.3</v>
          </cell>
        </row>
        <row r="170">
          <cell r="A170">
            <v>40380</v>
          </cell>
          <cell r="E170">
            <v>4.25</v>
          </cell>
        </row>
        <row r="171">
          <cell r="A171">
            <v>40381</v>
          </cell>
          <cell r="E171">
            <v>4.43</v>
          </cell>
        </row>
        <row r="172">
          <cell r="A172">
            <v>40382</v>
          </cell>
          <cell r="E172">
            <v>4.7</v>
          </cell>
        </row>
        <row r="173">
          <cell r="A173">
            <v>40385</v>
          </cell>
          <cell r="E173">
            <v>5.0199999999999996</v>
          </cell>
        </row>
        <row r="174">
          <cell r="A174">
            <v>40386</v>
          </cell>
          <cell r="E174">
            <v>4.9400000000000004</v>
          </cell>
        </row>
        <row r="175">
          <cell r="A175">
            <v>40387</v>
          </cell>
          <cell r="E175">
            <v>4.79</v>
          </cell>
        </row>
        <row r="176">
          <cell r="A176">
            <v>40388</v>
          </cell>
          <cell r="E176">
            <v>4.8</v>
          </cell>
        </row>
        <row r="177">
          <cell r="A177">
            <v>40389</v>
          </cell>
          <cell r="E177">
            <v>4.91</v>
          </cell>
        </row>
        <row r="178">
          <cell r="A178">
            <v>40392</v>
          </cell>
          <cell r="E178">
            <v>5.03</v>
          </cell>
        </row>
        <row r="179">
          <cell r="A179">
            <v>40393</v>
          </cell>
          <cell r="E179">
            <v>5.07</v>
          </cell>
        </row>
        <row r="180">
          <cell r="A180">
            <v>40394</v>
          </cell>
          <cell r="E180">
            <v>5.41</v>
          </cell>
        </row>
        <row r="181">
          <cell r="A181">
            <v>40395</v>
          </cell>
          <cell r="E181">
            <v>5.37</v>
          </cell>
        </row>
        <row r="182">
          <cell r="A182">
            <v>40396</v>
          </cell>
          <cell r="E182">
            <v>5.29</v>
          </cell>
        </row>
        <row r="183">
          <cell r="A183">
            <v>40399</v>
          </cell>
          <cell r="E183">
            <v>5.52</v>
          </cell>
        </row>
        <row r="184">
          <cell r="A184">
            <v>40400</v>
          </cell>
          <cell r="E184">
            <v>5.39</v>
          </cell>
        </row>
        <row r="185">
          <cell r="A185">
            <v>40401</v>
          </cell>
          <cell r="E185">
            <v>5.12</v>
          </cell>
        </row>
        <row r="186">
          <cell r="A186">
            <v>40402</v>
          </cell>
          <cell r="E186">
            <v>5.0199999999999996</v>
          </cell>
        </row>
        <row r="187">
          <cell r="A187">
            <v>40403</v>
          </cell>
          <cell r="E187">
            <v>5</v>
          </cell>
        </row>
        <row r="188">
          <cell r="A188">
            <v>40406</v>
          </cell>
          <cell r="E188">
            <v>4.9000000000000004</v>
          </cell>
        </row>
        <row r="189">
          <cell r="A189">
            <v>40407</v>
          </cell>
          <cell r="E189">
            <v>5.1100000000000003</v>
          </cell>
        </row>
        <row r="190">
          <cell r="A190">
            <v>40408</v>
          </cell>
          <cell r="E190">
            <v>4.91</v>
          </cell>
        </row>
        <row r="191">
          <cell r="A191">
            <v>40409</v>
          </cell>
          <cell r="E191">
            <v>4.6500000000000004</v>
          </cell>
        </row>
        <row r="192">
          <cell r="A192">
            <v>40410</v>
          </cell>
          <cell r="E192">
            <v>4.54</v>
          </cell>
        </row>
        <row r="193">
          <cell r="A193">
            <v>40413</v>
          </cell>
          <cell r="E193">
            <v>4.32</v>
          </cell>
        </row>
        <row r="194">
          <cell r="A194">
            <v>40414</v>
          </cell>
          <cell r="E194">
            <v>4.16</v>
          </cell>
        </row>
        <row r="195">
          <cell r="A195">
            <v>40415</v>
          </cell>
          <cell r="E195">
            <v>4.5199999999999996</v>
          </cell>
        </row>
        <row r="196">
          <cell r="A196">
            <v>40416</v>
          </cell>
          <cell r="E196">
            <v>4.3</v>
          </cell>
        </row>
        <row r="197">
          <cell r="A197">
            <v>40417</v>
          </cell>
          <cell r="E197">
            <v>4.55</v>
          </cell>
        </row>
        <row r="198">
          <cell r="A198">
            <v>40420</v>
          </cell>
          <cell r="E198">
            <v>4.43</v>
          </cell>
        </row>
        <row r="199">
          <cell r="A199">
            <v>40421</v>
          </cell>
          <cell r="E199">
            <v>4.54</v>
          </cell>
        </row>
        <row r="200">
          <cell r="A200">
            <v>40422</v>
          </cell>
          <cell r="E200">
            <v>4.8499999999999996</v>
          </cell>
        </row>
        <row r="201">
          <cell r="A201">
            <v>40423</v>
          </cell>
          <cell r="E201">
            <v>4.6399999999999997</v>
          </cell>
        </row>
        <row r="202">
          <cell r="A202">
            <v>40424</v>
          </cell>
          <cell r="E202">
            <v>5.0999999999999996</v>
          </cell>
        </row>
        <row r="203">
          <cell r="A203">
            <v>40428</v>
          </cell>
          <cell r="E203">
            <v>4.93</v>
          </cell>
        </row>
        <row r="204">
          <cell r="A204">
            <v>40429</v>
          </cell>
          <cell r="E204">
            <v>4.7</v>
          </cell>
        </row>
        <row r="205">
          <cell r="A205">
            <v>40430</v>
          </cell>
          <cell r="E205">
            <v>4.83</v>
          </cell>
        </row>
        <row r="206">
          <cell r="A206">
            <v>40431</v>
          </cell>
          <cell r="E206">
            <v>5.0599999999999996</v>
          </cell>
        </row>
        <row r="207">
          <cell r="A207">
            <v>40434</v>
          </cell>
          <cell r="E207">
            <v>5.12</v>
          </cell>
        </row>
        <row r="208">
          <cell r="A208">
            <v>40435</v>
          </cell>
          <cell r="E208">
            <v>5.07</v>
          </cell>
        </row>
        <row r="209">
          <cell r="A209">
            <v>40436</v>
          </cell>
          <cell r="E209">
            <v>5.12</v>
          </cell>
        </row>
        <row r="210">
          <cell r="A210">
            <v>40437</v>
          </cell>
          <cell r="E210">
            <v>5.0599999999999996</v>
          </cell>
        </row>
        <row r="211">
          <cell r="A211">
            <v>40438</v>
          </cell>
          <cell r="E211">
            <v>5.22</v>
          </cell>
        </row>
        <row r="212">
          <cell r="A212">
            <v>40441</v>
          </cell>
          <cell r="E212">
            <v>5.24</v>
          </cell>
        </row>
        <row r="213">
          <cell r="A213">
            <v>40442</v>
          </cell>
          <cell r="E213">
            <v>5.22</v>
          </cell>
        </row>
        <row r="214">
          <cell r="A214">
            <v>40443</v>
          </cell>
          <cell r="E214">
            <v>5.26</v>
          </cell>
        </row>
        <row r="215">
          <cell r="A215">
            <v>40444</v>
          </cell>
          <cell r="E215">
            <v>5.19</v>
          </cell>
        </row>
        <row r="216">
          <cell r="A216">
            <v>40445</v>
          </cell>
          <cell r="E216">
            <v>5.43</v>
          </cell>
        </row>
        <row r="217">
          <cell r="A217">
            <v>40448</v>
          </cell>
          <cell r="E217">
            <v>5.32</v>
          </cell>
        </row>
        <row r="218">
          <cell r="A218">
            <v>40449</v>
          </cell>
          <cell r="E218">
            <v>5.34</v>
          </cell>
        </row>
        <row r="219">
          <cell r="A219">
            <v>40450</v>
          </cell>
          <cell r="E219">
            <v>5.35</v>
          </cell>
        </row>
        <row r="220">
          <cell r="A220">
            <v>40451</v>
          </cell>
          <cell r="E220">
            <v>5.35</v>
          </cell>
        </row>
        <row r="221">
          <cell r="A221">
            <v>40452</v>
          </cell>
          <cell r="E221">
            <v>5.46</v>
          </cell>
        </row>
        <row r="222">
          <cell r="A222">
            <v>40455</v>
          </cell>
          <cell r="E222">
            <v>5.37</v>
          </cell>
        </row>
        <row r="223">
          <cell r="A223">
            <v>40456</v>
          </cell>
          <cell r="E223">
            <v>5.89</v>
          </cell>
        </row>
        <row r="224">
          <cell r="A224">
            <v>40457</v>
          </cell>
          <cell r="E224">
            <v>5.76</v>
          </cell>
        </row>
        <row r="225">
          <cell r="A225">
            <v>40458</v>
          </cell>
          <cell r="E225">
            <v>5.68</v>
          </cell>
        </row>
        <row r="226">
          <cell r="A226">
            <v>40459</v>
          </cell>
          <cell r="E226">
            <v>5.8</v>
          </cell>
        </row>
        <row r="227">
          <cell r="A227">
            <v>40462</v>
          </cell>
          <cell r="E227">
            <v>5.8</v>
          </cell>
        </row>
        <row r="228">
          <cell r="A228">
            <v>40463</v>
          </cell>
          <cell r="E228">
            <v>5.8</v>
          </cell>
        </row>
        <row r="229">
          <cell r="A229">
            <v>40464</v>
          </cell>
          <cell r="E229">
            <v>6.05</v>
          </cell>
        </row>
        <row r="230">
          <cell r="A230">
            <v>40465</v>
          </cell>
          <cell r="E230">
            <v>6.13</v>
          </cell>
        </row>
        <row r="231">
          <cell r="A231">
            <v>40466</v>
          </cell>
          <cell r="E231">
            <v>6.12</v>
          </cell>
        </row>
        <row r="232">
          <cell r="A232">
            <v>40469</v>
          </cell>
          <cell r="E232">
            <v>6.31</v>
          </cell>
        </row>
        <row r="233">
          <cell r="A233">
            <v>40470</v>
          </cell>
          <cell r="E233">
            <v>6.44</v>
          </cell>
        </row>
        <row r="234">
          <cell r="A234">
            <v>40471</v>
          </cell>
          <cell r="E234">
            <v>6.4</v>
          </cell>
        </row>
        <row r="235">
          <cell r="A235">
            <v>40472</v>
          </cell>
          <cell r="E235">
            <v>6.26</v>
          </cell>
        </row>
        <row r="236">
          <cell r="A236">
            <v>40473</v>
          </cell>
          <cell r="E236">
            <v>6.19</v>
          </cell>
        </row>
        <row r="237">
          <cell r="A237">
            <v>40476</v>
          </cell>
          <cell r="E237">
            <v>6.26</v>
          </cell>
        </row>
        <row r="238">
          <cell r="A238">
            <v>40477</v>
          </cell>
          <cell r="E238">
            <v>6.27</v>
          </cell>
        </row>
        <row r="239">
          <cell r="A239">
            <v>40478</v>
          </cell>
          <cell r="E239">
            <v>6.29</v>
          </cell>
        </row>
        <row r="240">
          <cell r="A240">
            <v>40479</v>
          </cell>
          <cell r="E240">
            <v>6.26</v>
          </cell>
        </row>
        <row r="241">
          <cell r="A241">
            <v>40480</v>
          </cell>
          <cell r="E241">
            <v>6.39</v>
          </cell>
        </row>
        <row r="242">
          <cell r="A242">
            <v>40483</v>
          </cell>
          <cell r="E242">
            <v>6.3</v>
          </cell>
        </row>
        <row r="243">
          <cell r="A243">
            <v>40484</v>
          </cell>
          <cell r="E243">
            <v>6.56</v>
          </cell>
        </row>
        <row r="244">
          <cell r="A244">
            <v>40485</v>
          </cell>
          <cell r="E244">
            <v>6.62</v>
          </cell>
        </row>
        <row r="245">
          <cell r="A245">
            <v>40486</v>
          </cell>
          <cell r="E245">
            <v>7.02</v>
          </cell>
        </row>
        <row r="246">
          <cell r="A246">
            <v>40487</v>
          </cell>
          <cell r="E246">
            <v>7.07</v>
          </cell>
        </row>
        <row r="247">
          <cell r="A247">
            <v>40490</v>
          </cell>
          <cell r="E247">
            <v>7.03</v>
          </cell>
        </row>
        <row r="248">
          <cell r="A248">
            <v>40491</v>
          </cell>
          <cell r="E248">
            <v>7.03</v>
          </cell>
        </row>
        <row r="249">
          <cell r="A249">
            <v>40492</v>
          </cell>
          <cell r="E249">
            <v>6.9</v>
          </cell>
        </row>
        <row r="250">
          <cell r="A250">
            <v>40493</v>
          </cell>
          <cell r="E250">
            <v>6.64</v>
          </cell>
        </row>
        <row r="251">
          <cell r="A251">
            <v>40494</v>
          </cell>
          <cell r="E251">
            <v>6.32</v>
          </cell>
        </row>
        <row r="252">
          <cell r="A252">
            <v>40497</v>
          </cell>
          <cell r="E252">
            <v>6.17</v>
          </cell>
        </row>
        <row r="253">
          <cell r="A253">
            <v>40498</v>
          </cell>
          <cell r="E253">
            <v>6.02</v>
          </cell>
        </row>
        <row r="254">
          <cell r="A254">
            <v>40499</v>
          </cell>
          <cell r="E254">
            <v>5.92</v>
          </cell>
        </row>
        <row r="255">
          <cell r="A255">
            <v>40500</v>
          </cell>
          <cell r="E255">
            <v>6.22</v>
          </cell>
        </row>
        <row r="256">
          <cell r="A256">
            <v>40501</v>
          </cell>
          <cell r="E256">
            <v>6.25</v>
          </cell>
        </row>
        <row r="257">
          <cell r="A257">
            <v>40504</v>
          </cell>
          <cell r="E257">
            <v>6.2</v>
          </cell>
        </row>
        <row r="258">
          <cell r="A258">
            <v>40505</v>
          </cell>
          <cell r="E258">
            <v>6.1</v>
          </cell>
        </row>
        <row r="259">
          <cell r="A259">
            <v>40506</v>
          </cell>
          <cell r="E259">
            <v>6.13</v>
          </cell>
        </row>
        <row r="260">
          <cell r="A260">
            <v>40508</v>
          </cell>
          <cell r="E260">
            <v>6.12</v>
          </cell>
        </row>
        <row r="261">
          <cell r="A261">
            <v>40511</v>
          </cell>
          <cell r="E261">
            <v>6.25</v>
          </cell>
        </row>
        <row r="262">
          <cell r="A262">
            <v>40512</v>
          </cell>
          <cell r="E262">
            <v>6.31</v>
          </cell>
        </row>
        <row r="263">
          <cell r="A263">
            <v>40513</v>
          </cell>
          <cell r="E263">
            <v>6.4</v>
          </cell>
        </row>
        <row r="264">
          <cell r="A264">
            <v>40514</v>
          </cell>
          <cell r="E264">
            <v>6.52</v>
          </cell>
        </row>
        <row r="265">
          <cell r="A265">
            <v>40515</v>
          </cell>
          <cell r="E265">
            <v>6.52</v>
          </cell>
        </row>
        <row r="266">
          <cell r="A266">
            <v>40518</v>
          </cell>
          <cell r="E266">
            <v>6.57</v>
          </cell>
        </row>
        <row r="267">
          <cell r="A267">
            <v>40519</v>
          </cell>
          <cell r="E267">
            <v>6.63</v>
          </cell>
        </row>
        <row r="268">
          <cell r="A268">
            <v>40520</v>
          </cell>
          <cell r="E268">
            <v>6.75</v>
          </cell>
        </row>
        <row r="269">
          <cell r="A269">
            <v>40521</v>
          </cell>
          <cell r="E269">
            <v>6.82</v>
          </cell>
        </row>
        <row r="270">
          <cell r="A270">
            <v>40522</v>
          </cell>
          <cell r="E270">
            <v>6.93</v>
          </cell>
        </row>
        <row r="271">
          <cell r="A271">
            <v>40525</v>
          </cell>
          <cell r="E271">
            <v>6.92</v>
          </cell>
        </row>
        <row r="272">
          <cell r="A272">
            <v>40526</v>
          </cell>
          <cell r="E272">
            <v>6.96</v>
          </cell>
        </row>
        <row r="273">
          <cell r="A273">
            <v>40527</v>
          </cell>
          <cell r="E273">
            <v>6.97</v>
          </cell>
        </row>
        <row r="274">
          <cell r="A274">
            <v>40528</v>
          </cell>
          <cell r="E274">
            <v>6.94</v>
          </cell>
        </row>
        <row r="275">
          <cell r="A275">
            <v>40529</v>
          </cell>
          <cell r="E275">
            <v>6.82</v>
          </cell>
        </row>
        <row r="276">
          <cell r="A276">
            <v>40532</v>
          </cell>
          <cell r="E276">
            <v>6.96</v>
          </cell>
        </row>
        <row r="277">
          <cell r="A277">
            <v>40533</v>
          </cell>
          <cell r="E277">
            <v>7.02</v>
          </cell>
        </row>
        <row r="278">
          <cell r="A278">
            <v>40534</v>
          </cell>
          <cell r="E278">
            <v>6.89</v>
          </cell>
        </row>
        <row r="279">
          <cell r="A279">
            <v>40535</v>
          </cell>
          <cell r="E279">
            <v>6.82</v>
          </cell>
        </row>
        <row r="280">
          <cell r="A280">
            <v>40539</v>
          </cell>
          <cell r="E280">
            <v>6.79</v>
          </cell>
        </row>
        <row r="281">
          <cell r="A281">
            <v>40540</v>
          </cell>
          <cell r="E281">
            <v>6.72</v>
          </cell>
        </row>
        <row r="282">
          <cell r="A282">
            <v>40541</v>
          </cell>
          <cell r="E282">
            <v>6.62</v>
          </cell>
        </row>
        <row r="283">
          <cell r="A283">
            <v>40542</v>
          </cell>
          <cell r="E283">
            <v>6.49</v>
          </cell>
        </row>
        <row r="284">
          <cell r="A284">
            <v>40543</v>
          </cell>
          <cell r="E284">
            <v>6.44</v>
          </cell>
        </row>
        <row r="285">
          <cell r="A285">
            <v>40546</v>
          </cell>
          <cell r="E285">
            <v>6.75</v>
          </cell>
        </row>
        <row r="286">
          <cell r="A286">
            <v>40547</v>
          </cell>
          <cell r="E286">
            <v>6.56</v>
          </cell>
        </row>
        <row r="287">
          <cell r="A287">
            <v>40548</v>
          </cell>
          <cell r="E287">
            <v>6.85</v>
          </cell>
        </row>
        <row r="288">
          <cell r="A288">
            <v>40549</v>
          </cell>
          <cell r="E288">
            <v>6.9</v>
          </cell>
        </row>
        <row r="289">
          <cell r="A289">
            <v>40550</v>
          </cell>
          <cell r="E289">
            <v>6.96</v>
          </cell>
        </row>
        <row r="290">
          <cell r="A290">
            <v>40553</v>
          </cell>
          <cell r="E290">
            <v>7.02</v>
          </cell>
        </row>
        <row r="291">
          <cell r="A291">
            <v>40554</v>
          </cell>
          <cell r="E291">
            <v>7.08</v>
          </cell>
        </row>
        <row r="292">
          <cell r="A292">
            <v>40555</v>
          </cell>
          <cell r="E292">
            <v>7.08</v>
          </cell>
        </row>
        <row r="293">
          <cell r="A293">
            <v>40556</v>
          </cell>
          <cell r="E293">
            <v>7.06</v>
          </cell>
        </row>
        <row r="294">
          <cell r="A294">
            <v>40557</v>
          </cell>
          <cell r="E294">
            <v>7.11</v>
          </cell>
        </row>
        <row r="295">
          <cell r="A295">
            <v>40561</v>
          </cell>
          <cell r="E295">
            <v>7.22</v>
          </cell>
        </row>
        <row r="296">
          <cell r="A296">
            <v>40562</v>
          </cell>
          <cell r="E296">
            <v>6.95</v>
          </cell>
        </row>
        <row r="297">
          <cell r="A297">
            <v>40563</v>
          </cell>
          <cell r="E297">
            <v>6.54</v>
          </cell>
        </row>
        <row r="298">
          <cell r="A298">
            <v>40564</v>
          </cell>
          <cell r="E298">
            <v>6.26</v>
          </cell>
        </row>
        <row r="299">
          <cell r="A299">
            <v>40567</v>
          </cell>
          <cell r="E299">
            <v>6.59</v>
          </cell>
        </row>
        <row r="300">
          <cell r="A300">
            <v>40568</v>
          </cell>
          <cell r="E300">
            <v>6.6</v>
          </cell>
        </row>
        <row r="301">
          <cell r="A301">
            <v>40569</v>
          </cell>
          <cell r="E301">
            <v>6.86</v>
          </cell>
        </row>
        <row r="302">
          <cell r="A302">
            <v>40570</v>
          </cell>
          <cell r="E302">
            <v>7.06</v>
          </cell>
        </row>
        <row r="303">
          <cell r="A303">
            <v>40571</v>
          </cell>
          <cell r="E303">
            <v>6.9</v>
          </cell>
        </row>
        <row r="304">
          <cell r="A304">
            <v>40574</v>
          </cell>
          <cell r="E304">
            <v>7.08</v>
          </cell>
        </row>
        <row r="305">
          <cell r="A305">
            <v>40575</v>
          </cell>
          <cell r="E305">
            <v>7.36</v>
          </cell>
        </row>
        <row r="306">
          <cell r="A306">
            <v>40576</v>
          </cell>
          <cell r="E306">
            <v>7.34</v>
          </cell>
        </row>
        <row r="307">
          <cell r="A307">
            <v>40577</v>
          </cell>
          <cell r="E307">
            <v>7.38</v>
          </cell>
        </row>
        <row r="308">
          <cell r="A308">
            <v>40578</v>
          </cell>
          <cell r="E308">
            <v>7.38</v>
          </cell>
        </row>
        <row r="309">
          <cell r="A309">
            <v>40581</v>
          </cell>
          <cell r="E309">
            <v>7.46</v>
          </cell>
        </row>
        <row r="310">
          <cell r="A310">
            <v>40582</v>
          </cell>
          <cell r="E310">
            <v>7.8</v>
          </cell>
        </row>
        <row r="311">
          <cell r="A311">
            <v>40583</v>
          </cell>
          <cell r="E311">
            <v>7.2</v>
          </cell>
        </row>
        <row r="312">
          <cell r="A312">
            <v>40584</v>
          </cell>
          <cell r="E312">
            <v>6.83</v>
          </cell>
        </row>
        <row r="313">
          <cell r="A313">
            <v>40585</v>
          </cell>
          <cell r="E313">
            <v>6.81</v>
          </cell>
        </row>
        <row r="314">
          <cell r="A314">
            <v>40588</v>
          </cell>
          <cell r="E314">
            <v>7.1</v>
          </cell>
        </row>
        <row r="315">
          <cell r="A315">
            <v>40589</v>
          </cell>
          <cell r="E315">
            <v>7.09</v>
          </cell>
        </row>
        <row r="316">
          <cell r="A316">
            <v>40590</v>
          </cell>
          <cell r="E316">
            <v>6.86</v>
          </cell>
        </row>
        <row r="317">
          <cell r="A317">
            <v>40591</v>
          </cell>
          <cell r="E317">
            <v>6.83</v>
          </cell>
        </row>
        <row r="318">
          <cell r="A318">
            <v>40592</v>
          </cell>
          <cell r="E318">
            <v>6.87</v>
          </cell>
        </row>
        <row r="319">
          <cell r="A319">
            <v>40596</v>
          </cell>
          <cell r="E319">
            <v>6.66</v>
          </cell>
        </row>
        <row r="320">
          <cell r="A320">
            <v>40597</v>
          </cell>
          <cell r="E320">
            <v>6.6</v>
          </cell>
        </row>
        <row r="321">
          <cell r="A321">
            <v>40598</v>
          </cell>
          <cell r="E321">
            <v>6.22</v>
          </cell>
        </row>
        <row r="322">
          <cell r="A322">
            <v>40599</v>
          </cell>
          <cell r="E322">
            <v>6.41</v>
          </cell>
        </row>
        <row r="323">
          <cell r="A323">
            <v>40602</v>
          </cell>
          <cell r="E323">
            <v>6.61</v>
          </cell>
        </row>
        <row r="324">
          <cell r="A324">
            <v>40603</v>
          </cell>
          <cell r="E324">
            <v>6.54</v>
          </cell>
        </row>
        <row r="325">
          <cell r="A325">
            <v>40604</v>
          </cell>
          <cell r="E325">
            <v>6.55</v>
          </cell>
        </row>
        <row r="326">
          <cell r="A326">
            <v>40605</v>
          </cell>
          <cell r="E326">
            <v>6.9</v>
          </cell>
        </row>
        <row r="327">
          <cell r="A327">
            <v>40606</v>
          </cell>
          <cell r="E327">
            <v>7.15</v>
          </cell>
        </row>
        <row r="328">
          <cell r="A328">
            <v>40609</v>
          </cell>
          <cell r="E328">
            <v>6.91</v>
          </cell>
        </row>
        <row r="329">
          <cell r="A329">
            <v>40610</v>
          </cell>
          <cell r="E329">
            <v>6.87</v>
          </cell>
        </row>
        <row r="330">
          <cell r="A330">
            <v>40611</v>
          </cell>
          <cell r="E330">
            <v>7.19</v>
          </cell>
        </row>
        <row r="331">
          <cell r="A331">
            <v>40612</v>
          </cell>
          <cell r="E331">
            <v>6.81</v>
          </cell>
        </row>
        <row r="332">
          <cell r="A332">
            <v>40613</v>
          </cell>
          <cell r="E332">
            <v>6.79</v>
          </cell>
        </row>
        <row r="333">
          <cell r="A333">
            <v>40616</v>
          </cell>
          <cell r="E333">
            <v>6.54</v>
          </cell>
        </row>
        <row r="334">
          <cell r="A334">
            <v>40617</v>
          </cell>
          <cell r="E334">
            <v>6.29</v>
          </cell>
        </row>
        <row r="335">
          <cell r="A335">
            <v>40618</v>
          </cell>
          <cell r="E335">
            <v>6.04</v>
          </cell>
        </row>
        <row r="336">
          <cell r="A336">
            <v>40619</v>
          </cell>
          <cell r="E336">
            <v>6.13</v>
          </cell>
        </row>
        <row r="337">
          <cell r="A337">
            <v>40620</v>
          </cell>
          <cell r="E337">
            <v>6.54</v>
          </cell>
        </row>
        <row r="338">
          <cell r="A338">
            <v>40623</v>
          </cell>
          <cell r="E338">
            <v>7.14</v>
          </cell>
        </row>
        <row r="339">
          <cell r="A339">
            <v>40624</v>
          </cell>
          <cell r="E339">
            <v>7.45</v>
          </cell>
        </row>
        <row r="340">
          <cell r="A340">
            <v>40625</v>
          </cell>
          <cell r="E340">
            <v>7.39</v>
          </cell>
        </row>
        <row r="341">
          <cell r="A341">
            <v>40626</v>
          </cell>
          <cell r="E341">
            <v>7.3</v>
          </cell>
        </row>
        <row r="342">
          <cell r="A342">
            <v>40627</v>
          </cell>
          <cell r="E342">
            <v>7.35</v>
          </cell>
        </row>
        <row r="343">
          <cell r="A343">
            <v>40630</v>
          </cell>
          <cell r="E343">
            <v>7.45</v>
          </cell>
        </row>
        <row r="344">
          <cell r="A344">
            <v>40631</v>
          </cell>
          <cell r="E344">
            <v>7.69</v>
          </cell>
        </row>
        <row r="345">
          <cell r="A345">
            <v>40632</v>
          </cell>
          <cell r="E345">
            <v>7.69</v>
          </cell>
        </row>
        <row r="346">
          <cell r="A346">
            <v>40633</v>
          </cell>
          <cell r="E346">
            <v>7.72</v>
          </cell>
        </row>
        <row r="347">
          <cell r="A347">
            <v>40634</v>
          </cell>
          <cell r="E347">
            <v>7.79</v>
          </cell>
        </row>
        <row r="348">
          <cell r="A348">
            <v>40637</v>
          </cell>
          <cell r="E348">
            <v>7.79</v>
          </cell>
        </row>
        <row r="349">
          <cell r="A349">
            <v>40638</v>
          </cell>
          <cell r="E349">
            <v>7.73</v>
          </cell>
        </row>
        <row r="350">
          <cell r="A350">
            <v>40639</v>
          </cell>
          <cell r="E350">
            <v>7.73</v>
          </cell>
        </row>
        <row r="351">
          <cell r="A351">
            <v>40640</v>
          </cell>
          <cell r="E351">
            <v>7.64</v>
          </cell>
        </row>
        <row r="352">
          <cell r="A352">
            <v>40641</v>
          </cell>
          <cell r="E352">
            <v>7.34</v>
          </cell>
        </row>
        <row r="353">
          <cell r="A353">
            <v>40644</v>
          </cell>
          <cell r="E353">
            <v>6.92</v>
          </cell>
        </row>
        <row r="354">
          <cell r="A354">
            <v>40645</v>
          </cell>
          <cell r="E354">
            <v>6.78</v>
          </cell>
        </row>
        <row r="355">
          <cell r="A355">
            <v>40646</v>
          </cell>
          <cell r="E355">
            <v>6.64</v>
          </cell>
        </row>
        <row r="356">
          <cell r="A356">
            <v>40647</v>
          </cell>
          <cell r="E356">
            <v>6.81</v>
          </cell>
        </row>
        <row r="357">
          <cell r="A357">
            <v>40648</v>
          </cell>
          <cell r="E357">
            <v>6.84</v>
          </cell>
        </row>
        <row r="358">
          <cell r="A358">
            <v>40651</v>
          </cell>
          <cell r="E358">
            <v>6.5</v>
          </cell>
        </row>
        <row r="359">
          <cell r="A359">
            <v>40652</v>
          </cell>
          <cell r="E359">
            <v>6.65</v>
          </cell>
        </row>
        <row r="360">
          <cell r="A360">
            <v>40653</v>
          </cell>
          <cell r="E360">
            <v>6.74</v>
          </cell>
        </row>
        <row r="361">
          <cell r="A361">
            <v>40654</v>
          </cell>
          <cell r="E361">
            <v>7.03</v>
          </cell>
        </row>
        <row r="362">
          <cell r="A362">
            <v>40658</v>
          </cell>
          <cell r="E362">
            <v>6.96</v>
          </cell>
        </row>
        <row r="363">
          <cell r="A363">
            <v>40659</v>
          </cell>
          <cell r="E363">
            <v>7.38</v>
          </cell>
        </row>
        <row r="364">
          <cell r="A364">
            <v>40660</v>
          </cell>
          <cell r="E364">
            <v>7.33</v>
          </cell>
        </row>
        <row r="365">
          <cell r="A365">
            <v>40661</v>
          </cell>
          <cell r="E365">
            <v>7.57</v>
          </cell>
        </row>
        <row r="366">
          <cell r="A366">
            <v>40662</v>
          </cell>
          <cell r="E366">
            <v>7.97</v>
          </cell>
        </row>
        <row r="367">
          <cell r="A367">
            <v>40665</v>
          </cell>
          <cell r="E367">
            <v>7.57</v>
          </cell>
        </row>
        <row r="368">
          <cell r="A368">
            <v>40666</v>
          </cell>
          <cell r="E368">
            <v>7.32</v>
          </cell>
        </row>
        <row r="369">
          <cell r="A369">
            <v>40667</v>
          </cell>
          <cell r="E369">
            <v>7.68</v>
          </cell>
        </row>
        <row r="370">
          <cell r="A370">
            <v>40668</v>
          </cell>
          <cell r="E370">
            <v>7.73</v>
          </cell>
        </row>
        <row r="371">
          <cell r="A371">
            <v>40669</v>
          </cell>
          <cell r="E371">
            <v>7.82</v>
          </cell>
        </row>
        <row r="372">
          <cell r="A372">
            <v>40672</v>
          </cell>
          <cell r="E372">
            <v>7.95</v>
          </cell>
        </row>
        <row r="373">
          <cell r="A373">
            <v>40673</v>
          </cell>
          <cell r="E373">
            <v>8.51</v>
          </cell>
        </row>
        <row r="374">
          <cell r="A374">
            <v>40674</v>
          </cell>
          <cell r="E374">
            <v>8.3000000000000007</v>
          </cell>
        </row>
        <row r="375">
          <cell r="A375">
            <v>40675</v>
          </cell>
          <cell r="E375">
            <v>8.5</v>
          </cell>
        </row>
        <row r="376">
          <cell r="A376">
            <v>40676</v>
          </cell>
          <cell r="E376">
            <v>8.42</v>
          </cell>
        </row>
        <row r="377">
          <cell r="A377">
            <v>40679</v>
          </cell>
          <cell r="E377">
            <v>8.0399999999999991</v>
          </cell>
        </row>
        <row r="378">
          <cell r="A378">
            <v>40680</v>
          </cell>
          <cell r="E378">
            <v>7.97</v>
          </cell>
        </row>
        <row r="379">
          <cell r="A379">
            <v>40681</v>
          </cell>
          <cell r="E379">
            <v>8</v>
          </cell>
        </row>
        <row r="380">
          <cell r="A380">
            <v>40682</v>
          </cell>
          <cell r="E380">
            <v>8.19</v>
          </cell>
        </row>
        <row r="381">
          <cell r="A381">
            <v>40683</v>
          </cell>
          <cell r="E381">
            <v>8.1999999999999993</v>
          </cell>
        </row>
        <row r="382">
          <cell r="A382">
            <v>40686</v>
          </cell>
          <cell r="E382">
            <v>8.07</v>
          </cell>
        </row>
        <row r="383">
          <cell r="A383">
            <v>40687</v>
          </cell>
          <cell r="E383">
            <v>7.89</v>
          </cell>
        </row>
        <row r="384">
          <cell r="A384">
            <v>40688</v>
          </cell>
          <cell r="E384">
            <v>8</v>
          </cell>
        </row>
        <row r="385">
          <cell r="A385">
            <v>40689</v>
          </cell>
          <cell r="E385">
            <v>8.25</v>
          </cell>
        </row>
        <row r="386">
          <cell r="A386">
            <v>40690</v>
          </cell>
          <cell r="E386">
            <v>7.97</v>
          </cell>
        </row>
        <row r="387">
          <cell r="A387">
            <v>40694</v>
          </cell>
          <cell r="E387">
            <v>8.2200000000000006</v>
          </cell>
        </row>
        <row r="388">
          <cell r="A388">
            <v>40695</v>
          </cell>
          <cell r="E388">
            <v>7.97</v>
          </cell>
        </row>
        <row r="389">
          <cell r="A389">
            <v>40696</v>
          </cell>
          <cell r="E389">
            <v>7.79</v>
          </cell>
        </row>
        <row r="390">
          <cell r="A390">
            <v>40697</v>
          </cell>
          <cell r="E390">
            <v>7.67</v>
          </cell>
        </row>
        <row r="391">
          <cell r="A391">
            <v>40700</v>
          </cell>
          <cell r="E391">
            <v>7.57</v>
          </cell>
        </row>
        <row r="392">
          <cell r="A392">
            <v>40701</v>
          </cell>
          <cell r="E392">
            <v>7.56</v>
          </cell>
        </row>
        <row r="393">
          <cell r="A393">
            <v>40702</v>
          </cell>
          <cell r="E393">
            <v>7.46</v>
          </cell>
        </row>
        <row r="394">
          <cell r="A394">
            <v>40703</v>
          </cell>
          <cell r="E394">
            <v>7.63</v>
          </cell>
        </row>
        <row r="395">
          <cell r="A395">
            <v>40704</v>
          </cell>
          <cell r="E395">
            <v>7.32</v>
          </cell>
        </row>
        <row r="396">
          <cell r="A396">
            <v>40707</v>
          </cell>
          <cell r="E396">
            <v>7.33</v>
          </cell>
        </row>
        <row r="397">
          <cell r="A397">
            <v>40708</v>
          </cell>
          <cell r="E397">
            <v>7.79</v>
          </cell>
        </row>
        <row r="398">
          <cell r="A398">
            <v>40709</v>
          </cell>
          <cell r="E398">
            <v>7.99</v>
          </cell>
        </row>
        <row r="399">
          <cell r="A399">
            <v>40710</v>
          </cell>
          <cell r="E399">
            <v>8.17</v>
          </cell>
        </row>
        <row r="400">
          <cell r="A400">
            <v>40711</v>
          </cell>
          <cell r="E400">
            <v>8.19</v>
          </cell>
        </row>
        <row r="401">
          <cell r="A401">
            <v>40714</v>
          </cell>
          <cell r="E401">
            <v>8.26</v>
          </cell>
        </row>
        <row r="402">
          <cell r="A402">
            <v>40715</v>
          </cell>
          <cell r="E402">
            <v>8.26</v>
          </cell>
        </row>
        <row r="403">
          <cell r="A403">
            <v>40716</v>
          </cell>
          <cell r="E403">
            <v>7.92</v>
          </cell>
        </row>
        <row r="404">
          <cell r="A404">
            <v>40717</v>
          </cell>
          <cell r="E404">
            <v>8.3699999999999992</v>
          </cell>
        </row>
        <row r="405">
          <cell r="A405">
            <v>40718</v>
          </cell>
          <cell r="E405">
            <v>8.6199999999999992</v>
          </cell>
        </row>
        <row r="406">
          <cell r="A406">
            <v>40721</v>
          </cell>
          <cell r="E406">
            <v>8.7799999999999994</v>
          </cell>
        </row>
        <row r="407">
          <cell r="A407">
            <v>40722</v>
          </cell>
          <cell r="E407">
            <v>9.18</v>
          </cell>
        </row>
        <row r="408">
          <cell r="A408">
            <v>40723</v>
          </cell>
          <cell r="E408">
            <v>9.31</v>
          </cell>
        </row>
        <row r="409">
          <cell r="A409">
            <v>40724</v>
          </cell>
          <cell r="E409">
            <v>9.44</v>
          </cell>
        </row>
        <row r="410">
          <cell r="A410">
            <v>40725</v>
          </cell>
          <cell r="E410">
            <v>9.74</v>
          </cell>
        </row>
        <row r="411">
          <cell r="A411">
            <v>40729</v>
          </cell>
          <cell r="E411">
            <v>9.98</v>
          </cell>
        </row>
        <row r="412">
          <cell r="A412">
            <v>40730</v>
          </cell>
          <cell r="E412">
            <v>9.89</v>
          </cell>
        </row>
        <row r="413">
          <cell r="A413">
            <v>40731</v>
          </cell>
          <cell r="E413">
            <v>10.210000000000001</v>
          </cell>
        </row>
        <row r="414">
          <cell r="A414">
            <v>40732</v>
          </cell>
          <cell r="E414">
            <v>10.09</v>
          </cell>
        </row>
        <row r="415">
          <cell r="A415">
            <v>40735</v>
          </cell>
          <cell r="E415">
            <v>9.66</v>
          </cell>
        </row>
        <row r="416">
          <cell r="A416">
            <v>40736</v>
          </cell>
          <cell r="E416">
            <v>9.69</v>
          </cell>
        </row>
        <row r="417">
          <cell r="A417">
            <v>40737</v>
          </cell>
          <cell r="E417">
            <v>10.08</v>
          </cell>
        </row>
        <row r="418">
          <cell r="A418">
            <v>40738</v>
          </cell>
          <cell r="E418">
            <v>9.8000000000000007</v>
          </cell>
        </row>
        <row r="419">
          <cell r="A419">
            <v>40739</v>
          </cell>
          <cell r="E419">
            <v>9.81</v>
          </cell>
        </row>
        <row r="420">
          <cell r="A420">
            <v>40742</v>
          </cell>
          <cell r="E420">
            <v>9.7899999999999991</v>
          </cell>
        </row>
        <row r="421">
          <cell r="A421">
            <v>40743</v>
          </cell>
          <cell r="E421">
            <v>10.31</v>
          </cell>
        </row>
        <row r="422">
          <cell r="A422">
            <v>40744</v>
          </cell>
          <cell r="E422">
            <v>10.23</v>
          </cell>
        </row>
        <row r="423">
          <cell r="A423">
            <v>40745</v>
          </cell>
          <cell r="E423">
            <v>10.4</v>
          </cell>
        </row>
        <row r="424">
          <cell r="A424">
            <v>40746</v>
          </cell>
          <cell r="E424">
            <v>10.39</v>
          </cell>
        </row>
        <row r="425">
          <cell r="A425">
            <v>40749</v>
          </cell>
          <cell r="E425">
            <v>10.36</v>
          </cell>
        </row>
        <row r="426">
          <cell r="A426">
            <v>40750</v>
          </cell>
          <cell r="E426">
            <v>10.11</v>
          </cell>
        </row>
        <row r="427">
          <cell r="A427">
            <v>40751</v>
          </cell>
          <cell r="E427">
            <v>9.67</v>
          </cell>
        </row>
        <row r="428">
          <cell r="A428">
            <v>40752</v>
          </cell>
          <cell r="E428">
            <v>9.84</v>
          </cell>
        </row>
        <row r="429">
          <cell r="A429">
            <v>40753</v>
          </cell>
          <cell r="E429">
            <v>9.7799999999999994</v>
          </cell>
        </row>
        <row r="430">
          <cell r="A430">
            <v>40756</v>
          </cell>
          <cell r="E430">
            <v>9.74</v>
          </cell>
        </row>
        <row r="431">
          <cell r="A431">
            <v>40757</v>
          </cell>
          <cell r="E431">
            <v>9.4700000000000006</v>
          </cell>
        </row>
        <row r="432">
          <cell r="A432">
            <v>40758</v>
          </cell>
          <cell r="E432">
            <v>10.06</v>
          </cell>
        </row>
        <row r="433">
          <cell r="A433">
            <v>40759</v>
          </cell>
          <cell r="E433">
            <v>9.44</v>
          </cell>
        </row>
        <row r="434">
          <cell r="A434">
            <v>40760</v>
          </cell>
          <cell r="E434">
            <v>9.5399999999999991</v>
          </cell>
        </row>
        <row r="435">
          <cell r="A435">
            <v>40763</v>
          </cell>
          <cell r="E435">
            <v>8.8800000000000008</v>
          </cell>
        </row>
        <row r="436">
          <cell r="A436">
            <v>40764</v>
          </cell>
          <cell r="E436">
            <v>9.35</v>
          </cell>
        </row>
        <row r="437">
          <cell r="A437">
            <v>40765</v>
          </cell>
          <cell r="E437">
            <v>8.89</v>
          </cell>
        </row>
        <row r="438">
          <cell r="A438">
            <v>40766</v>
          </cell>
          <cell r="E438">
            <v>8.8699999999999992</v>
          </cell>
        </row>
        <row r="439">
          <cell r="A439">
            <v>40767</v>
          </cell>
          <cell r="E439">
            <v>8.1300000000000008</v>
          </cell>
        </row>
        <row r="440">
          <cell r="A440">
            <v>40770</v>
          </cell>
          <cell r="E440">
            <v>8.09</v>
          </cell>
        </row>
        <row r="441">
          <cell r="A441">
            <v>40771</v>
          </cell>
          <cell r="E441">
            <v>7.87</v>
          </cell>
        </row>
        <row r="442">
          <cell r="A442">
            <v>40772</v>
          </cell>
          <cell r="E442">
            <v>7.81</v>
          </cell>
        </row>
        <row r="443">
          <cell r="A443">
            <v>40773</v>
          </cell>
          <cell r="E443">
            <v>7.6</v>
          </cell>
        </row>
        <row r="444">
          <cell r="A444">
            <v>40774</v>
          </cell>
          <cell r="E444">
            <v>7.64</v>
          </cell>
        </row>
        <row r="445">
          <cell r="A445">
            <v>40777</v>
          </cell>
          <cell r="E445">
            <v>7.46</v>
          </cell>
        </row>
        <row r="446">
          <cell r="A446">
            <v>40778</v>
          </cell>
          <cell r="E446">
            <v>8.16</v>
          </cell>
        </row>
        <row r="447">
          <cell r="A447">
            <v>40779</v>
          </cell>
          <cell r="E447">
            <v>8.5299999999999994</v>
          </cell>
        </row>
        <row r="448">
          <cell r="A448">
            <v>40780</v>
          </cell>
          <cell r="E448">
            <v>8.16</v>
          </cell>
        </row>
        <row r="449">
          <cell r="A449">
            <v>40781</v>
          </cell>
          <cell r="E449">
            <v>8.2899999999999991</v>
          </cell>
        </row>
        <row r="450">
          <cell r="A450">
            <v>40784</v>
          </cell>
          <cell r="E450">
            <v>8.7100000000000009</v>
          </cell>
        </row>
        <row r="451">
          <cell r="A451">
            <v>40785</v>
          </cell>
          <cell r="E451">
            <v>9.08</v>
          </cell>
        </row>
        <row r="452">
          <cell r="A452">
            <v>40786</v>
          </cell>
          <cell r="E452">
            <v>9.15</v>
          </cell>
        </row>
        <row r="453">
          <cell r="A453">
            <v>40787</v>
          </cell>
          <cell r="E453">
            <v>8.94</v>
          </cell>
        </row>
        <row r="454">
          <cell r="A454">
            <v>40788</v>
          </cell>
          <cell r="E454">
            <v>8.69</v>
          </cell>
        </row>
        <row r="455">
          <cell r="A455">
            <v>40792</v>
          </cell>
          <cell r="E455">
            <v>8.76</v>
          </cell>
        </row>
        <row r="456">
          <cell r="A456">
            <v>40793</v>
          </cell>
          <cell r="E456">
            <v>9.18</v>
          </cell>
        </row>
        <row r="457">
          <cell r="A457">
            <v>40794</v>
          </cell>
          <cell r="E457">
            <v>8.99</v>
          </cell>
        </row>
        <row r="458">
          <cell r="A458">
            <v>40795</v>
          </cell>
          <cell r="E458">
            <v>8.69</v>
          </cell>
        </row>
        <row r="459">
          <cell r="A459">
            <v>40798</v>
          </cell>
          <cell r="E459">
            <v>8.73</v>
          </cell>
        </row>
        <row r="460">
          <cell r="A460">
            <v>40799</v>
          </cell>
          <cell r="E460">
            <v>8.57</v>
          </cell>
        </row>
        <row r="461">
          <cell r="A461">
            <v>40800</v>
          </cell>
          <cell r="E461">
            <v>8.5399999999999991</v>
          </cell>
        </row>
        <row r="462">
          <cell r="A462">
            <v>40801</v>
          </cell>
          <cell r="E462">
            <v>8.57</v>
          </cell>
        </row>
        <row r="463">
          <cell r="A463">
            <v>40802</v>
          </cell>
          <cell r="E463">
            <v>9.11</v>
          </cell>
        </row>
        <row r="464">
          <cell r="A464">
            <v>40805</v>
          </cell>
          <cell r="E464">
            <v>8.9499999999999993</v>
          </cell>
        </row>
        <row r="465">
          <cell r="A465">
            <v>40806</v>
          </cell>
          <cell r="E465">
            <v>9.23</v>
          </cell>
        </row>
        <row r="466">
          <cell r="A466">
            <v>40807</v>
          </cell>
          <cell r="E466">
            <v>8.9</v>
          </cell>
        </row>
        <row r="467">
          <cell r="A467">
            <v>40808</v>
          </cell>
          <cell r="E467">
            <v>8.6300000000000008</v>
          </cell>
        </row>
        <row r="468">
          <cell r="A468">
            <v>40809</v>
          </cell>
          <cell r="E468">
            <v>8.7899999999999991</v>
          </cell>
        </row>
        <row r="469">
          <cell r="A469">
            <v>40812</v>
          </cell>
          <cell r="E469">
            <v>8.7899999999999991</v>
          </cell>
        </row>
        <row r="470">
          <cell r="A470">
            <v>40813</v>
          </cell>
          <cell r="E470">
            <v>8.6300000000000008</v>
          </cell>
        </row>
        <row r="471">
          <cell r="A471">
            <v>40814</v>
          </cell>
          <cell r="E471">
            <v>8.33</v>
          </cell>
        </row>
        <row r="472">
          <cell r="A472">
            <v>40815</v>
          </cell>
          <cell r="E472">
            <v>8.42</v>
          </cell>
        </row>
        <row r="473">
          <cell r="A473">
            <v>40816</v>
          </cell>
          <cell r="E473">
            <v>8.66</v>
          </cell>
        </row>
        <row r="474">
          <cell r="A474">
            <v>40819</v>
          </cell>
          <cell r="E474">
            <v>8.5500000000000007</v>
          </cell>
        </row>
        <row r="475">
          <cell r="A475">
            <v>40820</v>
          </cell>
          <cell r="E475">
            <v>9.56</v>
          </cell>
        </row>
        <row r="476">
          <cell r="A476">
            <v>40821</v>
          </cell>
          <cell r="E476">
            <v>9.74</v>
          </cell>
        </row>
        <row r="477">
          <cell r="A477">
            <v>40822</v>
          </cell>
          <cell r="E477">
            <v>9.86</v>
          </cell>
        </row>
        <row r="478">
          <cell r="A478">
            <v>40823</v>
          </cell>
          <cell r="E478">
            <v>9.8699999999999992</v>
          </cell>
        </row>
        <row r="479">
          <cell r="A479">
            <v>40826</v>
          </cell>
          <cell r="E479">
            <v>9.76</v>
          </cell>
        </row>
        <row r="480">
          <cell r="A480">
            <v>40827</v>
          </cell>
          <cell r="E480">
            <v>9.9</v>
          </cell>
        </row>
        <row r="481">
          <cell r="A481">
            <v>40828</v>
          </cell>
          <cell r="E481">
            <v>9.86</v>
          </cell>
        </row>
        <row r="482">
          <cell r="A482">
            <v>40829</v>
          </cell>
          <cell r="E482">
            <v>9.98</v>
          </cell>
        </row>
        <row r="483">
          <cell r="A483">
            <v>40830</v>
          </cell>
          <cell r="E483">
            <v>10.1</v>
          </cell>
        </row>
        <row r="484">
          <cell r="A484">
            <v>40833</v>
          </cell>
          <cell r="E484">
            <v>9.43</v>
          </cell>
        </row>
        <row r="485">
          <cell r="A485">
            <v>40834</v>
          </cell>
          <cell r="E485">
            <v>9.75</v>
          </cell>
        </row>
        <row r="486">
          <cell r="A486">
            <v>40835</v>
          </cell>
          <cell r="E486">
            <v>9.25</v>
          </cell>
        </row>
        <row r="487">
          <cell r="A487">
            <v>40836</v>
          </cell>
          <cell r="E487">
            <v>9.2100000000000009</v>
          </cell>
        </row>
        <row r="488">
          <cell r="A488">
            <v>40837</v>
          </cell>
          <cell r="E488">
            <v>9.58</v>
          </cell>
        </row>
        <row r="489">
          <cell r="A489">
            <v>40840</v>
          </cell>
          <cell r="E489">
            <v>9.69</v>
          </cell>
        </row>
        <row r="490">
          <cell r="A490">
            <v>40841</v>
          </cell>
          <cell r="E490">
            <v>9.39</v>
          </cell>
        </row>
        <row r="491">
          <cell r="A491">
            <v>40842</v>
          </cell>
          <cell r="E491">
            <v>9.2799999999999994</v>
          </cell>
        </row>
        <row r="492">
          <cell r="A492">
            <v>40843</v>
          </cell>
          <cell r="E492">
            <v>9.74</v>
          </cell>
        </row>
        <row r="493">
          <cell r="A493">
            <v>40844</v>
          </cell>
          <cell r="E493">
            <v>9.49</v>
          </cell>
        </row>
        <row r="494">
          <cell r="A494">
            <v>40847</v>
          </cell>
          <cell r="E494">
            <v>9.32</v>
          </cell>
        </row>
        <row r="495">
          <cell r="A495">
            <v>40848</v>
          </cell>
          <cell r="E495">
            <v>8.93</v>
          </cell>
        </row>
        <row r="496">
          <cell r="A496">
            <v>40849</v>
          </cell>
          <cell r="E496">
            <v>9.43</v>
          </cell>
        </row>
        <row r="497">
          <cell r="A497">
            <v>40850</v>
          </cell>
          <cell r="E497">
            <v>9.91</v>
          </cell>
        </row>
        <row r="498">
          <cell r="A498">
            <v>40851</v>
          </cell>
          <cell r="E498">
            <v>9.9499999999999993</v>
          </cell>
        </row>
        <row r="499">
          <cell r="A499">
            <v>40854</v>
          </cell>
          <cell r="E499">
            <v>9.91</v>
          </cell>
        </row>
        <row r="500">
          <cell r="A500">
            <v>40855</v>
          </cell>
          <cell r="E500">
            <v>10.06</v>
          </cell>
        </row>
        <row r="501">
          <cell r="A501">
            <v>40856</v>
          </cell>
          <cell r="E501">
            <v>9.66</v>
          </cell>
        </row>
        <row r="502">
          <cell r="A502">
            <v>40857</v>
          </cell>
          <cell r="E502">
            <v>9.66</v>
          </cell>
        </row>
        <row r="503">
          <cell r="A503">
            <v>40858</v>
          </cell>
          <cell r="E503">
            <v>9.7899999999999991</v>
          </cell>
        </row>
        <row r="504">
          <cell r="A504">
            <v>40861</v>
          </cell>
          <cell r="E504">
            <v>10.11</v>
          </cell>
        </row>
        <row r="505">
          <cell r="A505">
            <v>40862</v>
          </cell>
          <cell r="E505">
            <v>10.18</v>
          </cell>
        </row>
        <row r="506">
          <cell r="A506">
            <v>40863</v>
          </cell>
          <cell r="E506">
            <v>10.050000000000001</v>
          </cell>
        </row>
        <row r="507">
          <cell r="A507">
            <v>40864</v>
          </cell>
          <cell r="E507">
            <v>10.050000000000001</v>
          </cell>
        </row>
        <row r="508">
          <cell r="A508">
            <v>40865</v>
          </cell>
          <cell r="E508">
            <v>10.45</v>
          </cell>
        </row>
        <row r="509">
          <cell r="A509">
            <v>40868</v>
          </cell>
          <cell r="E509">
            <v>10.43</v>
          </cell>
        </row>
        <row r="510">
          <cell r="A510">
            <v>40869</v>
          </cell>
          <cell r="E510">
            <v>10.18</v>
          </cell>
        </row>
        <row r="511">
          <cell r="A511">
            <v>40870</v>
          </cell>
          <cell r="E511">
            <v>9.86</v>
          </cell>
        </row>
        <row r="512">
          <cell r="A512">
            <v>40872</v>
          </cell>
          <cell r="E512">
            <v>9.6</v>
          </cell>
        </row>
        <row r="513">
          <cell r="A513">
            <v>40875</v>
          </cell>
          <cell r="E513">
            <v>10.36</v>
          </cell>
        </row>
        <row r="514">
          <cell r="A514">
            <v>40876</v>
          </cell>
          <cell r="E514">
            <v>10.49</v>
          </cell>
        </row>
        <row r="515">
          <cell r="A515">
            <v>40877</v>
          </cell>
          <cell r="E515">
            <v>10.93</v>
          </cell>
        </row>
        <row r="516">
          <cell r="A516">
            <v>40878</v>
          </cell>
          <cell r="E516">
            <v>10.5</v>
          </cell>
        </row>
        <row r="517">
          <cell r="A517">
            <v>40879</v>
          </cell>
          <cell r="E517">
            <v>10.74</v>
          </cell>
        </row>
        <row r="518">
          <cell r="A518">
            <v>40882</v>
          </cell>
          <cell r="E518">
            <v>11.13</v>
          </cell>
        </row>
        <row r="519">
          <cell r="A519">
            <v>40883</v>
          </cell>
          <cell r="E519">
            <v>11.21</v>
          </cell>
        </row>
        <row r="520">
          <cell r="A520">
            <v>40884</v>
          </cell>
          <cell r="E520">
            <v>11.1</v>
          </cell>
        </row>
        <row r="521">
          <cell r="A521">
            <v>40885</v>
          </cell>
          <cell r="E521">
            <v>10.47</v>
          </cell>
        </row>
        <row r="522">
          <cell r="A522">
            <v>40886</v>
          </cell>
          <cell r="E522">
            <v>11.18</v>
          </cell>
        </row>
        <row r="523">
          <cell r="A523">
            <v>40889</v>
          </cell>
          <cell r="E523">
            <v>10.97</v>
          </cell>
        </row>
        <row r="524">
          <cell r="A524">
            <v>40890</v>
          </cell>
          <cell r="E524">
            <v>10.74</v>
          </cell>
        </row>
        <row r="525">
          <cell r="A525">
            <v>40891</v>
          </cell>
          <cell r="E525">
            <v>10.98</v>
          </cell>
        </row>
        <row r="526">
          <cell r="A526">
            <v>40892</v>
          </cell>
          <cell r="E526">
            <v>11</v>
          </cell>
        </row>
        <row r="527">
          <cell r="A527">
            <v>40893</v>
          </cell>
          <cell r="E527">
            <v>10.92</v>
          </cell>
        </row>
        <row r="528">
          <cell r="A528">
            <v>40896</v>
          </cell>
          <cell r="E528">
            <v>10.85</v>
          </cell>
        </row>
        <row r="529">
          <cell r="A529">
            <v>40897</v>
          </cell>
          <cell r="E529">
            <v>11.4</v>
          </cell>
        </row>
        <row r="530">
          <cell r="A530">
            <v>40898</v>
          </cell>
          <cell r="E530">
            <v>11.6</v>
          </cell>
        </row>
        <row r="531">
          <cell r="A531">
            <v>40899</v>
          </cell>
          <cell r="E531">
            <v>11.47</v>
          </cell>
        </row>
        <row r="532">
          <cell r="A532">
            <v>40900</v>
          </cell>
          <cell r="E532">
            <v>11.44</v>
          </cell>
        </row>
        <row r="533">
          <cell r="A533">
            <v>40904</v>
          </cell>
          <cell r="E533">
            <v>11.27</v>
          </cell>
        </row>
        <row r="534">
          <cell r="A534">
            <v>40905</v>
          </cell>
          <cell r="E534">
            <v>11</v>
          </cell>
        </row>
        <row r="535">
          <cell r="A535">
            <v>40906</v>
          </cell>
          <cell r="E535">
            <v>11.15</v>
          </cell>
        </row>
        <row r="536">
          <cell r="A536">
            <v>40907</v>
          </cell>
          <cell r="E536">
            <v>10.98</v>
          </cell>
        </row>
        <row r="537">
          <cell r="A537">
            <v>40911</v>
          </cell>
          <cell r="E537">
            <v>10.77</v>
          </cell>
        </row>
        <row r="538">
          <cell r="A538">
            <v>40912</v>
          </cell>
          <cell r="E538">
            <v>10.62</v>
          </cell>
        </row>
        <row r="539">
          <cell r="A539">
            <v>40913</v>
          </cell>
          <cell r="E539">
            <v>10.53</v>
          </cell>
        </row>
        <row r="540">
          <cell r="A540">
            <v>40914</v>
          </cell>
          <cell r="E540">
            <v>10.5</v>
          </cell>
        </row>
        <row r="541">
          <cell r="A541">
            <v>40917</v>
          </cell>
          <cell r="E541">
            <v>10.27</v>
          </cell>
        </row>
        <row r="542">
          <cell r="A542">
            <v>40918</v>
          </cell>
          <cell r="E542">
            <v>10.33</v>
          </cell>
        </row>
        <row r="543">
          <cell r="A543">
            <v>40919</v>
          </cell>
          <cell r="E543">
            <v>10.36</v>
          </cell>
        </row>
        <row r="544">
          <cell r="A544">
            <v>40920</v>
          </cell>
          <cell r="E544">
            <v>10.27</v>
          </cell>
        </row>
        <row r="545">
          <cell r="A545">
            <v>40921</v>
          </cell>
          <cell r="E545">
            <v>10.17</v>
          </cell>
        </row>
        <row r="546">
          <cell r="A546">
            <v>40925</v>
          </cell>
          <cell r="E546">
            <v>10.050000000000001</v>
          </cell>
        </row>
        <row r="547">
          <cell r="A547">
            <v>40926</v>
          </cell>
          <cell r="E547">
            <v>9.9700000000000006</v>
          </cell>
        </row>
        <row r="548">
          <cell r="A548">
            <v>40927</v>
          </cell>
          <cell r="E548">
            <v>9.9600000000000009</v>
          </cell>
        </row>
        <row r="549">
          <cell r="A549">
            <v>40928</v>
          </cell>
          <cell r="E549">
            <v>9.8000000000000007</v>
          </cell>
        </row>
        <row r="550">
          <cell r="A550">
            <v>40931</v>
          </cell>
          <cell r="E550">
            <v>9.6199999999999992</v>
          </cell>
        </row>
        <row r="551">
          <cell r="A551">
            <v>40932</v>
          </cell>
          <cell r="E551">
            <v>9.93</v>
          </cell>
        </row>
        <row r="552">
          <cell r="A552">
            <v>40933</v>
          </cell>
          <cell r="E552">
            <v>10.130000000000001</v>
          </cell>
        </row>
        <row r="553">
          <cell r="A553">
            <v>40934</v>
          </cell>
          <cell r="E553">
            <v>10.06</v>
          </cell>
        </row>
        <row r="554">
          <cell r="A554">
            <v>40935</v>
          </cell>
          <cell r="E554">
            <v>10.210000000000001</v>
          </cell>
        </row>
        <row r="555">
          <cell r="A555">
            <v>40938</v>
          </cell>
          <cell r="E555">
            <v>10.199999999999999</v>
          </cell>
        </row>
        <row r="556">
          <cell r="A556">
            <v>40939</v>
          </cell>
          <cell r="E556">
            <v>10.25</v>
          </cell>
        </row>
        <row r="557">
          <cell r="A557">
            <v>40940</v>
          </cell>
          <cell r="E557">
            <v>10.43</v>
          </cell>
        </row>
        <row r="558">
          <cell r="A558">
            <v>40941</v>
          </cell>
          <cell r="E558">
            <v>10.15</v>
          </cell>
        </row>
        <row r="559">
          <cell r="A559">
            <v>40942</v>
          </cell>
          <cell r="E559">
            <v>10.24</v>
          </cell>
        </row>
        <row r="560">
          <cell r="A560">
            <v>40945</v>
          </cell>
          <cell r="E560">
            <v>10.75</v>
          </cell>
        </row>
        <row r="561">
          <cell r="A561">
            <v>40946</v>
          </cell>
          <cell r="E561">
            <v>10.51</v>
          </cell>
        </row>
        <row r="562">
          <cell r="A562">
            <v>40947</v>
          </cell>
          <cell r="E562">
            <v>10.93</v>
          </cell>
        </row>
        <row r="563">
          <cell r="A563">
            <v>40948</v>
          </cell>
          <cell r="E563">
            <v>10.92</v>
          </cell>
        </row>
        <row r="564">
          <cell r="A564">
            <v>40949</v>
          </cell>
          <cell r="E564">
            <v>10.81</v>
          </cell>
        </row>
        <row r="565">
          <cell r="A565">
            <v>40952</v>
          </cell>
          <cell r="E565">
            <v>11.05</v>
          </cell>
        </row>
        <row r="566">
          <cell r="A566">
            <v>40953</v>
          </cell>
          <cell r="E566">
            <v>11.02</v>
          </cell>
        </row>
        <row r="567">
          <cell r="A567">
            <v>40954</v>
          </cell>
          <cell r="E567">
            <v>10.97</v>
          </cell>
        </row>
        <row r="568">
          <cell r="A568">
            <v>40955</v>
          </cell>
          <cell r="E568">
            <v>10.93</v>
          </cell>
        </row>
        <row r="569">
          <cell r="A569">
            <v>40956</v>
          </cell>
          <cell r="E569">
            <v>10.78</v>
          </cell>
        </row>
        <row r="570">
          <cell r="A570">
            <v>40960</v>
          </cell>
          <cell r="E570">
            <v>10.34</v>
          </cell>
        </row>
        <row r="571">
          <cell r="A571">
            <v>40961</v>
          </cell>
          <cell r="E571">
            <v>10.19</v>
          </cell>
        </row>
        <row r="572">
          <cell r="A572">
            <v>40962</v>
          </cell>
          <cell r="E572">
            <v>10.61</v>
          </cell>
        </row>
        <row r="573">
          <cell r="A573">
            <v>40963</v>
          </cell>
          <cell r="E573">
            <v>10.63</v>
          </cell>
        </row>
        <row r="574">
          <cell r="A574">
            <v>40966</v>
          </cell>
          <cell r="E574">
            <v>10.52</v>
          </cell>
        </row>
        <row r="575">
          <cell r="A575">
            <v>40967</v>
          </cell>
          <cell r="E575">
            <v>10.58</v>
          </cell>
        </row>
        <row r="576">
          <cell r="A576">
            <v>40968</v>
          </cell>
          <cell r="E576">
            <v>10.25</v>
          </cell>
        </row>
        <row r="577">
          <cell r="A577">
            <v>40969</v>
          </cell>
          <cell r="E577">
            <v>10.07</v>
          </cell>
        </row>
        <row r="578">
          <cell r="A578">
            <v>40970</v>
          </cell>
          <cell r="E578">
            <v>10.119999999999999</v>
          </cell>
        </row>
        <row r="579">
          <cell r="A579">
            <v>40973</v>
          </cell>
          <cell r="E579">
            <v>10.11</v>
          </cell>
        </row>
        <row r="580">
          <cell r="A580">
            <v>40974</v>
          </cell>
          <cell r="E580">
            <v>10.02</v>
          </cell>
        </row>
        <row r="581">
          <cell r="A581">
            <v>40975</v>
          </cell>
          <cell r="E581">
            <v>9.93</v>
          </cell>
        </row>
        <row r="582">
          <cell r="A582">
            <v>40976</v>
          </cell>
          <cell r="E582">
            <v>10.029999999999999</v>
          </cell>
        </row>
        <row r="583">
          <cell r="A583">
            <v>40977</v>
          </cell>
          <cell r="E583">
            <v>10.27</v>
          </cell>
        </row>
        <row r="584">
          <cell r="A584">
            <v>40980</v>
          </cell>
          <cell r="E584">
            <v>10.26</v>
          </cell>
        </row>
        <row r="585">
          <cell r="A585">
            <v>40981</v>
          </cell>
          <cell r="E585">
            <v>10.47</v>
          </cell>
        </row>
        <row r="586">
          <cell r="A586">
            <v>40982</v>
          </cell>
          <cell r="E586">
            <v>10.39</v>
          </cell>
        </row>
        <row r="587">
          <cell r="A587">
            <v>40983</v>
          </cell>
          <cell r="E587">
            <v>10.56</v>
          </cell>
        </row>
        <row r="588">
          <cell r="A588">
            <v>40984</v>
          </cell>
          <cell r="E588">
            <v>10.47</v>
          </cell>
        </row>
        <row r="589">
          <cell r="A589">
            <v>40987</v>
          </cell>
          <cell r="E589">
            <v>10.48</v>
          </cell>
        </row>
        <row r="590">
          <cell r="A590">
            <v>40988</v>
          </cell>
          <cell r="E590">
            <v>10.43</v>
          </cell>
        </row>
        <row r="591">
          <cell r="A591">
            <v>40989</v>
          </cell>
          <cell r="E591">
            <v>10.55</v>
          </cell>
        </row>
        <row r="592">
          <cell r="A592">
            <v>40990</v>
          </cell>
          <cell r="E592">
            <v>10.55</v>
          </cell>
        </row>
        <row r="593">
          <cell r="A593">
            <v>40991</v>
          </cell>
          <cell r="E593">
            <v>10.66</v>
          </cell>
        </row>
        <row r="594">
          <cell r="A594">
            <v>40994</v>
          </cell>
          <cell r="E594">
            <v>11.22</v>
          </cell>
        </row>
        <row r="595">
          <cell r="A595">
            <v>40995</v>
          </cell>
          <cell r="E595">
            <v>10.98</v>
          </cell>
        </row>
        <row r="596">
          <cell r="A596">
            <v>40996</v>
          </cell>
          <cell r="E596">
            <v>10.85</v>
          </cell>
        </row>
        <row r="597">
          <cell r="A597">
            <v>40997</v>
          </cell>
          <cell r="E597">
            <v>10.75</v>
          </cell>
        </row>
        <row r="598">
          <cell r="A598">
            <v>40998</v>
          </cell>
          <cell r="E598">
            <v>10.72</v>
          </cell>
        </row>
        <row r="599">
          <cell r="A599">
            <v>41001</v>
          </cell>
          <cell r="E599">
            <v>10.79</v>
          </cell>
        </row>
        <row r="600">
          <cell r="A600">
            <v>41002</v>
          </cell>
          <cell r="E600">
            <v>10.54</v>
          </cell>
        </row>
        <row r="601">
          <cell r="A601">
            <v>41003</v>
          </cell>
          <cell r="E601">
            <v>10.24</v>
          </cell>
        </row>
        <row r="602">
          <cell r="A602">
            <v>41004</v>
          </cell>
          <cell r="E602">
            <v>9.9499999999999993</v>
          </cell>
        </row>
        <row r="603">
          <cell r="A603">
            <v>41008</v>
          </cell>
          <cell r="E603">
            <v>9.41</v>
          </cell>
        </row>
        <row r="604">
          <cell r="A604">
            <v>41009</v>
          </cell>
          <cell r="E604">
            <v>8.9</v>
          </cell>
        </row>
        <row r="605">
          <cell r="A605">
            <v>41010</v>
          </cell>
          <cell r="E605">
            <v>9.11</v>
          </cell>
        </row>
        <row r="606">
          <cell r="A606">
            <v>41011</v>
          </cell>
          <cell r="E606">
            <v>9.24</v>
          </cell>
        </row>
        <row r="607">
          <cell r="A607">
            <v>41012</v>
          </cell>
          <cell r="E607">
            <v>9.1300000000000008</v>
          </cell>
        </row>
        <row r="608">
          <cell r="A608">
            <v>41015</v>
          </cell>
          <cell r="E608">
            <v>9.19</v>
          </cell>
        </row>
        <row r="609">
          <cell r="A609">
            <v>41016</v>
          </cell>
          <cell r="E609">
            <v>9.24</v>
          </cell>
        </row>
        <row r="610">
          <cell r="A610">
            <v>41017</v>
          </cell>
          <cell r="E610">
            <v>9.23</v>
          </cell>
        </row>
        <row r="611">
          <cell r="A611">
            <v>41018</v>
          </cell>
          <cell r="E611">
            <v>9.17</v>
          </cell>
        </row>
        <row r="612">
          <cell r="A612">
            <v>41019</v>
          </cell>
          <cell r="E612">
            <v>9.94</v>
          </cell>
        </row>
        <row r="613">
          <cell r="A613">
            <v>41022</v>
          </cell>
          <cell r="E613">
            <v>9.4499999999999993</v>
          </cell>
        </row>
        <row r="614">
          <cell r="A614">
            <v>41023</v>
          </cell>
          <cell r="E614">
            <v>9.75</v>
          </cell>
        </row>
        <row r="615">
          <cell r="A615">
            <v>41024</v>
          </cell>
          <cell r="E615">
            <v>9.83</v>
          </cell>
        </row>
        <row r="616">
          <cell r="A616">
            <v>41025</v>
          </cell>
          <cell r="E616">
            <v>9.6999999999999993</v>
          </cell>
        </row>
        <row r="617">
          <cell r="A617">
            <v>41026</v>
          </cell>
          <cell r="E617">
            <v>9.98</v>
          </cell>
        </row>
        <row r="618">
          <cell r="A618">
            <v>41029</v>
          </cell>
          <cell r="E618">
            <v>9.74</v>
          </cell>
        </row>
        <row r="619">
          <cell r="A619">
            <v>41030</v>
          </cell>
          <cell r="E619">
            <v>9.64</v>
          </cell>
        </row>
        <row r="620">
          <cell r="A620">
            <v>41031</v>
          </cell>
          <cell r="E620">
            <v>10</v>
          </cell>
        </row>
        <row r="621">
          <cell r="A621">
            <v>41032</v>
          </cell>
          <cell r="E621">
            <v>9.5</v>
          </cell>
        </row>
        <row r="622">
          <cell r="A622">
            <v>41033</v>
          </cell>
          <cell r="E622">
            <v>9.35</v>
          </cell>
        </row>
        <row r="623">
          <cell r="A623">
            <v>41036</v>
          </cell>
          <cell r="E623">
            <v>9.4</v>
          </cell>
        </row>
        <row r="624">
          <cell r="A624">
            <v>41037</v>
          </cell>
          <cell r="E624">
            <v>9.26</v>
          </cell>
        </row>
        <row r="625">
          <cell r="A625">
            <v>41038</v>
          </cell>
          <cell r="E625">
            <v>9.14</v>
          </cell>
        </row>
        <row r="626">
          <cell r="A626">
            <v>41039</v>
          </cell>
          <cell r="E626">
            <v>9.06</v>
          </cell>
        </row>
        <row r="627">
          <cell r="A627">
            <v>41040</v>
          </cell>
          <cell r="E627">
            <v>8.89</v>
          </cell>
        </row>
        <row r="628">
          <cell r="A628">
            <v>41043</v>
          </cell>
          <cell r="E628">
            <v>8.66</v>
          </cell>
        </row>
        <row r="629">
          <cell r="A629">
            <v>41044</v>
          </cell>
          <cell r="E629">
            <v>8.7200000000000006</v>
          </cell>
        </row>
        <row r="630">
          <cell r="A630">
            <v>41045</v>
          </cell>
          <cell r="E630">
            <v>8.6</v>
          </cell>
        </row>
        <row r="631">
          <cell r="A631">
            <v>41046</v>
          </cell>
          <cell r="E631">
            <v>8.17</v>
          </cell>
        </row>
        <row r="632">
          <cell r="A632">
            <v>41047</v>
          </cell>
          <cell r="E632">
            <v>8.15</v>
          </cell>
        </row>
        <row r="633">
          <cell r="A633">
            <v>41050</v>
          </cell>
          <cell r="E633">
            <v>8.14</v>
          </cell>
        </row>
        <row r="634">
          <cell r="A634">
            <v>41051</v>
          </cell>
          <cell r="E634">
            <v>8.01</v>
          </cell>
        </row>
        <row r="635">
          <cell r="A635">
            <v>41052</v>
          </cell>
          <cell r="E635">
            <v>7.93</v>
          </cell>
        </row>
        <row r="636">
          <cell r="A636">
            <v>41053</v>
          </cell>
          <cell r="E636">
            <v>8.17</v>
          </cell>
        </row>
        <row r="637">
          <cell r="A637">
            <v>41054</v>
          </cell>
          <cell r="E637">
            <v>8</v>
          </cell>
        </row>
        <row r="638">
          <cell r="A638">
            <v>41058</v>
          </cell>
          <cell r="E638">
            <v>8</v>
          </cell>
        </row>
        <row r="639">
          <cell r="A639">
            <v>41059</v>
          </cell>
          <cell r="E639">
            <v>7.97</v>
          </cell>
        </row>
        <row r="640">
          <cell r="A640">
            <v>41060</v>
          </cell>
          <cell r="E640">
            <v>7.83</v>
          </cell>
        </row>
        <row r="641">
          <cell r="A641">
            <v>41061</v>
          </cell>
          <cell r="E641">
            <v>7.56</v>
          </cell>
        </row>
        <row r="642">
          <cell r="A642">
            <v>41064</v>
          </cell>
          <cell r="E642">
            <v>7.7</v>
          </cell>
        </row>
        <row r="643">
          <cell r="A643">
            <v>41065</v>
          </cell>
          <cell r="E643">
            <v>7.7</v>
          </cell>
        </row>
        <row r="644">
          <cell r="A644">
            <v>41066</v>
          </cell>
          <cell r="E644">
            <v>8.07</v>
          </cell>
        </row>
        <row r="645">
          <cell r="A645">
            <v>41067</v>
          </cell>
          <cell r="E645">
            <v>7.96</v>
          </cell>
        </row>
        <row r="646">
          <cell r="A646">
            <v>41068</v>
          </cell>
          <cell r="E646">
            <v>8.1</v>
          </cell>
        </row>
        <row r="647">
          <cell r="A647">
            <v>41071</v>
          </cell>
          <cell r="E647">
            <v>7.91</v>
          </cell>
        </row>
        <row r="648">
          <cell r="A648">
            <v>41072</v>
          </cell>
          <cell r="E648">
            <v>8.07</v>
          </cell>
        </row>
        <row r="649">
          <cell r="A649">
            <v>41073</v>
          </cell>
          <cell r="E649">
            <v>7.93</v>
          </cell>
        </row>
        <row r="650">
          <cell r="A650">
            <v>41074</v>
          </cell>
          <cell r="E650">
            <v>7.83</v>
          </cell>
        </row>
        <row r="651">
          <cell r="A651">
            <v>41075</v>
          </cell>
          <cell r="E651">
            <v>8.3000000000000007</v>
          </cell>
        </row>
        <row r="652">
          <cell r="A652">
            <v>41078</v>
          </cell>
          <cell r="E652">
            <v>8.2200000000000006</v>
          </cell>
        </row>
        <row r="653">
          <cell r="A653">
            <v>41079</v>
          </cell>
          <cell r="E653">
            <v>8.5399999999999991</v>
          </cell>
        </row>
        <row r="654">
          <cell r="A654">
            <v>41080</v>
          </cell>
          <cell r="E654">
            <v>8.5500000000000007</v>
          </cell>
        </row>
        <row r="655">
          <cell r="A655">
            <v>41081</v>
          </cell>
          <cell r="E655">
            <v>8.3000000000000007</v>
          </cell>
        </row>
        <row r="656">
          <cell r="A656">
            <v>41082</v>
          </cell>
          <cell r="E656">
            <v>8.32</v>
          </cell>
        </row>
        <row r="657">
          <cell r="A657">
            <v>41085</v>
          </cell>
          <cell r="E657">
            <v>8.1300000000000008</v>
          </cell>
        </row>
        <row r="658">
          <cell r="A658">
            <v>41086</v>
          </cell>
          <cell r="E658">
            <v>7.99</v>
          </cell>
        </row>
        <row r="659">
          <cell r="A659">
            <v>41087</v>
          </cell>
          <cell r="E659">
            <v>8.09</v>
          </cell>
        </row>
        <row r="660">
          <cell r="A660">
            <v>41088</v>
          </cell>
          <cell r="E660">
            <v>8.2200000000000006</v>
          </cell>
        </row>
        <row r="661">
          <cell r="A661">
            <v>41089</v>
          </cell>
          <cell r="E661">
            <v>8.66</v>
          </cell>
        </row>
        <row r="662">
          <cell r="A662">
            <v>41092</v>
          </cell>
          <cell r="E662">
            <v>8.68</v>
          </cell>
        </row>
        <row r="663">
          <cell r="A663">
            <v>41093</v>
          </cell>
          <cell r="E663">
            <v>8.83</v>
          </cell>
        </row>
        <row r="664">
          <cell r="A664">
            <v>41095</v>
          </cell>
          <cell r="E664">
            <v>8.44</v>
          </cell>
        </row>
        <row r="665">
          <cell r="A665">
            <v>41096</v>
          </cell>
          <cell r="E665">
            <v>8.41</v>
          </cell>
        </row>
        <row r="666">
          <cell r="A666">
            <v>41099</v>
          </cell>
          <cell r="E666">
            <v>8.6</v>
          </cell>
        </row>
        <row r="667">
          <cell r="A667">
            <v>41100</v>
          </cell>
          <cell r="E667">
            <v>8.65</v>
          </cell>
        </row>
        <row r="668">
          <cell r="A668">
            <v>41101</v>
          </cell>
          <cell r="E668">
            <v>8.81</v>
          </cell>
        </row>
        <row r="669">
          <cell r="A669">
            <v>41102</v>
          </cell>
          <cell r="E669">
            <v>8.9</v>
          </cell>
        </row>
        <row r="670">
          <cell r="A670">
            <v>41103</v>
          </cell>
          <cell r="E670">
            <v>8.9700000000000006</v>
          </cell>
        </row>
        <row r="671">
          <cell r="A671">
            <v>41106</v>
          </cell>
          <cell r="E671">
            <v>9.08</v>
          </cell>
        </row>
        <row r="672">
          <cell r="A672">
            <v>41107</v>
          </cell>
          <cell r="E672">
            <v>9.1</v>
          </cell>
        </row>
        <row r="673">
          <cell r="A673">
            <v>41108</v>
          </cell>
          <cell r="E673">
            <v>9.16</v>
          </cell>
        </row>
        <row r="674">
          <cell r="A674">
            <v>41109</v>
          </cell>
          <cell r="E674">
            <v>9.1999999999999993</v>
          </cell>
        </row>
        <row r="675">
          <cell r="A675">
            <v>41110</v>
          </cell>
          <cell r="E675">
            <v>9.18</v>
          </cell>
        </row>
        <row r="676">
          <cell r="A676">
            <v>41113</v>
          </cell>
          <cell r="E676">
            <v>8.85</v>
          </cell>
        </row>
        <row r="677">
          <cell r="A677">
            <v>41114</v>
          </cell>
          <cell r="E677">
            <v>8.77</v>
          </cell>
        </row>
        <row r="678">
          <cell r="A678">
            <v>41115</v>
          </cell>
          <cell r="E678">
            <v>8.9499999999999993</v>
          </cell>
        </row>
        <row r="679">
          <cell r="A679">
            <v>41116</v>
          </cell>
          <cell r="E679">
            <v>9.01</v>
          </cell>
        </row>
        <row r="680">
          <cell r="A680">
            <v>41117</v>
          </cell>
          <cell r="E680">
            <v>9.43</v>
          </cell>
        </row>
        <row r="681">
          <cell r="A681">
            <v>41120</v>
          </cell>
          <cell r="E681">
            <v>9.1999999999999993</v>
          </cell>
        </row>
        <row r="682">
          <cell r="A682">
            <v>41121</v>
          </cell>
          <cell r="E682">
            <v>9.2200000000000006</v>
          </cell>
        </row>
        <row r="683">
          <cell r="A683">
            <v>41122</v>
          </cell>
          <cell r="E683">
            <v>9.14</v>
          </cell>
        </row>
        <row r="684">
          <cell r="A684">
            <v>41123</v>
          </cell>
          <cell r="E684">
            <v>9.4499999999999993</v>
          </cell>
        </row>
        <row r="685">
          <cell r="A685">
            <v>41124</v>
          </cell>
          <cell r="E685">
            <v>9.57</v>
          </cell>
        </row>
        <row r="686">
          <cell r="A686">
            <v>41127</v>
          </cell>
          <cell r="E686">
            <v>9.39</v>
          </cell>
        </row>
        <row r="687">
          <cell r="A687">
            <v>41128</v>
          </cell>
          <cell r="E687">
            <v>9.1999999999999993</v>
          </cell>
        </row>
        <row r="688">
          <cell r="A688">
            <v>41129</v>
          </cell>
          <cell r="E688">
            <v>9.2100000000000009</v>
          </cell>
        </row>
        <row r="689">
          <cell r="A689">
            <v>41130</v>
          </cell>
          <cell r="E689">
            <v>9.3000000000000007</v>
          </cell>
        </row>
        <row r="690">
          <cell r="A690">
            <v>41131</v>
          </cell>
          <cell r="E690">
            <v>9.08</v>
          </cell>
        </row>
        <row r="691">
          <cell r="A691">
            <v>41134</v>
          </cell>
          <cell r="E691">
            <v>9.01</v>
          </cell>
        </row>
        <row r="692">
          <cell r="A692">
            <v>41135</v>
          </cell>
          <cell r="E692">
            <v>8.66</v>
          </cell>
        </row>
        <row r="693">
          <cell r="A693">
            <v>41136</v>
          </cell>
          <cell r="E693">
            <v>8.56</v>
          </cell>
        </row>
        <row r="694">
          <cell r="A694">
            <v>41137</v>
          </cell>
          <cell r="E694">
            <v>8.8000000000000007</v>
          </cell>
        </row>
        <row r="695">
          <cell r="A695">
            <v>41138</v>
          </cell>
          <cell r="E695">
            <v>8.8000000000000007</v>
          </cell>
        </row>
        <row r="696">
          <cell r="A696">
            <v>41141</v>
          </cell>
          <cell r="E696">
            <v>8.57</v>
          </cell>
        </row>
        <row r="697">
          <cell r="A697">
            <v>41142</v>
          </cell>
          <cell r="E697">
            <v>8.52</v>
          </cell>
        </row>
        <row r="698">
          <cell r="A698">
            <v>41143</v>
          </cell>
          <cell r="E698">
            <v>8.4700000000000006</v>
          </cell>
        </row>
        <row r="699">
          <cell r="A699">
            <v>41144</v>
          </cell>
          <cell r="E699">
            <v>8.39</v>
          </cell>
        </row>
        <row r="700">
          <cell r="A700">
            <v>41145</v>
          </cell>
          <cell r="E700">
            <v>8.34</v>
          </cell>
        </row>
        <row r="701">
          <cell r="A701">
            <v>41148</v>
          </cell>
          <cell r="E701">
            <v>8.35</v>
          </cell>
        </row>
        <row r="702">
          <cell r="A702">
            <v>41149</v>
          </cell>
          <cell r="E702">
            <v>8.3699999999999992</v>
          </cell>
        </row>
        <row r="703">
          <cell r="A703">
            <v>41150</v>
          </cell>
          <cell r="E703">
            <v>8.84</v>
          </cell>
        </row>
        <row r="704">
          <cell r="A704">
            <v>41151</v>
          </cell>
          <cell r="E704">
            <v>8.59</v>
          </cell>
        </row>
        <row r="705">
          <cell r="A705">
            <v>41152</v>
          </cell>
          <cell r="E705">
            <v>8.59</v>
          </cell>
        </row>
        <row r="706">
          <cell r="A706">
            <v>41156</v>
          </cell>
          <cell r="E706">
            <v>8.67</v>
          </cell>
        </row>
        <row r="707">
          <cell r="A707">
            <v>41157</v>
          </cell>
          <cell r="E707">
            <v>8.5299999999999994</v>
          </cell>
        </row>
        <row r="708">
          <cell r="A708">
            <v>41158</v>
          </cell>
          <cell r="E708">
            <v>8.6300000000000008</v>
          </cell>
        </row>
        <row r="709">
          <cell r="A709">
            <v>41159</v>
          </cell>
          <cell r="E709">
            <v>8.5500000000000007</v>
          </cell>
        </row>
        <row r="710">
          <cell r="A710">
            <v>41162</v>
          </cell>
          <cell r="E710">
            <v>8.32</v>
          </cell>
        </row>
        <row r="711">
          <cell r="A711">
            <v>41163</v>
          </cell>
          <cell r="E711">
            <v>8.39</v>
          </cell>
        </row>
        <row r="712">
          <cell r="A712">
            <v>41164</v>
          </cell>
          <cell r="E712">
            <v>8.61</v>
          </cell>
        </row>
        <row r="713">
          <cell r="A713">
            <v>41165</v>
          </cell>
          <cell r="E713">
            <v>9.06</v>
          </cell>
        </row>
        <row r="714">
          <cell r="A714">
            <v>41166</v>
          </cell>
          <cell r="E714">
            <v>9.2100000000000009</v>
          </cell>
        </row>
        <row r="715">
          <cell r="A715">
            <v>41169</v>
          </cell>
          <cell r="E715">
            <v>9.1199999999999992</v>
          </cell>
        </row>
        <row r="716">
          <cell r="A716">
            <v>41170</v>
          </cell>
          <cell r="E716">
            <v>9.11</v>
          </cell>
        </row>
        <row r="717">
          <cell r="A717">
            <v>41171</v>
          </cell>
          <cell r="E717">
            <v>9.19</v>
          </cell>
        </row>
        <row r="718">
          <cell r="A718">
            <v>41172</v>
          </cell>
          <cell r="E718">
            <v>9.1999999999999993</v>
          </cell>
        </row>
        <row r="719">
          <cell r="A719">
            <v>41173</v>
          </cell>
          <cell r="E719">
            <v>9.2100000000000009</v>
          </cell>
        </row>
        <row r="720">
          <cell r="A720">
            <v>41176</v>
          </cell>
          <cell r="E720">
            <v>9.43</v>
          </cell>
        </row>
        <row r="721">
          <cell r="A721">
            <v>41177</v>
          </cell>
          <cell r="E721">
            <v>9.2100000000000009</v>
          </cell>
        </row>
        <row r="722">
          <cell r="A722">
            <v>41178</v>
          </cell>
          <cell r="E722">
            <v>9.3000000000000007</v>
          </cell>
        </row>
        <row r="723">
          <cell r="A723">
            <v>41179</v>
          </cell>
          <cell r="E723">
            <v>9.43</v>
          </cell>
        </row>
        <row r="724">
          <cell r="A724">
            <v>41180</v>
          </cell>
          <cell r="E724">
            <v>9.44</v>
          </cell>
        </row>
        <row r="725">
          <cell r="A725">
            <v>41183</v>
          </cell>
          <cell r="E725">
            <v>9.44</v>
          </cell>
        </row>
        <row r="726">
          <cell r="A726">
            <v>41184</v>
          </cell>
          <cell r="E726">
            <v>9.3800000000000008</v>
          </cell>
        </row>
        <row r="727">
          <cell r="A727">
            <v>41185</v>
          </cell>
          <cell r="E727">
            <v>9.3000000000000007</v>
          </cell>
        </row>
        <row r="728">
          <cell r="A728">
            <v>41186</v>
          </cell>
          <cell r="E728">
            <v>9.26</v>
          </cell>
        </row>
        <row r="729">
          <cell r="A729">
            <v>41187</v>
          </cell>
          <cell r="E729">
            <v>9.1999999999999993</v>
          </cell>
        </row>
        <row r="730">
          <cell r="A730">
            <v>41190</v>
          </cell>
          <cell r="E730">
            <v>9.1999999999999993</v>
          </cell>
        </row>
        <row r="731">
          <cell r="A731">
            <v>41191</v>
          </cell>
          <cell r="E731">
            <v>9.08</v>
          </cell>
        </row>
        <row r="732">
          <cell r="A732">
            <v>41192</v>
          </cell>
          <cell r="E732">
            <v>9.16</v>
          </cell>
        </row>
        <row r="733">
          <cell r="A733">
            <v>41193</v>
          </cell>
          <cell r="E733">
            <v>9.16</v>
          </cell>
        </row>
        <row r="734">
          <cell r="A734">
            <v>41194</v>
          </cell>
          <cell r="E734">
            <v>9.17</v>
          </cell>
        </row>
        <row r="735">
          <cell r="A735">
            <v>41197</v>
          </cell>
          <cell r="E735">
            <v>9.18</v>
          </cell>
        </row>
        <row r="736">
          <cell r="A736">
            <v>41198</v>
          </cell>
          <cell r="E736">
            <v>9.08</v>
          </cell>
        </row>
        <row r="737">
          <cell r="A737">
            <v>41199</v>
          </cell>
          <cell r="E737">
            <v>8.7899999999999991</v>
          </cell>
        </row>
        <row r="738">
          <cell r="A738">
            <v>41200</v>
          </cell>
          <cell r="E738">
            <v>8.83</v>
          </cell>
        </row>
        <row r="739">
          <cell r="A739">
            <v>41201</v>
          </cell>
          <cell r="E739">
            <v>8.4</v>
          </cell>
        </row>
        <row r="740">
          <cell r="A740">
            <v>41204</v>
          </cell>
          <cell r="E740">
            <v>8.42</v>
          </cell>
        </row>
        <row r="741">
          <cell r="A741">
            <v>41205</v>
          </cell>
          <cell r="E741">
            <v>8.25</v>
          </cell>
        </row>
        <row r="742">
          <cell r="A742">
            <v>41206</v>
          </cell>
          <cell r="E742">
            <v>8.0299999999999994</v>
          </cell>
        </row>
        <row r="743">
          <cell r="A743">
            <v>41207</v>
          </cell>
          <cell r="E743">
            <v>10.06</v>
          </cell>
        </row>
        <row r="744">
          <cell r="A744">
            <v>41208</v>
          </cell>
          <cell r="E744">
            <v>9.8000000000000007</v>
          </cell>
        </row>
        <row r="745">
          <cell r="A745">
            <v>41213</v>
          </cell>
          <cell r="E745">
            <v>9.89</v>
          </cell>
        </row>
        <row r="746">
          <cell r="A746">
            <v>41214</v>
          </cell>
          <cell r="E746">
            <v>9.7899999999999991</v>
          </cell>
        </row>
        <row r="747">
          <cell r="A747">
            <v>41215</v>
          </cell>
          <cell r="E747">
            <v>9.6</v>
          </cell>
        </row>
        <row r="748">
          <cell r="A748">
            <v>41218</v>
          </cell>
          <cell r="E748">
            <v>9.82</v>
          </cell>
        </row>
        <row r="749">
          <cell r="A749">
            <v>41219</v>
          </cell>
          <cell r="E749">
            <v>9.75</v>
          </cell>
        </row>
        <row r="750">
          <cell r="A750">
            <v>41220</v>
          </cell>
          <cell r="E750">
            <v>9.43</v>
          </cell>
        </row>
        <row r="751">
          <cell r="A751">
            <v>41221</v>
          </cell>
          <cell r="E751">
            <v>9.39</v>
          </cell>
        </row>
        <row r="752">
          <cell r="A752">
            <v>41222</v>
          </cell>
          <cell r="E752">
            <v>9.73</v>
          </cell>
        </row>
        <row r="753">
          <cell r="A753">
            <v>41225</v>
          </cell>
          <cell r="E753">
            <v>9.82</v>
          </cell>
        </row>
        <row r="754">
          <cell r="A754">
            <v>41226</v>
          </cell>
          <cell r="E754">
            <v>9.74</v>
          </cell>
        </row>
        <row r="755">
          <cell r="A755">
            <v>41227</v>
          </cell>
          <cell r="E755">
            <v>9.26</v>
          </cell>
        </row>
        <row r="756">
          <cell r="A756">
            <v>41228</v>
          </cell>
          <cell r="E756">
            <v>8.9700000000000006</v>
          </cell>
        </row>
        <row r="757">
          <cell r="A757">
            <v>41229</v>
          </cell>
          <cell r="E757">
            <v>8.7100000000000009</v>
          </cell>
        </row>
        <row r="758">
          <cell r="A758">
            <v>41232</v>
          </cell>
          <cell r="E758">
            <v>8.8800000000000008</v>
          </cell>
        </row>
        <row r="759">
          <cell r="A759">
            <v>41233</v>
          </cell>
          <cell r="E759">
            <v>8.8699999999999992</v>
          </cell>
        </row>
        <row r="760">
          <cell r="A760">
            <v>41234</v>
          </cell>
          <cell r="E760">
            <v>8.86</v>
          </cell>
        </row>
        <row r="761">
          <cell r="A761">
            <v>41236</v>
          </cell>
          <cell r="E761">
            <v>9.0299999999999994</v>
          </cell>
        </row>
        <row r="762">
          <cell r="A762">
            <v>41239</v>
          </cell>
          <cell r="E762">
            <v>8.7100000000000009</v>
          </cell>
        </row>
        <row r="763">
          <cell r="A763">
            <v>41240</v>
          </cell>
          <cell r="E763">
            <v>8.74</v>
          </cell>
        </row>
        <row r="764">
          <cell r="A764">
            <v>41241</v>
          </cell>
          <cell r="E764">
            <v>8.5299999999999994</v>
          </cell>
        </row>
        <row r="765">
          <cell r="A765">
            <v>41242</v>
          </cell>
          <cell r="E765">
            <v>8.59</v>
          </cell>
        </row>
        <row r="766">
          <cell r="A766">
            <v>41243</v>
          </cell>
          <cell r="E766">
            <v>8.56</v>
          </cell>
        </row>
        <row r="767">
          <cell r="A767">
            <v>41246</v>
          </cell>
          <cell r="E767">
            <v>8.5500000000000007</v>
          </cell>
        </row>
        <row r="768">
          <cell r="A768">
            <v>41247</v>
          </cell>
          <cell r="E768">
            <v>8.5399999999999991</v>
          </cell>
        </row>
        <row r="769">
          <cell r="A769">
            <v>41248</v>
          </cell>
          <cell r="E769">
            <v>8.4600000000000009</v>
          </cell>
        </row>
        <row r="770">
          <cell r="A770">
            <v>41249</v>
          </cell>
          <cell r="E770">
            <v>8.51</v>
          </cell>
        </row>
        <row r="771">
          <cell r="A771">
            <v>41250</v>
          </cell>
          <cell r="E771">
            <v>8.61</v>
          </cell>
        </row>
        <row r="772">
          <cell r="A772">
            <v>41253</v>
          </cell>
          <cell r="E772">
            <v>8.74</v>
          </cell>
        </row>
        <row r="773">
          <cell r="A773">
            <v>41254</v>
          </cell>
          <cell r="E773">
            <v>8.84</v>
          </cell>
        </row>
        <row r="774">
          <cell r="A774">
            <v>41255</v>
          </cell>
          <cell r="E774">
            <v>8.76</v>
          </cell>
        </row>
        <row r="775">
          <cell r="A775">
            <v>41256</v>
          </cell>
          <cell r="E775">
            <v>8.7100000000000009</v>
          </cell>
        </row>
        <row r="776">
          <cell r="A776">
            <v>41257</v>
          </cell>
          <cell r="E776">
            <v>8.81</v>
          </cell>
        </row>
        <row r="777">
          <cell r="A777">
            <v>41260</v>
          </cell>
          <cell r="E777">
            <v>9.01</v>
          </cell>
        </row>
        <row r="778">
          <cell r="A778">
            <v>41261</v>
          </cell>
          <cell r="E778">
            <v>9.35</v>
          </cell>
        </row>
        <row r="779">
          <cell r="A779">
            <v>41262</v>
          </cell>
          <cell r="E779">
            <v>9.51</v>
          </cell>
        </row>
        <row r="780">
          <cell r="A780">
            <v>41263</v>
          </cell>
          <cell r="E780">
            <v>9.6999999999999993</v>
          </cell>
        </row>
        <row r="781">
          <cell r="A781">
            <v>41264</v>
          </cell>
          <cell r="E781">
            <v>9.5299999999999994</v>
          </cell>
        </row>
        <row r="782">
          <cell r="A782">
            <v>41267</v>
          </cell>
          <cell r="E782">
            <v>9.33</v>
          </cell>
        </row>
        <row r="783">
          <cell r="A783">
            <v>41269</v>
          </cell>
          <cell r="E783">
            <v>9.42</v>
          </cell>
        </row>
        <row r="784">
          <cell r="A784">
            <v>41270</v>
          </cell>
          <cell r="E784">
            <v>9.1199999999999992</v>
          </cell>
        </row>
        <row r="785">
          <cell r="A785">
            <v>41271</v>
          </cell>
          <cell r="E785">
            <v>8.7899999999999991</v>
          </cell>
        </row>
        <row r="786">
          <cell r="A786">
            <v>41274</v>
          </cell>
          <cell r="E786">
            <v>9.75</v>
          </cell>
        </row>
        <row r="787">
          <cell r="A787">
            <v>41276</v>
          </cell>
          <cell r="E787">
            <v>10.49</v>
          </cell>
        </row>
        <row r="788">
          <cell r="A788">
            <v>41277</v>
          </cell>
          <cell r="E788">
            <v>10.31</v>
          </cell>
        </row>
        <row r="789">
          <cell r="A789">
            <v>41278</v>
          </cell>
          <cell r="E789">
            <v>10.15</v>
          </cell>
        </row>
        <row r="790">
          <cell r="A790">
            <v>41281</v>
          </cell>
          <cell r="E790">
            <v>10.09</v>
          </cell>
        </row>
        <row r="791">
          <cell r="A791">
            <v>41282</v>
          </cell>
          <cell r="E791">
            <v>10.119999999999999</v>
          </cell>
        </row>
        <row r="792">
          <cell r="A792">
            <v>41283</v>
          </cell>
          <cell r="E792">
            <v>10.23</v>
          </cell>
        </row>
        <row r="793">
          <cell r="A793">
            <v>41284</v>
          </cell>
          <cell r="E793">
            <v>10.220000000000001</v>
          </cell>
        </row>
        <row r="794">
          <cell r="A794">
            <v>41285</v>
          </cell>
          <cell r="E794">
            <v>10.119999999999999</v>
          </cell>
        </row>
        <row r="795">
          <cell r="A795">
            <v>41288</v>
          </cell>
          <cell r="E795">
            <v>10.08</v>
          </cell>
        </row>
        <row r="796">
          <cell r="A796">
            <v>41289</v>
          </cell>
          <cell r="E796">
            <v>10.02</v>
          </cell>
        </row>
        <row r="797">
          <cell r="A797">
            <v>41290</v>
          </cell>
          <cell r="E797">
            <v>9.7899999999999991</v>
          </cell>
        </row>
        <row r="798">
          <cell r="A798">
            <v>41291</v>
          </cell>
          <cell r="E798">
            <v>9.93</v>
          </cell>
        </row>
        <row r="799">
          <cell r="A799">
            <v>41292</v>
          </cell>
          <cell r="E799">
            <v>9.8800000000000008</v>
          </cell>
        </row>
        <row r="800">
          <cell r="A800">
            <v>41296</v>
          </cell>
          <cell r="E800">
            <v>9.7100000000000009</v>
          </cell>
        </row>
        <row r="801">
          <cell r="A801">
            <v>41297</v>
          </cell>
          <cell r="E801">
            <v>9.8000000000000007</v>
          </cell>
        </row>
        <row r="802">
          <cell r="A802">
            <v>41298</v>
          </cell>
          <cell r="E802">
            <v>9.7899999999999991</v>
          </cell>
        </row>
        <row r="803">
          <cell r="A803">
            <v>41299</v>
          </cell>
          <cell r="E803">
            <v>9.7899999999999991</v>
          </cell>
        </row>
        <row r="804">
          <cell r="A804">
            <v>41302</v>
          </cell>
          <cell r="E804">
            <v>9.7799999999999994</v>
          </cell>
        </row>
        <row r="805">
          <cell r="A805">
            <v>41303</v>
          </cell>
          <cell r="E805">
            <v>9.92</v>
          </cell>
        </row>
        <row r="806">
          <cell r="A806">
            <v>41304</v>
          </cell>
          <cell r="E806">
            <v>9.8000000000000007</v>
          </cell>
        </row>
        <row r="807">
          <cell r="A807">
            <v>41305</v>
          </cell>
          <cell r="E807">
            <v>9.76</v>
          </cell>
        </row>
        <row r="808">
          <cell r="A808">
            <v>41306</v>
          </cell>
          <cell r="E808">
            <v>10.3</v>
          </cell>
        </row>
        <row r="809">
          <cell r="A809">
            <v>41309</v>
          </cell>
          <cell r="E809">
            <v>9.85</v>
          </cell>
        </row>
        <row r="810">
          <cell r="A810">
            <v>41310</v>
          </cell>
          <cell r="E810">
            <v>10.35</v>
          </cell>
        </row>
        <row r="811">
          <cell r="A811">
            <v>41311</v>
          </cell>
          <cell r="E811">
            <v>10.49</v>
          </cell>
        </row>
        <row r="812">
          <cell r="A812">
            <v>41312</v>
          </cell>
          <cell r="E812">
            <v>10.5</v>
          </cell>
        </row>
        <row r="813">
          <cell r="A813">
            <v>41313</v>
          </cell>
          <cell r="E813">
            <v>10.61</v>
          </cell>
        </row>
        <row r="814">
          <cell r="A814">
            <v>41316</v>
          </cell>
          <cell r="E814">
            <v>11.15</v>
          </cell>
        </row>
        <row r="815">
          <cell r="A815">
            <v>41317</v>
          </cell>
          <cell r="E815">
            <v>11.48</v>
          </cell>
        </row>
        <row r="816">
          <cell r="A816">
            <v>41318</v>
          </cell>
          <cell r="E816">
            <v>11.67</v>
          </cell>
        </row>
        <row r="817">
          <cell r="A817">
            <v>41319</v>
          </cell>
          <cell r="E817">
            <v>11.56</v>
          </cell>
        </row>
        <row r="818">
          <cell r="A818">
            <v>41320</v>
          </cell>
          <cell r="E818">
            <v>11.7</v>
          </cell>
        </row>
        <row r="819">
          <cell r="A819">
            <v>41324</v>
          </cell>
          <cell r="E819">
            <v>11.79</v>
          </cell>
        </row>
        <row r="820">
          <cell r="A820">
            <v>41325</v>
          </cell>
          <cell r="E820">
            <v>11.77</v>
          </cell>
        </row>
        <row r="821">
          <cell r="A821">
            <v>41326</v>
          </cell>
          <cell r="E821">
            <v>11.72</v>
          </cell>
        </row>
        <row r="822">
          <cell r="A822">
            <v>41327</v>
          </cell>
          <cell r="E822">
            <v>11.8</v>
          </cell>
        </row>
        <row r="823">
          <cell r="A823">
            <v>41330</v>
          </cell>
          <cell r="E823">
            <v>11.71</v>
          </cell>
        </row>
        <row r="824">
          <cell r="A824">
            <v>41331</v>
          </cell>
          <cell r="E824">
            <v>11.72</v>
          </cell>
        </row>
        <row r="825">
          <cell r="A825">
            <v>41332</v>
          </cell>
          <cell r="E825">
            <v>11.71</v>
          </cell>
        </row>
        <row r="826">
          <cell r="A826">
            <v>41333</v>
          </cell>
          <cell r="E826">
            <v>11.74</v>
          </cell>
        </row>
        <row r="827">
          <cell r="A827">
            <v>41334</v>
          </cell>
          <cell r="E827">
            <v>11.77</v>
          </cell>
        </row>
        <row r="828">
          <cell r="A828">
            <v>41337</v>
          </cell>
          <cell r="E828">
            <v>11.83</v>
          </cell>
        </row>
        <row r="829">
          <cell r="A829">
            <v>41338</v>
          </cell>
          <cell r="E829">
            <v>12.21</v>
          </cell>
        </row>
        <row r="830">
          <cell r="A830">
            <v>41339</v>
          </cell>
          <cell r="E830">
            <v>12.21</v>
          </cell>
        </row>
        <row r="831">
          <cell r="A831">
            <v>41340</v>
          </cell>
          <cell r="E831">
            <v>12.06</v>
          </cell>
        </row>
        <row r="832">
          <cell r="A832">
            <v>41341</v>
          </cell>
          <cell r="E832">
            <v>12.14</v>
          </cell>
        </row>
        <row r="833">
          <cell r="A833">
            <v>41344</v>
          </cell>
          <cell r="E833">
            <v>12.1</v>
          </cell>
        </row>
        <row r="834">
          <cell r="A834">
            <v>41345</v>
          </cell>
          <cell r="E834">
            <v>12.05</v>
          </cell>
        </row>
        <row r="835">
          <cell r="A835">
            <v>41346</v>
          </cell>
          <cell r="E835">
            <v>12.18</v>
          </cell>
        </row>
        <row r="836">
          <cell r="A836">
            <v>41347</v>
          </cell>
          <cell r="E836">
            <v>12.19</v>
          </cell>
        </row>
        <row r="837">
          <cell r="A837">
            <v>41348</v>
          </cell>
          <cell r="E837">
            <v>12.19</v>
          </cell>
        </row>
        <row r="838">
          <cell r="A838">
            <v>41351</v>
          </cell>
          <cell r="E838">
            <v>12.1</v>
          </cell>
        </row>
        <row r="839">
          <cell r="A839">
            <v>41352</v>
          </cell>
          <cell r="E839">
            <v>12.13</v>
          </cell>
        </row>
        <row r="840">
          <cell r="A840">
            <v>41353</v>
          </cell>
          <cell r="E840">
            <v>12.51</v>
          </cell>
        </row>
        <row r="841">
          <cell r="A841">
            <v>41354</v>
          </cell>
          <cell r="E841">
            <v>12.11</v>
          </cell>
        </row>
        <row r="842">
          <cell r="A842">
            <v>41355</v>
          </cell>
          <cell r="E842">
            <v>12.35</v>
          </cell>
        </row>
        <row r="843">
          <cell r="A843">
            <v>41358</v>
          </cell>
          <cell r="E843">
            <v>12.4</v>
          </cell>
        </row>
        <row r="844">
          <cell r="A844">
            <v>41359</v>
          </cell>
          <cell r="E844">
            <v>12.61</v>
          </cell>
        </row>
        <row r="845">
          <cell r="A845">
            <v>41360</v>
          </cell>
          <cell r="E845">
            <v>12.65</v>
          </cell>
        </row>
        <row r="846">
          <cell r="A846">
            <v>41361</v>
          </cell>
          <cell r="E846">
            <v>12.71</v>
          </cell>
        </row>
        <row r="847">
          <cell r="A847">
            <v>41365</v>
          </cell>
          <cell r="E847">
            <v>12.12</v>
          </cell>
        </row>
        <row r="848">
          <cell r="A848">
            <v>41366</v>
          </cell>
          <cell r="E848">
            <v>11.91</v>
          </cell>
        </row>
        <row r="849">
          <cell r="A849">
            <v>41367</v>
          </cell>
          <cell r="E849">
            <v>11.79</v>
          </cell>
        </row>
        <row r="850">
          <cell r="A850">
            <v>41368</v>
          </cell>
          <cell r="E850">
            <v>11.63</v>
          </cell>
        </row>
        <row r="851">
          <cell r="A851">
            <v>41369</v>
          </cell>
          <cell r="E851">
            <v>11.73</v>
          </cell>
        </row>
        <row r="852">
          <cell r="A852">
            <v>41372</v>
          </cell>
          <cell r="E852">
            <v>11.74</v>
          </cell>
        </row>
        <row r="853">
          <cell r="A853">
            <v>41373</v>
          </cell>
          <cell r="E853">
            <v>11.74</v>
          </cell>
        </row>
        <row r="854">
          <cell r="A854">
            <v>41374</v>
          </cell>
          <cell r="E854">
            <v>11.9</v>
          </cell>
        </row>
        <row r="855">
          <cell r="A855">
            <v>41375</v>
          </cell>
          <cell r="E855">
            <v>11.89</v>
          </cell>
        </row>
        <row r="856">
          <cell r="A856">
            <v>41376</v>
          </cell>
          <cell r="E856">
            <v>12.02</v>
          </cell>
        </row>
        <row r="857">
          <cell r="A857">
            <v>41379</v>
          </cell>
          <cell r="E857">
            <v>11.64</v>
          </cell>
        </row>
        <row r="858">
          <cell r="A858">
            <v>41380</v>
          </cell>
          <cell r="E858">
            <v>11.52</v>
          </cell>
        </row>
        <row r="859">
          <cell r="A859">
            <v>41381</v>
          </cell>
          <cell r="E859">
            <v>11.12</v>
          </cell>
        </row>
        <row r="860">
          <cell r="A860">
            <v>41382</v>
          </cell>
          <cell r="E860">
            <v>10.84</v>
          </cell>
        </row>
        <row r="861">
          <cell r="A861">
            <v>41383</v>
          </cell>
          <cell r="E861">
            <v>10.9</v>
          </cell>
        </row>
        <row r="862">
          <cell r="A862">
            <v>41386</v>
          </cell>
          <cell r="E862">
            <v>10.82</v>
          </cell>
        </row>
        <row r="863">
          <cell r="A863">
            <v>41387</v>
          </cell>
          <cell r="E863">
            <v>11.45</v>
          </cell>
        </row>
        <row r="864">
          <cell r="A864">
            <v>41388</v>
          </cell>
          <cell r="E864">
            <v>11.31</v>
          </cell>
        </row>
        <row r="865">
          <cell r="A865">
            <v>41389</v>
          </cell>
          <cell r="E865">
            <v>11.44</v>
          </cell>
        </row>
        <row r="866">
          <cell r="A866">
            <v>41390</v>
          </cell>
          <cell r="E866">
            <v>11.3</v>
          </cell>
        </row>
        <row r="867">
          <cell r="A867">
            <v>41393</v>
          </cell>
          <cell r="E867">
            <v>11.75</v>
          </cell>
        </row>
        <row r="868">
          <cell r="A868">
            <v>41394</v>
          </cell>
          <cell r="E868">
            <v>11.85</v>
          </cell>
        </row>
        <row r="869">
          <cell r="A869">
            <v>41395</v>
          </cell>
          <cell r="E869">
            <v>11.91</v>
          </cell>
        </row>
        <row r="870">
          <cell r="A870">
            <v>41396</v>
          </cell>
          <cell r="E870">
            <v>11.98</v>
          </cell>
        </row>
        <row r="871">
          <cell r="A871">
            <v>41397</v>
          </cell>
          <cell r="E871">
            <v>12.26</v>
          </cell>
        </row>
        <row r="872">
          <cell r="A872">
            <v>41400</v>
          </cell>
          <cell r="E872">
            <v>13.46</v>
          </cell>
        </row>
        <row r="873">
          <cell r="A873">
            <v>41401</v>
          </cell>
          <cell r="E873">
            <v>14.06</v>
          </cell>
        </row>
        <row r="874">
          <cell r="A874">
            <v>41402</v>
          </cell>
          <cell r="E874">
            <v>14.02</v>
          </cell>
        </row>
        <row r="875">
          <cell r="A875">
            <v>41403</v>
          </cell>
          <cell r="E875">
            <v>13.98</v>
          </cell>
        </row>
        <row r="876">
          <cell r="A876">
            <v>41404</v>
          </cell>
          <cell r="E876">
            <v>13.85</v>
          </cell>
        </row>
        <row r="877">
          <cell r="A877">
            <v>41407</v>
          </cell>
          <cell r="E877">
            <v>13.82</v>
          </cell>
        </row>
        <row r="878">
          <cell r="A878">
            <v>41408</v>
          </cell>
          <cell r="E878">
            <v>14.08</v>
          </cell>
        </row>
        <row r="879">
          <cell r="A879">
            <v>41409</v>
          </cell>
          <cell r="E879">
            <v>13.98</v>
          </cell>
        </row>
        <row r="880">
          <cell r="A880">
            <v>41410</v>
          </cell>
          <cell r="E880">
            <v>13.86</v>
          </cell>
        </row>
        <row r="881">
          <cell r="A881">
            <v>41411</v>
          </cell>
          <cell r="E881">
            <v>14.18</v>
          </cell>
        </row>
        <row r="882">
          <cell r="A882">
            <v>41414</v>
          </cell>
          <cell r="E882">
            <v>13.77</v>
          </cell>
        </row>
        <row r="883">
          <cell r="A883">
            <v>41415</v>
          </cell>
          <cell r="E883">
            <v>14.13</v>
          </cell>
        </row>
        <row r="884">
          <cell r="A884">
            <v>41416</v>
          </cell>
          <cell r="E884">
            <v>14.52</v>
          </cell>
        </row>
        <row r="885">
          <cell r="A885">
            <v>41417</v>
          </cell>
          <cell r="E885">
            <v>14.76</v>
          </cell>
        </row>
        <row r="886">
          <cell r="A886">
            <v>41418</v>
          </cell>
          <cell r="E886">
            <v>14.89</v>
          </cell>
        </row>
        <row r="887">
          <cell r="A887">
            <v>41422</v>
          </cell>
          <cell r="E887">
            <v>15.09</v>
          </cell>
        </row>
        <row r="888">
          <cell r="A888">
            <v>41423</v>
          </cell>
          <cell r="E888">
            <v>14.99</v>
          </cell>
        </row>
        <row r="889">
          <cell r="A889">
            <v>41424</v>
          </cell>
          <cell r="E889">
            <v>15.37</v>
          </cell>
        </row>
        <row r="890">
          <cell r="A890">
            <v>41425</v>
          </cell>
          <cell r="E890">
            <v>15.29</v>
          </cell>
        </row>
        <row r="891">
          <cell r="A891">
            <v>41428</v>
          </cell>
          <cell r="E891">
            <v>15.88</v>
          </cell>
        </row>
        <row r="892">
          <cell r="A892">
            <v>41429</v>
          </cell>
          <cell r="E892">
            <v>16.47</v>
          </cell>
        </row>
        <row r="893">
          <cell r="A893">
            <v>41430</v>
          </cell>
          <cell r="E893">
            <v>16.260000000000002</v>
          </cell>
        </row>
        <row r="894">
          <cell r="A894">
            <v>41431</v>
          </cell>
          <cell r="E894">
            <v>16.12</v>
          </cell>
        </row>
        <row r="895">
          <cell r="A895">
            <v>41432</v>
          </cell>
          <cell r="E895">
            <v>16.27</v>
          </cell>
        </row>
        <row r="896">
          <cell r="A896">
            <v>41435</v>
          </cell>
          <cell r="E896">
            <v>16.84</v>
          </cell>
        </row>
        <row r="897">
          <cell r="A897">
            <v>41436</v>
          </cell>
          <cell r="E897">
            <v>16.920000000000002</v>
          </cell>
        </row>
        <row r="898">
          <cell r="A898">
            <v>41437</v>
          </cell>
          <cell r="E898">
            <v>16.95</v>
          </cell>
        </row>
        <row r="899">
          <cell r="A899">
            <v>41438</v>
          </cell>
          <cell r="E899">
            <v>17.010000000000002</v>
          </cell>
        </row>
        <row r="900">
          <cell r="A900">
            <v>41439</v>
          </cell>
          <cell r="E900">
            <v>16.670000000000002</v>
          </cell>
        </row>
        <row r="901">
          <cell r="A901">
            <v>41442</v>
          </cell>
          <cell r="E901">
            <v>17.11</v>
          </cell>
        </row>
        <row r="902">
          <cell r="A902">
            <v>41443</v>
          </cell>
          <cell r="E902">
            <v>17.489999999999998</v>
          </cell>
        </row>
        <row r="903">
          <cell r="A903">
            <v>41444</v>
          </cell>
          <cell r="E903">
            <v>17.329999999999998</v>
          </cell>
        </row>
        <row r="904">
          <cell r="A904">
            <v>41445</v>
          </cell>
          <cell r="E904">
            <v>16.59</v>
          </cell>
        </row>
        <row r="905">
          <cell r="A905">
            <v>41446</v>
          </cell>
          <cell r="E905">
            <v>16.399999999999999</v>
          </cell>
        </row>
        <row r="906">
          <cell r="A906">
            <v>41449</v>
          </cell>
          <cell r="E906">
            <v>16.16</v>
          </cell>
        </row>
        <row r="907">
          <cell r="A907">
            <v>41450</v>
          </cell>
          <cell r="E907">
            <v>16.54</v>
          </cell>
        </row>
        <row r="908">
          <cell r="A908">
            <v>41451</v>
          </cell>
          <cell r="E908">
            <v>16.93</v>
          </cell>
        </row>
        <row r="909">
          <cell r="A909">
            <v>41452</v>
          </cell>
          <cell r="E909">
            <v>17.239999999999998</v>
          </cell>
        </row>
        <row r="910">
          <cell r="A910">
            <v>41453</v>
          </cell>
          <cell r="E910">
            <v>17.420000000000002</v>
          </cell>
        </row>
        <row r="911">
          <cell r="A911">
            <v>41456</v>
          </cell>
          <cell r="E911">
            <v>17.079999999999998</v>
          </cell>
        </row>
        <row r="912">
          <cell r="A912">
            <v>41457</v>
          </cell>
          <cell r="E912">
            <v>17.3</v>
          </cell>
        </row>
        <row r="913">
          <cell r="A913">
            <v>41458</v>
          </cell>
          <cell r="E913">
            <v>17.3</v>
          </cell>
        </row>
        <row r="914">
          <cell r="A914">
            <v>41460</v>
          </cell>
          <cell r="E914">
            <v>18.010000000000002</v>
          </cell>
        </row>
        <row r="915">
          <cell r="A915">
            <v>41463</v>
          </cell>
          <cell r="E915">
            <v>17.86</v>
          </cell>
        </row>
        <row r="916">
          <cell r="A916">
            <v>41464</v>
          </cell>
          <cell r="E916">
            <v>17.690000000000001</v>
          </cell>
        </row>
        <row r="917">
          <cell r="A917">
            <v>41465</v>
          </cell>
          <cell r="E917">
            <v>17.7</v>
          </cell>
        </row>
        <row r="918">
          <cell r="A918">
            <v>41466</v>
          </cell>
          <cell r="E918">
            <v>18.010000000000002</v>
          </cell>
        </row>
        <row r="919">
          <cell r="A919">
            <v>41467</v>
          </cell>
          <cell r="E919">
            <v>18.079999999999998</v>
          </cell>
        </row>
        <row r="920">
          <cell r="A920">
            <v>41470</v>
          </cell>
          <cell r="E920">
            <v>18.239999999999998</v>
          </cell>
        </row>
        <row r="921">
          <cell r="A921">
            <v>41471</v>
          </cell>
          <cell r="E921">
            <v>17.68</v>
          </cell>
        </row>
        <row r="922">
          <cell r="A922">
            <v>41472</v>
          </cell>
          <cell r="E922">
            <v>17.670000000000002</v>
          </cell>
        </row>
        <row r="923">
          <cell r="A923">
            <v>41473</v>
          </cell>
          <cell r="E923">
            <v>17.66</v>
          </cell>
        </row>
        <row r="924">
          <cell r="A924">
            <v>41474</v>
          </cell>
          <cell r="E924">
            <v>17.53</v>
          </cell>
        </row>
        <row r="925">
          <cell r="A925">
            <v>41477</v>
          </cell>
          <cell r="E925">
            <v>17.850000000000001</v>
          </cell>
        </row>
        <row r="926">
          <cell r="A926">
            <v>41478</v>
          </cell>
          <cell r="E926">
            <v>17.75</v>
          </cell>
        </row>
        <row r="927">
          <cell r="A927">
            <v>41479</v>
          </cell>
          <cell r="E927">
            <v>17.559999999999999</v>
          </cell>
        </row>
        <row r="928">
          <cell r="A928">
            <v>41480</v>
          </cell>
          <cell r="E928">
            <v>17.89</v>
          </cell>
        </row>
        <row r="929">
          <cell r="A929">
            <v>41481</v>
          </cell>
          <cell r="E929">
            <v>17.34</v>
          </cell>
        </row>
        <row r="930">
          <cell r="A930">
            <v>41484</v>
          </cell>
          <cell r="E930">
            <v>17.559999999999999</v>
          </cell>
        </row>
        <row r="931">
          <cell r="A931">
            <v>41485</v>
          </cell>
          <cell r="E931">
            <v>17.670000000000002</v>
          </cell>
        </row>
        <row r="932">
          <cell r="A932">
            <v>41486</v>
          </cell>
          <cell r="E932">
            <v>16.84</v>
          </cell>
        </row>
        <row r="933">
          <cell r="A933">
            <v>41487</v>
          </cell>
          <cell r="E933">
            <v>16.690000000000001</v>
          </cell>
        </row>
        <row r="934">
          <cell r="A934">
            <v>41488</v>
          </cell>
          <cell r="E934">
            <v>16.48</v>
          </cell>
        </row>
        <row r="935">
          <cell r="A935">
            <v>41491</v>
          </cell>
          <cell r="E935">
            <v>17.04</v>
          </cell>
        </row>
        <row r="936">
          <cell r="A936">
            <v>41492</v>
          </cell>
          <cell r="E936">
            <v>17.04</v>
          </cell>
        </row>
        <row r="937">
          <cell r="A937">
            <v>41493</v>
          </cell>
          <cell r="E937">
            <v>17.010000000000002</v>
          </cell>
        </row>
        <row r="938">
          <cell r="A938">
            <v>41494</v>
          </cell>
          <cell r="E938">
            <v>17.39</v>
          </cell>
        </row>
        <row r="939">
          <cell r="A939">
            <v>41495</v>
          </cell>
          <cell r="E939">
            <v>17.399999999999999</v>
          </cell>
        </row>
        <row r="940">
          <cell r="A940">
            <v>41498</v>
          </cell>
          <cell r="E940">
            <v>17.55</v>
          </cell>
        </row>
        <row r="941">
          <cell r="A941">
            <v>41499</v>
          </cell>
          <cell r="E941">
            <v>17.59</v>
          </cell>
        </row>
        <row r="942">
          <cell r="A942">
            <v>41500</v>
          </cell>
          <cell r="E942">
            <v>17.8</v>
          </cell>
        </row>
        <row r="943">
          <cell r="A943">
            <v>41501</v>
          </cell>
          <cell r="E943">
            <v>17.93</v>
          </cell>
        </row>
        <row r="944">
          <cell r="A944">
            <v>41502</v>
          </cell>
          <cell r="E944">
            <v>18.010000000000002</v>
          </cell>
        </row>
        <row r="945">
          <cell r="A945">
            <v>41505</v>
          </cell>
          <cell r="E945">
            <v>18.079999999999998</v>
          </cell>
        </row>
        <row r="946">
          <cell r="A946">
            <v>41506</v>
          </cell>
          <cell r="E946">
            <v>18.18</v>
          </cell>
        </row>
        <row r="947">
          <cell r="A947">
            <v>41507</v>
          </cell>
          <cell r="E947">
            <v>18.41</v>
          </cell>
        </row>
        <row r="948">
          <cell r="A948">
            <v>41508</v>
          </cell>
          <cell r="E948">
            <v>19.260000000000002</v>
          </cell>
        </row>
        <row r="949">
          <cell r="A949">
            <v>41509</v>
          </cell>
          <cell r="E949">
            <v>19.27</v>
          </cell>
        </row>
        <row r="950">
          <cell r="A950">
            <v>41512</v>
          </cell>
          <cell r="E950">
            <v>19.600000000000001</v>
          </cell>
        </row>
        <row r="951">
          <cell r="A951">
            <v>41513</v>
          </cell>
          <cell r="E951">
            <v>19.39</v>
          </cell>
        </row>
        <row r="952">
          <cell r="A952">
            <v>41514</v>
          </cell>
          <cell r="E952">
            <v>19.54</v>
          </cell>
        </row>
        <row r="953">
          <cell r="A953">
            <v>41515</v>
          </cell>
          <cell r="E953">
            <v>19.899999999999999</v>
          </cell>
        </row>
        <row r="954">
          <cell r="A954">
            <v>41516</v>
          </cell>
          <cell r="E954">
            <v>19.829999999999998</v>
          </cell>
        </row>
        <row r="955">
          <cell r="A955">
            <v>41520</v>
          </cell>
          <cell r="E955">
            <v>19.95</v>
          </cell>
        </row>
        <row r="956">
          <cell r="A956">
            <v>41521</v>
          </cell>
          <cell r="E956">
            <v>20.36</v>
          </cell>
        </row>
        <row r="957">
          <cell r="A957">
            <v>41522</v>
          </cell>
          <cell r="E957">
            <v>20.21</v>
          </cell>
        </row>
        <row r="958">
          <cell r="A958">
            <v>41523</v>
          </cell>
          <cell r="E958">
            <v>19.899999999999999</v>
          </cell>
        </row>
        <row r="959">
          <cell r="A959">
            <v>41526</v>
          </cell>
          <cell r="E959">
            <v>20.239999999999998</v>
          </cell>
        </row>
        <row r="960">
          <cell r="A960">
            <v>41527</v>
          </cell>
          <cell r="E960">
            <v>20.170000000000002</v>
          </cell>
        </row>
        <row r="961">
          <cell r="A961">
            <v>41528</v>
          </cell>
          <cell r="E961">
            <v>20.48</v>
          </cell>
        </row>
        <row r="962">
          <cell r="A962">
            <v>41529</v>
          </cell>
          <cell r="E962">
            <v>20.309999999999999</v>
          </cell>
        </row>
        <row r="963">
          <cell r="A963">
            <v>41530</v>
          </cell>
          <cell r="E963">
            <v>20.45</v>
          </cell>
        </row>
        <row r="964">
          <cell r="A964">
            <v>41533</v>
          </cell>
          <cell r="E964">
            <v>20.67</v>
          </cell>
        </row>
        <row r="965">
          <cell r="A965">
            <v>41534</v>
          </cell>
          <cell r="E965">
            <v>20.87</v>
          </cell>
        </row>
        <row r="966">
          <cell r="A966">
            <v>41535</v>
          </cell>
          <cell r="E966">
            <v>21</v>
          </cell>
        </row>
        <row r="967">
          <cell r="A967">
            <v>41536</v>
          </cell>
          <cell r="E967">
            <v>21.26</v>
          </cell>
        </row>
        <row r="968">
          <cell r="A968">
            <v>41537</v>
          </cell>
          <cell r="E968">
            <v>21.21</v>
          </cell>
        </row>
        <row r="969">
          <cell r="A969">
            <v>41540</v>
          </cell>
          <cell r="E969">
            <v>21.2</v>
          </cell>
        </row>
        <row r="970">
          <cell r="A970">
            <v>41541</v>
          </cell>
          <cell r="E970">
            <v>21.25</v>
          </cell>
        </row>
        <row r="971">
          <cell r="A971">
            <v>41542</v>
          </cell>
          <cell r="E971">
            <v>21.66</v>
          </cell>
        </row>
        <row r="972">
          <cell r="A972">
            <v>41543</v>
          </cell>
          <cell r="E972">
            <v>21.66</v>
          </cell>
        </row>
        <row r="973">
          <cell r="A973">
            <v>41544</v>
          </cell>
          <cell r="E973">
            <v>21.22</v>
          </cell>
        </row>
        <row r="974">
          <cell r="A974">
            <v>41547</v>
          </cell>
          <cell r="E974">
            <v>21.18</v>
          </cell>
        </row>
        <row r="975">
          <cell r="A975">
            <v>41548</v>
          </cell>
          <cell r="E975">
            <v>21.17</v>
          </cell>
        </row>
        <row r="976">
          <cell r="A976">
            <v>41549</v>
          </cell>
          <cell r="E976">
            <v>21.09</v>
          </cell>
        </row>
        <row r="977">
          <cell r="A977">
            <v>41550</v>
          </cell>
          <cell r="E977">
            <v>20.68</v>
          </cell>
        </row>
        <row r="978">
          <cell r="A978">
            <v>41551</v>
          </cell>
          <cell r="E978">
            <v>21.44</v>
          </cell>
        </row>
        <row r="979">
          <cell r="A979">
            <v>41554</v>
          </cell>
          <cell r="E979">
            <v>21.32</v>
          </cell>
        </row>
        <row r="980">
          <cell r="A980">
            <v>41555</v>
          </cell>
          <cell r="E980">
            <v>22.08</v>
          </cell>
        </row>
        <row r="981">
          <cell r="A981">
            <v>41556</v>
          </cell>
          <cell r="E981">
            <v>22.46</v>
          </cell>
        </row>
        <row r="982">
          <cell r="A982">
            <v>41557</v>
          </cell>
          <cell r="E982">
            <v>22.78</v>
          </cell>
        </row>
        <row r="983">
          <cell r="A983">
            <v>41558</v>
          </cell>
          <cell r="E983">
            <v>23.09</v>
          </cell>
        </row>
        <row r="984">
          <cell r="A984">
            <v>41561</v>
          </cell>
          <cell r="E984">
            <v>23.54</v>
          </cell>
        </row>
        <row r="985">
          <cell r="A985">
            <v>41562</v>
          </cell>
          <cell r="E985">
            <v>23.1</v>
          </cell>
        </row>
        <row r="986">
          <cell r="A986">
            <v>41563</v>
          </cell>
          <cell r="E986">
            <v>23.41</v>
          </cell>
        </row>
        <row r="987">
          <cell r="A987">
            <v>41564</v>
          </cell>
          <cell r="E987">
            <v>23.44</v>
          </cell>
        </row>
        <row r="988">
          <cell r="A988">
            <v>41565</v>
          </cell>
          <cell r="E988">
            <v>23.6</v>
          </cell>
        </row>
        <row r="989">
          <cell r="A989">
            <v>41568</v>
          </cell>
          <cell r="E989">
            <v>23.4</v>
          </cell>
        </row>
        <row r="990">
          <cell r="A990">
            <v>41569</v>
          </cell>
          <cell r="E990">
            <v>23.42</v>
          </cell>
        </row>
        <row r="991">
          <cell r="A991">
            <v>41570</v>
          </cell>
          <cell r="E991">
            <v>23.84</v>
          </cell>
        </row>
        <row r="992">
          <cell r="A992">
            <v>41571</v>
          </cell>
          <cell r="E992">
            <v>24.58</v>
          </cell>
        </row>
        <row r="993">
          <cell r="A993">
            <v>41572</v>
          </cell>
          <cell r="E993">
            <v>24.6</v>
          </cell>
        </row>
        <row r="994">
          <cell r="A994">
            <v>41575</v>
          </cell>
          <cell r="E994">
            <v>25.25</v>
          </cell>
        </row>
        <row r="995">
          <cell r="A995">
            <v>41576</v>
          </cell>
          <cell r="E995">
            <v>25.49</v>
          </cell>
        </row>
        <row r="996">
          <cell r="A996">
            <v>41577</v>
          </cell>
          <cell r="E996">
            <v>26.09</v>
          </cell>
        </row>
        <row r="997">
          <cell r="A997">
            <v>41578</v>
          </cell>
          <cell r="E997">
            <v>26.11</v>
          </cell>
        </row>
        <row r="998">
          <cell r="A998">
            <v>41579</v>
          </cell>
          <cell r="E998">
            <v>25.06</v>
          </cell>
        </row>
        <row r="999">
          <cell r="A999">
            <v>41582</v>
          </cell>
          <cell r="E999">
            <v>25.57</v>
          </cell>
        </row>
        <row r="1000">
          <cell r="A1000">
            <v>41583</v>
          </cell>
          <cell r="E1000">
            <v>24.39</v>
          </cell>
        </row>
        <row r="1001">
          <cell r="A1001">
            <v>41584</v>
          </cell>
          <cell r="E1001">
            <v>25.35</v>
          </cell>
        </row>
        <row r="1002">
          <cell r="A1002">
            <v>41585</v>
          </cell>
          <cell r="E1002">
            <v>25.25</v>
          </cell>
        </row>
        <row r="1003">
          <cell r="A1003">
            <v>41586</v>
          </cell>
          <cell r="E1003">
            <v>26.06</v>
          </cell>
        </row>
        <row r="1004">
          <cell r="A1004">
            <v>41589</v>
          </cell>
          <cell r="E1004">
            <v>26.17</v>
          </cell>
        </row>
        <row r="1005">
          <cell r="A1005">
            <v>41590</v>
          </cell>
          <cell r="E1005">
            <v>26.26</v>
          </cell>
        </row>
        <row r="1006">
          <cell r="A1006">
            <v>41591</v>
          </cell>
          <cell r="E1006">
            <v>26.47</v>
          </cell>
        </row>
        <row r="1007">
          <cell r="A1007">
            <v>41592</v>
          </cell>
          <cell r="E1007">
            <v>26.22</v>
          </cell>
        </row>
        <row r="1008">
          <cell r="A1008">
            <v>41593</v>
          </cell>
          <cell r="E1008">
            <v>26.06</v>
          </cell>
        </row>
        <row r="1009">
          <cell r="A1009">
            <v>41596</v>
          </cell>
          <cell r="E1009">
            <v>26.06</v>
          </cell>
        </row>
        <row r="1010">
          <cell r="A1010">
            <v>41597</v>
          </cell>
          <cell r="E1010">
            <v>25.67</v>
          </cell>
        </row>
        <row r="1011">
          <cell r="A1011">
            <v>41598</v>
          </cell>
          <cell r="E1011">
            <v>25.19</v>
          </cell>
        </row>
        <row r="1012">
          <cell r="A1012">
            <v>41599</v>
          </cell>
          <cell r="E1012">
            <v>25.67</v>
          </cell>
        </row>
        <row r="1013">
          <cell r="A1013">
            <v>41600</v>
          </cell>
          <cell r="E1013">
            <v>25.88</v>
          </cell>
        </row>
        <row r="1014">
          <cell r="A1014">
            <v>41603</v>
          </cell>
          <cell r="E1014">
            <v>26.13</v>
          </cell>
        </row>
        <row r="1015">
          <cell r="A1015">
            <v>41604</v>
          </cell>
          <cell r="E1015">
            <v>26.38</v>
          </cell>
        </row>
        <row r="1016">
          <cell r="A1016">
            <v>41605</v>
          </cell>
          <cell r="E1016">
            <v>27.25</v>
          </cell>
        </row>
        <row r="1017">
          <cell r="A1017">
            <v>41607</v>
          </cell>
          <cell r="E1017">
            <v>27.83</v>
          </cell>
        </row>
        <row r="1018">
          <cell r="A1018">
            <v>41610</v>
          </cell>
          <cell r="E1018">
            <v>27.46</v>
          </cell>
        </row>
        <row r="1019">
          <cell r="A1019">
            <v>41611</v>
          </cell>
          <cell r="E1019">
            <v>26.96</v>
          </cell>
        </row>
        <row r="1020">
          <cell r="A1020">
            <v>41612</v>
          </cell>
          <cell r="E1020">
            <v>27.35</v>
          </cell>
        </row>
        <row r="1021">
          <cell r="A1021">
            <v>41613</v>
          </cell>
          <cell r="E1021">
            <v>27.14</v>
          </cell>
        </row>
        <row r="1022">
          <cell r="A1022">
            <v>41614</v>
          </cell>
          <cell r="E1022">
            <v>27.8</v>
          </cell>
        </row>
        <row r="1023">
          <cell r="A1023">
            <v>41617</v>
          </cell>
          <cell r="E1023">
            <v>27.99</v>
          </cell>
        </row>
        <row r="1024">
          <cell r="A1024">
            <v>41618</v>
          </cell>
          <cell r="E1024">
            <v>28.13</v>
          </cell>
        </row>
        <row r="1025">
          <cell r="A1025">
            <v>41619</v>
          </cell>
          <cell r="E1025">
            <v>27.64</v>
          </cell>
        </row>
        <row r="1026">
          <cell r="A1026">
            <v>41620</v>
          </cell>
          <cell r="E1026">
            <v>28.11</v>
          </cell>
        </row>
        <row r="1027">
          <cell r="A1027">
            <v>41621</v>
          </cell>
          <cell r="E1027">
            <v>28.2</v>
          </cell>
        </row>
        <row r="1028">
          <cell r="A1028">
            <v>41624</v>
          </cell>
          <cell r="E1028">
            <v>27.96</v>
          </cell>
        </row>
        <row r="1029">
          <cell r="A1029">
            <v>41625</v>
          </cell>
          <cell r="E1029">
            <v>27.7</v>
          </cell>
        </row>
        <row r="1030">
          <cell r="A1030">
            <v>41626</v>
          </cell>
          <cell r="E1030">
            <v>28.2</v>
          </cell>
        </row>
        <row r="1031">
          <cell r="A1031">
            <v>41627</v>
          </cell>
          <cell r="E1031">
            <v>27.65</v>
          </cell>
        </row>
        <row r="1032">
          <cell r="A1032">
            <v>41628</v>
          </cell>
          <cell r="E1032">
            <v>27.91</v>
          </cell>
        </row>
        <row r="1033">
          <cell r="A1033">
            <v>41631</v>
          </cell>
          <cell r="E1033">
            <v>27.93</v>
          </cell>
        </row>
        <row r="1034">
          <cell r="A1034">
            <v>41632</v>
          </cell>
          <cell r="E1034">
            <v>27.82</v>
          </cell>
        </row>
        <row r="1035">
          <cell r="A1035">
            <v>41634</v>
          </cell>
          <cell r="E1035">
            <v>27.95</v>
          </cell>
        </row>
        <row r="1036">
          <cell r="A1036">
            <v>41635</v>
          </cell>
          <cell r="E1036">
            <v>27.61</v>
          </cell>
        </row>
        <row r="1037">
          <cell r="A1037">
            <v>41638</v>
          </cell>
          <cell r="E1037">
            <v>27.16</v>
          </cell>
        </row>
        <row r="1038">
          <cell r="A1038">
            <v>41639</v>
          </cell>
          <cell r="E1038">
            <v>27.14</v>
          </cell>
        </row>
        <row r="1039">
          <cell r="A1039">
            <v>41641</v>
          </cell>
          <cell r="E1039">
            <v>26.89</v>
          </cell>
        </row>
        <row r="1040">
          <cell r="A1040">
            <v>41642</v>
          </cell>
          <cell r="E1040">
            <v>27.3</v>
          </cell>
        </row>
        <row r="1041">
          <cell r="A1041">
            <v>41645</v>
          </cell>
          <cell r="E1041">
            <v>27.36</v>
          </cell>
        </row>
        <row r="1042">
          <cell r="A1042">
            <v>41646</v>
          </cell>
          <cell r="E1042">
            <v>28.31</v>
          </cell>
        </row>
        <row r="1043">
          <cell r="A1043">
            <v>41647</v>
          </cell>
          <cell r="E1043">
            <v>31.35</v>
          </cell>
        </row>
        <row r="1044">
          <cell r="A1044">
            <v>41648</v>
          </cell>
          <cell r="E1044">
            <v>31.62</v>
          </cell>
        </row>
        <row r="1045">
          <cell r="A1045">
            <v>41649</v>
          </cell>
          <cell r="E1045">
            <v>31.76</v>
          </cell>
        </row>
        <row r="1046">
          <cell r="A1046">
            <v>41652</v>
          </cell>
          <cell r="E1046">
            <v>31.96</v>
          </cell>
        </row>
        <row r="1047">
          <cell r="A1047">
            <v>41653</v>
          </cell>
          <cell r="E1047">
            <v>33</v>
          </cell>
        </row>
        <row r="1048">
          <cell r="A1048">
            <v>41654</v>
          </cell>
          <cell r="E1048">
            <v>34.229999999999997</v>
          </cell>
        </row>
        <row r="1049">
          <cell r="A1049">
            <v>41655</v>
          </cell>
          <cell r="E1049">
            <v>34.36</v>
          </cell>
        </row>
        <row r="1050">
          <cell r="A1050">
            <v>41656</v>
          </cell>
          <cell r="E1050">
            <v>34.409999999999997</v>
          </cell>
        </row>
        <row r="1051">
          <cell r="A1051">
            <v>41660</v>
          </cell>
          <cell r="E1051">
            <v>34.06</v>
          </cell>
        </row>
        <row r="1052">
          <cell r="A1052">
            <v>41661</v>
          </cell>
          <cell r="E1052">
            <v>33.6</v>
          </cell>
        </row>
        <row r="1053">
          <cell r="A1053">
            <v>41662</v>
          </cell>
          <cell r="E1053">
            <v>32.869999999999997</v>
          </cell>
        </row>
        <row r="1054">
          <cell r="A1054">
            <v>41663</v>
          </cell>
          <cell r="E1054">
            <v>31.6</v>
          </cell>
        </row>
        <row r="1055">
          <cell r="A1055">
            <v>41666</v>
          </cell>
          <cell r="E1055">
            <v>30.81</v>
          </cell>
        </row>
        <row r="1056">
          <cell r="A1056">
            <v>41667</v>
          </cell>
          <cell r="E1056">
            <v>31.92</v>
          </cell>
        </row>
        <row r="1057">
          <cell r="A1057">
            <v>41668</v>
          </cell>
          <cell r="E1057">
            <v>30.64</v>
          </cell>
        </row>
        <row r="1058">
          <cell r="A1058">
            <v>41669</v>
          </cell>
          <cell r="E1058">
            <v>31.64</v>
          </cell>
        </row>
        <row r="1059">
          <cell r="A1059">
            <v>41670</v>
          </cell>
          <cell r="E1059">
            <v>32.24</v>
          </cell>
        </row>
        <row r="1060">
          <cell r="A1060">
            <v>41673</v>
          </cell>
          <cell r="E1060">
            <v>30.8</v>
          </cell>
        </row>
        <row r="1061">
          <cell r="A1061">
            <v>41674</v>
          </cell>
          <cell r="E1061">
            <v>30.96</v>
          </cell>
        </row>
        <row r="1062">
          <cell r="A1062">
            <v>41675</v>
          </cell>
          <cell r="E1062">
            <v>29.23</v>
          </cell>
        </row>
        <row r="1063">
          <cell r="A1063">
            <v>41676</v>
          </cell>
          <cell r="E1063">
            <v>28.31</v>
          </cell>
        </row>
        <row r="1064">
          <cell r="A1064">
            <v>41677</v>
          </cell>
          <cell r="E1064">
            <v>28.96</v>
          </cell>
        </row>
        <row r="1065">
          <cell r="A1065">
            <v>41680</v>
          </cell>
          <cell r="E1065">
            <v>28.73</v>
          </cell>
        </row>
        <row r="1066">
          <cell r="A1066">
            <v>41681</v>
          </cell>
          <cell r="E1066">
            <v>28.75</v>
          </cell>
        </row>
        <row r="1067">
          <cell r="A1067">
            <v>41682</v>
          </cell>
          <cell r="E1067">
            <v>28.85</v>
          </cell>
        </row>
        <row r="1068">
          <cell r="A1068">
            <v>41683</v>
          </cell>
          <cell r="E1068">
            <v>31.05</v>
          </cell>
        </row>
        <row r="1069">
          <cell r="A1069">
            <v>41684</v>
          </cell>
          <cell r="E1069">
            <v>31.63</v>
          </cell>
        </row>
        <row r="1070">
          <cell r="A1070">
            <v>41688</v>
          </cell>
          <cell r="E1070">
            <v>32.729999999999997</v>
          </cell>
        </row>
        <row r="1071">
          <cell r="A1071">
            <v>41689</v>
          </cell>
          <cell r="E1071">
            <v>32.229999999999997</v>
          </cell>
        </row>
        <row r="1072">
          <cell r="A1072">
            <v>41690</v>
          </cell>
          <cell r="E1072">
            <v>32.979999999999997</v>
          </cell>
        </row>
        <row r="1073">
          <cell r="A1073">
            <v>41691</v>
          </cell>
          <cell r="E1073">
            <v>33.799999999999997</v>
          </cell>
        </row>
        <row r="1074">
          <cell r="A1074">
            <v>41694</v>
          </cell>
          <cell r="E1074">
            <v>33.880000000000003</v>
          </cell>
        </row>
        <row r="1075">
          <cell r="A1075">
            <v>41695</v>
          </cell>
          <cell r="E1075">
            <v>34.28</v>
          </cell>
        </row>
        <row r="1076">
          <cell r="A1076">
            <v>41696</v>
          </cell>
          <cell r="E1076">
            <v>34.6</v>
          </cell>
        </row>
        <row r="1077">
          <cell r="A1077">
            <v>41697</v>
          </cell>
          <cell r="E1077">
            <v>35.369999999999997</v>
          </cell>
        </row>
        <row r="1078">
          <cell r="A1078">
            <v>41698</v>
          </cell>
          <cell r="E1078">
            <v>35.6</v>
          </cell>
        </row>
        <row r="1079">
          <cell r="A1079">
            <v>41701</v>
          </cell>
          <cell r="E1079">
            <v>34.79</v>
          </cell>
        </row>
        <row r="1080">
          <cell r="A1080">
            <v>41702</v>
          </cell>
          <cell r="E1080">
            <v>36.54</v>
          </cell>
        </row>
        <row r="1081">
          <cell r="A1081">
            <v>41703</v>
          </cell>
          <cell r="E1081">
            <v>38.299999999999997</v>
          </cell>
        </row>
        <row r="1082">
          <cell r="A1082">
            <v>41704</v>
          </cell>
          <cell r="E1082">
            <v>37.06</v>
          </cell>
        </row>
        <row r="1083">
          <cell r="A1083">
            <v>41705</v>
          </cell>
          <cell r="E1083">
            <v>36.67</v>
          </cell>
        </row>
        <row r="1084">
          <cell r="A1084">
            <v>41708</v>
          </cell>
          <cell r="E1084">
            <v>35.630000000000003</v>
          </cell>
        </row>
        <row r="1085">
          <cell r="A1085">
            <v>41709</v>
          </cell>
          <cell r="E1085">
            <v>34.1</v>
          </cell>
        </row>
        <row r="1086">
          <cell r="A1086">
            <v>41710</v>
          </cell>
          <cell r="E1086">
            <v>34.1</v>
          </cell>
        </row>
        <row r="1087">
          <cell r="A1087">
            <v>41711</v>
          </cell>
          <cell r="E1087">
            <v>33.53</v>
          </cell>
        </row>
        <row r="1088">
          <cell r="A1088">
            <v>41712</v>
          </cell>
          <cell r="E1088">
            <v>33.590000000000003</v>
          </cell>
        </row>
        <row r="1089">
          <cell r="A1089">
            <v>41715</v>
          </cell>
          <cell r="E1089">
            <v>34.01</v>
          </cell>
        </row>
        <row r="1090">
          <cell r="A1090">
            <v>41716</v>
          </cell>
          <cell r="E1090">
            <v>35.57</v>
          </cell>
        </row>
        <row r="1091">
          <cell r="A1091">
            <v>41717</v>
          </cell>
          <cell r="E1091">
            <v>35.69</v>
          </cell>
        </row>
        <row r="1092">
          <cell r="A1092">
            <v>41718</v>
          </cell>
          <cell r="E1092">
            <v>36.340000000000003</v>
          </cell>
        </row>
        <row r="1093">
          <cell r="A1093">
            <v>41719</v>
          </cell>
          <cell r="E1093">
            <v>35.72</v>
          </cell>
        </row>
        <row r="1094">
          <cell r="A1094">
            <v>41722</v>
          </cell>
          <cell r="E1094">
            <v>34.590000000000003</v>
          </cell>
        </row>
        <row r="1095">
          <cell r="A1095">
            <v>41723</v>
          </cell>
          <cell r="E1095">
            <v>35.1</v>
          </cell>
        </row>
        <row r="1096">
          <cell r="A1096">
            <v>41724</v>
          </cell>
          <cell r="E1096">
            <v>34.4</v>
          </cell>
        </row>
        <row r="1097">
          <cell r="A1097">
            <v>41725</v>
          </cell>
          <cell r="E1097">
            <v>32.950000000000003</v>
          </cell>
        </row>
        <row r="1098">
          <cell r="A1098">
            <v>41726</v>
          </cell>
          <cell r="E1098">
            <v>32.54</v>
          </cell>
        </row>
        <row r="1099">
          <cell r="A1099">
            <v>41729</v>
          </cell>
          <cell r="E1099">
            <v>33.75</v>
          </cell>
        </row>
        <row r="1100">
          <cell r="A1100">
            <v>41730</v>
          </cell>
          <cell r="E1100">
            <v>33.81</v>
          </cell>
        </row>
        <row r="1101">
          <cell r="A1101">
            <v>41731</v>
          </cell>
          <cell r="E1101">
            <v>33.99</v>
          </cell>
        </row>
        <row r="1102">
          <cell r="A1102">
            <v>41732</v>
          </cell>
          <cell r="E1102">
            <v>33.36</v>
          </cell>
        </row>
        <row r="1103">
          <cell r="A1103">
            <v>41733</v>
          </cell>
          <cell r="E1103">
            <v>31.53</v>
          </cell>
        </row>
        <row r="1104">
          <cell r="A1104">
            <v>41736</v>
          </cell>
          <cell r="E1104">
            <v>30.26</v>
          </cell>
        </row>
        <row r="1105">
          <cell r="A1105">
            <v>41737</v>
          </cell>
          <cell r="E1105">
            <v>29.47</v>
          </cell>
        </row>
        <row r="1106">
          <cell r="A1106">
            <v>41738</v>
          </cell>
          <cell r="E1106">
            <v>30.43</v>
          </cell>
        </row>
        <row r="1107">
          <cell r="A1107">
            <v>41739</v>
          </cell>
          <cell r="E1107">
            <v>29.87</v>
          </cell>
        </row>
        <row r="1108">
          <cell r="A1108">
            <v>41740</v>
          </cell>
          <cell r="E1108">
            <v>29.84</v>
          </cell>
        </row>
        <row r="1109">
          <cell r="A1109">
            <v>41743</v>
          </cell>
          <cell r="E1109">
            <v>29.79</v>
          </cell>
        </row>
        <row r="1110">
          <cell r="A1110">
            <v>41744</v>
          </cell>
          <cell r="E1110">
            <v>29.3</v>
          </cell>
        </row>
        <row r="1111">
          <cell r="A1111">
            <v>41745</v>
          </cell>
          <cell r="E1111">
            <v>30.34</v>
          </cell>
        </row>
        <row r="1112">
          <cell r="A1112">
            <v>41746</v>
          </cell>
          <cell r="E1112">
            <v>30.77</v>
          </cell>
        </row>
        <row r="1113">
          <cell r="A1113">
            <v>41750</v>
          </cell>
          <cell r="E1113">
            <v>31.2</v>
          </cell>
        </row>
        <row r="1114">
          <cell r="A1114">
            <v>41751</v>
          </cell>
          <cell r="E1114">
            <v>31.98</v>
          </cell>
        </row>
        <row r="1115">
          <cell r="A1115">
            <v>41752</v>
          </cell>
          <cell r="E1115">
            <v>31.93</v>
          </cell>
        </row>
        <row r="1116">
          <cell r="A1116">
            <v>41753</v>
          </cell>
          <cell r="E1116">
            <v>31.4</v>
          </cell>
        </row>
        <row r="1117">
          <cell r="A1117">
            <v>41754</v>
          </cell>
          <cell r="E1117">
            <v>30.61</v>
          </cell>
        </row>
        <row r="1118">
          <cell r="A1118">
            <v>41757</v>
          </cell>
          <cell r="E1118">
            <v>30.03</v>
          </cell>
        </row>
        <row r="1119">
          <cell r="A1119">
            <v>41758</v>
          </cell>
          <cell r="E1119">
            <v>30.47</v>
          </cell>
        </row>
        <row r="1120">
          <cell r="A1120">
            <v>41759</v>
          </cell>
          <cell r="E1120">
            <v>30.4</v>
          </cell>
        </row>
        <row r="1121">
          <cell r="A1121">
            <v>41760</v>
          </cell>
          <cell r="E1121">
            <v>30.13</v>
          </cell>
        </row>
        <row r="1122">
          <cell r="A1122">
            <v>41761</v>
          </cell>
          <cell r="E1122">
            <v>30.24</v>
          </cell>
        </row>
        <row r="1123">
          <cell r="A1123">
            <v>41764</v>
          </cell>
          <cell r="E1123">
            <v>31.16</v>
          </cell>
        </row>
        <row r="1124">
          <cell r="A1124">
            <v>41765</v>
          </cell>
          <cell r="E1124">
            <v>29.84</v>
          </cell>
        </row>
        <row r="1125">
          <cell r="A1125">
            <v>41766</v>
          </cell>
          <cell r="E1125">
            <v>31.51</v>
          </cell>
        </row>
        <row r="1126">
          <cell r="A1126">
            <v>41767</v>
          </cell>
          <cell r="E1126">
            <v>29.3</v>
          </cell>
        </row>
        <row r="1127">
          <cell r="A1127">
            <v>41768</v>
          </cell>
          <cell r="E1127">
            <v>29.11</v>
          </cell>
        </row>
        <row r="1128">
          <cell r="A1128">
            <v>41771</v>
          </cell>
          <cell r="E1128">
            <v>29.75</v>
          </cell>
        </row>
        <row r="1129">
          <cell r="A1129">
            <v>41772</v>
          </cell>
          <cell r="E1129">
            <v>29.4</v>
          </cell>
        </row>
        <row r="1130">
          <cell r="A1130">
            <v>41773</v>
          </cell>
          <cell r="E1130">
            <v>29.04</v>
          </cell>
        </row>
        <row r="1131">
          <cell r="A1131">
            <v>41774</v>
          </cell>
          <cell r="E1131">
            <v>28.03</v>
          </cell>
        </row>
        <row r="1132">
          <cell r="A1132">
            <v>41775</v>
          </cell>
          <cell r="E1132">
            <v>27.93</v>
          </cell>
        </row>
        <row r="1133">
          <cell r="A1133">
            <v>41778</v>
          </cell>
          <cell r="E1133">
            <v>28.1</v>
          </cell>
        </row>
        <row r="1134">
          <cell r="A1134">
            <v>41779</v>
          </cell>
          <cell r="E1134">
            <v>27.99</v>
          </cell>
        </row>
        <row r="1135">
          <cell r="A1135">
            <v>41780</v>
          </cell>
          <cell r="E1135">
            <v>27.74</v>
          </cell>
        </row>
        <row r="1136">
          <cell r="A1136">
            <v>41781</v>
          </cell>
          <cell r="E1136">
            <v>28.19</v>
          </cell>
        </row>
        <row r="1137">
          <cell r="A1137">
            <v>41782</v>
          </cell>
          <cell r="E1137">
            <v>29.26</v>
          </cell>
        </row>
        <row r="1138">
          <cell r="A1138">
            <v>41786</v>
          </cell>
          <cell r="E1138">
            <v>29.55</v>
          </cell>
        </row>
        <row r="1139">
          <cell r="A1139">
            <v>41787</v>
          </cell>
          <cell r="E1139">
            <v>29.37</v>
          </cell>
        </row>
        <row r="1140">
          <cell r="A1140">
            <v>41788</v>
          </cell>
          <cell r="E1140">
            <v>29.31</v>
          </cell>
        </row>
        <row r="1141">
          <cell r="A1141">
            <v>41789</v>
          </cell>
          <cell r="E1141">
            <v>29.2</v>
          </cell>
        </row>
        <row r="1142">
          <cell r="A1142">
            <v>41792</v>
          </cell>
          <cell r="E1142">
            <v>29.01</v>
          </cell>
        </row>
        <row r="1143">
          <cell r="A1143">
            <v>41793</v>
          </cell>
          <cell r="E1143">
            <v>28.87</v>
          </cell>
        </row>
        <row r="1144">
          <cell r="A1144">
            <v>41794</v>
          </cell>
          <cell r="E1144">
            <v>29.21</v>
          </cell>
        </row>
        <row r="1145">
          <cell r="A1145">
            <v>41795</v>
          </cell>
          <cell r="E1145">
            <v>30.12</v>
          </cell>
        </row>
        <row r="1146">
          <cell r="A1146">
            <v>41796</v>
          </cell>
          <cell r="E1146">
            <v>31.73</v>
          </cell>
        </row>
        <row r="1147">
          <cell r="A1147">
            <v>41799</v>
          </cell>
          <cell r="E1147">
            <v>32.99</v>
          </cell>
        </row>
        <row r="1148">
          <cell r="A1148">
            <v>41800</v>
          </cell>
          <cell r="E1148">
            <v>31.65</v>
          </cell>
        </row>
        <row r="1149">
          <cell r="A1149">
            <v>41801</v>
          </cell>
          <cell r="E1149">
            <v>30.21</v>
          </cell>
        </row>
        <row r="1150">
          <cell r="A1150">
            <v>41802</v>
          </cell>
          <cell r="E1150">
            <v>29.39</v>
          </cell>
        </row>
        <row r="1151">
          <cell r="A1151">
            <v>41803</v>
          </cell>
          <cell r="E1151">
            <v>29.33</v>
          </cell>
        </row>
        <row r="1152">
          <cell r="A1152">
            <v>41806</v>
          </cell>
          <cell r="E1152">
            <v>30.27</v>
          </cell>
        </row>
        <row r="1153">
          <cell r="A1153">
            <v>41807</v>
          </cell>
          <cell r="E1153">
            <v>30.27</v>
          </cell>
        </row>
        <row r="1154">
          <cell r="A1154">
            <v>41808</v>
          </cell>
          <cell r="E1154">
            <v>30.55</v>
          </cell>
        </row>
        <row r="1155">
          <cell r="A1155">
            <v>41809</v>
          </cell>
          <cell r="E1155">
            <v>30.42</v>
          </cell>
        </row>
        <row r="1156">
          <cell r="A1156">
            <v>41810</v>
          </cell>
          <cell r="E1156">
            <v>30.43</v>
          </cell>
        </row>
        <row r="1157">
          <cell r="A1157">
            <v>41813</v>
          </cell>
          <cell r="E1157">
            <v>31.97</v>
          </cell>
        </row>
        <row r="1158">
          <cell r="A1158">
            <v>41814</v>
          </cell>
          <cell r="E1158">
            <v>31.5</v>
          </cell>
        </row>
        <row r="1159">
          <cell r="A1159">
            <v>41815</v>
          </cell>
          <cell r="E1159">
            <v>30.81</v>
          </cell>
        </row>
        <row r="1160">
          <cell r="A1160">
            <v>41816</v>
          </cell>
          <cell r="E1160">
            <v>31.93</v>
          </cell>
        </row>
        <row r="1161">
          <cell r="A1161">
            <v>41817</v>
          </cell>
          <cell r="E1161">
            <v>31.63</v>
          </cell>
        </row>
        <row r="1162">
          <cell r="A1162">
            <v>41820</v>
          </cell>
          <cell r="E1162">
            <v>30.04</v>
          </cell>
        </row>
        <row r="1163">
          <cell r="A1163">
            <v>41821</v>
          </cell>
          <cell r="E1163">
            <v>31.13</v>
          </cell>
        </row>
        <row r="1164">
          <cell r="A1164">
            <v>41822</v>
          </cell>
          <cell r="E1164">
            <v>31.19</v>
          </cell>
        </row>
        <row r="1165">
          <cell r="A1165">
            <v>41823</v>
          </cell>
          <cell r="E1165">
            <v>31.5</v>
          </cell>
        </row>
        <row r="1166">
          <cell r="A1166">
            <v>41827</v>
          </cell>
          <cell r="E1166">
            <v>30.71</v>
          </cell>
        </row>
        <row r="1167">
          <cell r="A1167">
            <v>41828</v>
          </cell>
          <cell r="E1167">
            <v>29.3</v>
          </cell>
        </row>
        <row r="1168">
          <cell r="A1168">
            <v>41829</v>
          </cell>
          <cell r="E1168">
            <v>28.92</v>
          </cell>
        </row>
        <row r="1169">
          <cell r="A1169">
            <v>41830</v>
          </cell>
          <cell r="E1169">
            <v>28.55</v>
          </cell>
        </row>
        <row r="1170">
          <cell r="A1170">
            <v>41831</v>
          </cell>
          <cell r="E1170">
            <v>28.46</v>
          </cell>
        </row>
        <row r="1171">
          <cell r="A1171">
            <v>41834</v>
          </cell>
          <cell r="E1171">
            <v>29.53</v>
          </cell>
        </row>
        <row r="1172">
          <cell r="A1172">
            <v>41835</v>
          </cell>
          <cell r="E1172">
            <v>29.29</v>
          </cell>
        </row>
        <row r="1173">
          <cell r="A1173">
            <v>41836</v>
          </cell>
          <cell r="E1173">
            <v>28.75</v>
          </cell>
        </row>
        <row r="1174">
          <cell r="A1174">
            <v>41837</v>
          </cell>
          <cell r="E1174">
            <v>27.27</v>
          </cell>
        </row>
        <row r="1175">
          <cell r="A1175">
            <v>41838</v>
          </cell>
          <cell r="E1175">
            <v>28.03</v>
          </cell>
        </row>
        <row r="1176">
          <cell r="A1176">
            <v>41841</v>
          </cell>
          <cell r="E1176">
            <v>28.81</v>
          </cell>
        </row>
        <row r="1177">
          <cell r="A1177">
            <v>41842</v>
          </cell>
          <cell r="E1177">
            <v>29.82</v>
          </cell>
        </row>
        <row r="1178">
          <cell r="A1178">
            <v>41843</v>
          </cell>
          <cell r="E1178">
            <v>28.92</v>
          </cell>
        </row>
        <row r="1179">
          <cell r="A1179">
            <v>41844</v>
          </cell>
          <cell r="E1179">
            <v>28.41</v>
          </cell>
        </row>
        <row r="1180">
          <cell r="A1180">
            <v>41845</v>
          </cell>
          <cell r="E1180">
            <v>27.34</v>
          </cell>
        </row>
        <row r="1181">
          <cell r="A1181">
            <v>41848</v>
          </cell>
          <cell r="E1181">
            <v>27.23</v>
          </cell>
        </row>
        <row r="1182">
          <cell r="A1182">
            <v>41849</v>
          </cell>
          <cell r="E1182">
            <v>27.38</v>
          </cell>
        </row>
        <row r="1183">
          <cell r="A1183">
            <v>41850</v>
          </cell>
          <cell r="E1183">
            <v>31.44</v>
          </cell>
        </row>
        <row r="1184">
          <cell r="A1184">
            <v>41851</v>
          </cell>
          <cell r="E1184">
            <v>30.87</v>
          </cell>
        </row>
        <row r="1185">
          <cell r="A1185">
            <v>41852</v>
          </cell>
          <cell r="E1185">
            <v>31.8</v>
          </cell>
        </row>
        <row r="1186">
          <cell r="A1186">
            <v>41855</v>
          </cell>
          <cell r="E1186">
            <v>31.46</v>
          </cell>
        </row>
        <row r="1187">
          <cell r="A1187">
            <v>41856</v>
          </cell>
          <cell r="E1187">
            <v>30.86</v>
          </cell>
        </row>
        <row r="1188">
          <cell r="A1188">
            <v>41857</v>
          </cell>
          <cell r="E1188">
            <v>30.79</v>
          </cell>
        </row>
        <row r="1189">
          <cell r="A1189">
            <v>41858</v>
          </cell>
          <cell r="E1189">
            <v>30.98</v>
          </cell>
        </row>
        <row r="1190">
          <cell r="A1190">
            <v>41859</v>
          </cell>
          <cell r="E1190">
            <v>31.91</v>
          </cell>
        </row>
        <row r="1191">
          <cell r="A1191">
            <v>41862</v>
          </cell>
          <cell r="E1191">
            <v>33.229999999999997</v>
          </cell>
        </row>
        <row r="1192">
          <cell r="A1192">
            <v>41863</v>
          </cell>
          <cell r="E1192">
            <v>33</v>
          </cell>
        </row>
        <row r="1193">
          <cell r="A1193">
            <v>41864</v>
          </cell>
          <cell r="E1193">
            <v>33.99</v>
          </cell>
        </row>
        <row r="1194">
          <cell r="A1194">
            <v>41865</v>
          </cell>
          <cell r="E1194">
            <v>33.29</v>
          </cell>
        </row>
        <row r="1195">
          <cell r="A1195">
            <v>41866</v>
          </cell>
          <cell r="E1195">
            <v>32.92</v>
          </cell>
        </row>
        <row r="1196">
          <cell r="A1196">
            <v>41869</v>
          </cell>
          <cell r="E1196">
            <v>33.14</v>
          </cell>
        </row>
        <row r="1197">
          <cell r="A1197">
            <v>41870</v>
          </cell>
          <cell r="E1197">
            <v>33.31</v>
          </cell>
        </row>
        <row r="1198">
          <cell r="A1198">
            <v>41871</v>
          </cell>
          <cell r="E1198">
            <v>32.26</v>
          </cell>
        </row>
        <row r="1199">
          <cell r="A1199">
            <v>41872</v>
          </cell>
          <cell r="E1199">
            <v>32.54</v>
          </cell>
        </row>
        <row r="1200">
          <cell r="A1200">
            <v>41873</v>
          </cell>
          <cell r="E1200">
            <v>33.119999999999997</v>
          </cell>
        </row>
        <row r="1201">
          <cell r="A1201">
            <v>41876</v>
          </cell>
          <cell r="E1201">
            <v>33.31</v>
          </cell>
        </row>
        <row r="1202">
          <cell r="A1202">
            <v>41877</v>
          </cell>
          <cell r="E1202">
            <v>34.21</v>
          </cell>
        </row>
        <row r="1203">
          <cell r="A1203">
            <v>41878</v>
          </cell>
          <cell r="E1203">
            <v>33.86</v>
          </cell>
        </row>
        <row r="1204">
          <cell r="A1204">
            <v>41879</v>
          </cell>
          <cell r="E1204">
            <v>33.5</v>
          </cell>
        </row>
        <row r="1205">
          <cell r="A1205">
            <v>41880</v>
          </cell>
          <cell r="E1205">
            <v>33.39</v>
          </cell>
        </row>
        <row r="1206">
          <cell r="A1206">
            <v>41884</v>
          </cell>
          <cell r="E1206">
            <v>34.19</v>
          </cell>
        </row>
        <row r="1207">
          <cell r="A1207">
            <v>41885</v>
          </cell>
          <cell r="E1207">
            <v>34.06</v>
          </cell>
        </row>
        <row r="1208">
          <cell r="A1208">
            <v>41886</v>
          </cell>
          <cell r="E1208">
            <v>34.56</v>
          </cell>
        </row>
        <row r="1209">
          <cell r="A1209">
            <v>41887</v>
          </cell>
          <cell r="E1209">
            <v>34.49</v>
          </cell>
        </row>
        <row r="1210">
          <cell r="A1210">
            <v>41890</v>
          </cell>
          <cell r="E1210">
            <v>35.229999999999997</v>
          </cell>
        </row>
        <row r="1211">
          <cell r="A1211">
            <v>41891</v>
          </cell>
          <cell r="E1211">
            <v>34.46</v>
          </cell>
        </row>
        <row r="1212">
          <cell r="A1212">
            <v>41892</v>
          </cell>
          <cell r="E1212">
            <v>34.67</v>
          </cell>
        </row>
        <row r="1213">
          <cell r="A1213">
            <v>41893</v>
          </cell>
          <cell r="E1213">
            <v>35.11</v>
          </cell>
        </row>
        <row r="1214">
          <cell r="A1214">
            <v>41894</v>
          </cell>
          <cell r="E1214">
            <v>35.1</v>
          </cell>
        </row>
        <row r="1215">
          <cell r="A1215">
            <v>41897</v>
          </cell>
          <cell r="E1215">
            <v>34.700000000000003</v>
          </cell>
        </row>
        <row r="1216">
          <cell r="A1216">
            <v>41898</v>
          </cell>
          <cell r="E1216">
            <v>34.85</v>
          </cell>
        </row>
        <row r="1217">
          <cell r="A1217">
            <v>41899</v>
          </cell>
          <cell r="E1217">
            <v>35.4</v>
          </cell>
        </row>
        <row r="1218">
          <cell r="A1218">
            <v>41900</v>
          </cell>
          <cell r="E1218">
            <v>36.299999999999997</v>
          </cell>
        </row>
        <row r="1219">
          <cell r="A1219">
            <v>41901</v>
          </cell>
          <cell r="E1219">
            <v>36.24</v>
          </cell>
        </row>
        <row r="1220">
          <cell r="A1220">
            <v>41904</v>
          </cell>
          <cell r="E1220">
            <v>33.99</v>
          </cell>
        </row>
        <row r="1221">
          <cell r="A1221">
            <v>41905</v>
          </cell>
          <cell r="E1221">
            <v>32.840000000000003</v>
          </cell>
        </row>
        <row r="1222">
          <cell r="A1222">
            <v>41906</v>
          </cell>
          <cell r="E1222">
            <v>32.229999999999997</v>
          </cell>
        </row>
        <row r="1223">
          <cell r="A1223">
            <v>41907</v>
          </cell>
          <cell r="E1223">
            <v>31.83</v>
          </cell>
        </row>
        <row r="1224">
          <cell r="A1224">
            <v>41908</v>
          </cell>
          <cell r="E1224">
            <v>32.590000000000003</v>
          </cell>
        </row>
        <row r="1225">
          <cell r="A1225">
            <v>41911</v>
          </cell>
          <cell r="E1225">
            <v>31.56</v>
          </cell>
        </row>
        <row r="1226">
          <cell r="A1226">
            <v>41912</v>
          </cell>
          <cell r="E1226">
            <v>30.5</v>
          </cell>
        </row>
        <row r="1227">
          <cell r="A1227">
            <v>41913</v>
          </cell>
          <cell r="E1227">
            <v>29.52</v>
          </cell>
        </row>
        <row r="1228">
          <cell r="A1228">
            <v>41914</v>
          </cell>
          <cell r="E1228">
            <v>29.25</v>
          </cell>
        </row>
        <row r="1229">
          <cell r="A1229">
            <v>41915</v>
          </cell>
          <cell r="E1229">
            <v>28.98</v>
          </cell>
        </row>
        <row r="1230">
          <cell r="A1230">
            <v>41918</v>
          </cell>
          <cell r="E1230">
            <v>28.17</v>
          </cell>
        </row>
        <row r="1231">
          <cell r="A1231">
            <v>41919</v>
          </cell>
          <cell r="E1231">
            <v>27.32</v>
          </cell>
        </row>
        <row r="1232">
          <cell r="A1232">
            <v>41920</v>
          </cell>
          <cell r="E1232">
            <v>28.22</v>
          </cell>
        </row>
        <row r="1233">
          <cell r="A1233">
            <v>41921</v>
          </cell>
          <cell r="E1233">
            <v>28.12</v>
          </cell>
        </row>
        <row r="1234">
          <cell r="A1234">
            <v>41922</v>
          </cell>
          <cell r="E1234">
            <v>27.31</v>
          </cell>
        </row>
        <row r="1235">
          <cell r="A1235">
            <v>41925</v>
          </cell>
          <cell r="E1235">
            <v>27.38</v>
          </cell>
        </row>
        <row r="1236">
          <cell r="A1236">
            <v>41926</v>
          </cell>
          <cell r="E1236">
            <v>28.6</v>
          </cell>
        </row>
        <row r="1237">
          <cell r="A1237">
            <v>41927</v>
          </cell>
          <cell r="E1237">
            <v>29.27</v>
          </cell>
        </row>
        <row r="1238">
          <cell r="A1238">
            <v>41928</v>
          </cell>
          <cell r="E1238">
            <v>29.91</v>
          </cell>
        </row>
        <row r="1239">
          <cell r="A1239">
            <v>41929</v>
          </cell>
          <cell r="E1239">
            <v>28.9</v>
          </cell>
        </row>
        <row r="1240">
          <cell r="A1240">
            <v>41932</v>
          </cell>
          <cell r="E1240">
            <v>28.47</v>
          </cell>
        </row>
        <row r="1241">
          <cell r="A1241">
            <v>41933</v>
          </cell>
          <cell r="E1241">
            <v>28.66</v>
          </cell>
        </row>
        <row r="1242">
          <cell r="A1242">
            <v>41934</v>
          </cell>
          <cell r="E1242">
            <v>28.35</v>
          </cell>
        </row>
        <row r="1243">
          <cell r="A1243">
            <v>41935</v>
          </cell>
          <cell r="E1243">
            <v>28.85</v>
          </cell>
        </row>
        <row r="1244">
          <cell r="A1244">
            <v>41936</v>
          </cell>
          <cell r="E1244">
            <v>29.22</v>
          </cell>
        </row>
        <row r="1245">
          <cell r="A1245">
            <v>41939</v>
          </cell>
          <cell r="E1245">
            <v>30.08</v>
          </cell>
        </row>
        <row r="1246">
          <cell r="A1246">
            <v>41940</v>
          </cell>
          <cell r="E1246">
            <v>31.45</v>
          </cell>
        </row>
        <row r="1247">
          <cell r="A1247">
            <v>41941</v>
          </cell>
          <cell r="E1247">
            <v>32.159999999999997</v>
          </cell>
        </row>
        <row r="1248">
          <cell r="A1248">
            <v>41942</v>
          </cell>
          <cell r="E1248">
            <v>33.380000000000003</v>
          </cell>
        </row>
        <row r="1249">
          <cell r="A1249">
            <v>41943</v>
          </cell>
          <cell r="E1249">
            <v>33.14</v>
          </cell>
        </row>
        <row r="1250">
          <cell r="A1250">
            <v>41946</v>
          </cell>
          <cell r="E1250">
            <v>31.54</v>
          </cell>
        </row>
        <row r="1251">
          <cell r="A1251">
            <v>41947</v>
          </cell>
          <cell r="E1251">
            <v>32.29</v>
          </cell>
        </row>
        <row r="1252">
          <cell r="A1252">
            <v>41948</v>
          </cell>
          <cell r="E1252">
            <v>33.57</v>
          </cell>
        </row>
        <row r="1253">
          <cell r="A1253">
            <v>41949</v>
          </cell>
          <cell r="E1253">
            <v>34.51</v>
          </cell>
        </row>
        <row r="1254">
          <cell r="A1254">
            <v>41950</v>
          </cell>
          <cell r="E1254">
            <v>33.85</v>
          </cell>
        </row>
        <row r="1255">
          <cell r="A1255">
            <v>41953</v>
          </cell>
          <cell r="E1255">
            <v>34.39</v>
          </cell>
        </row>
        <row r="1256">
          <cell r="A1256">
            <v>41954</v>
          </cell>
          <cell r="E1256">
            <v>34.03</v>
          </cell>
        </row>
        <row r="1257">
          <cell r="A1257">
            <v>41955</v>
          </cell>
          <cell r="E1257">
            <v>33.06</v>
          </cell>
        </row>
        <row r="1258">
          <cell r="A1258">
            <v>41956</v>
          </cell>
          <cell r="E1258">
            <v>32.549999999999997</v>
          </cell>
        </row>
        <row r="1259">
          <cell r="A1259">
            <v>41957</v>
          </cell>
          <cell r="E1259">
            <v>32.450000000000003</v>
          </cell>
        </row>
        <row r="1260">
          <cell r="A1260">
            <v>41960</v>
          </cell>
          <cell r="E1260">
            <v>31.15</v>
          </cell>
        </row>
        <row r="1261">
          <cell r="A1261">
            <v>41961</v>
          </cell>
          <cell r="E1261">
            <v>31.6</v>
          </cell>
        </row>
        <row r="1262">
          <cell r="A1262">
            <v>41962</v>
          </cell>
          <cell r="E1262">
            <v>30.6</v>
          </cell>
        </row>
        <row r="1263">
          <cell r="A1263">
            <v>41963</v>
          </cell>
          <cell r="E1263">
            <v>30.46</v>
          </cell>
        </row>
        <row r="1264">
          <cell r="A1264">
            <v>41964</v>
          </cell>
          <cell r="E1264">
            <v>31.49</v>
          </cell>
        </row>
        <row r="1265">
          <cell r="A1265">
            <v>41967</v>
          </cell>
          <cell r="E1265">
            <v>31.92</v>
          </cell>
        </row>
        <row r="1266">
          <cell r="A1266">
            <v>41968</v>
          </cell>
          <cell r="E1266">
            <v>31.97</v>
          </cell>
        </row>
        <row r="1267">
          <cell r="A1267">
            <v>41969</v>
          </cell>
          <cell r="E1267">
            <v>31.99</v>
          </cell>
        </row>
        <row r="1268">
          <cell r="A1268">
            <v>41971</v>
          </cell>
          <cell r="E1268">
            <v>31.36</v>
          </cell>
        </row>
        <row r="1269">
          <cell r="A1269">
            <v>41974</v>
          </cell>
          <cell r="E1269">
            <v>29.93</v>
          </cell>
        </row>
        <row r="1270">
          <cell r="A1270">
            <v>41975</v>
          </cell>
          <cell r="E1270">
            <v>29.92</v>
          </cell>
        </row>
        <row r="1271">
          <cell r="A1271">
            <v>41976</v>
          </cell>
          <cell r="E1271">
            <v>29.61</v>
          </cell>
        </row>
        <row r="1272">
          <cell r="A1272">
            <v>41977</v>
          </cell>
          <cell r="E1272">
            <v>30.18</v>
          </cell>
        </row>
        <row r="1273">
          <cell r="A1273">
            <v>41978</v>
          </cell>
          <cell r="E1273">
            <v>29.91</v>
          </cell>
        </row>
        <row r="1274">
          <cell r="A1274">
            <v>41981</v>
          </cell>
          <cell r="E1274">
            <v>29.27</v>
          </cell>
        </row>
        <row r="1275">
          <cell r="A1275">
            <v>41982</v>
          </cell>
          <cell r="E1275">
            <v>30.01</v>
          </cell>
        </row>
        <row r="1276">
          <cell r="A1276">
            <v>41983</v>
          </cell>
          <cell r="E1276">
            <v>29.09</v>
          </cell>
        </row>
        <row r="1277">
          <cell r="A1277">
            <v>41984</v>
          </cell>
          <cell r="E1277">
            <v>30</v>
          </cell>
        </row>
        <row r="1278">
          <cell r="A1278">
            <v>41985</v>
          </cell>
          <cell r="E1278">
            <v>29.76</v>
          </cell>
        </row>
        <row r="1279">
          <cell r="A1279">
            <v>41988</v>
          </cell>
          <cell r="E1279">
            <v>28.96</v>
          </cell>
        </row>
        <row r="1280">
          <cell r="A1280">
            <v>41989</v>
          </cell>
          <cell r="E1280">
            <v>28.8</v>
          </cell>
        </row>
        <row r="1281">
          <cell r="A1281">
            <v>41990</v>
          </cell>
          <cell r="E1281">
            <v>30</v>
          </cell>
        </row>
        <row r="1282">
          <cell r="A1282">
            <v>41991</v>
          </cell>
          <cell r="E1282">
            <v>31.08</v>
          </cell>
        </row>
        <row r="1283">
          <cell r="A1283">
            <v>41992</v>
          </cell>
          <cell r="E1283">
            <v>31.09</v>
          </cell>
        </row>
        <row r="1284">
          <cell r="A1284">
            <v>41995</v>
          </cell>
          <cell r="E1284">
            <v>32.409999999999997</v>
          </cell>
        </row>
        <row r="1285">
          <cell r="A1285">
            <v>41996</v>
          </cell>
          <cell r="E1285">
            <v>32.659999999999997</v>
          </cell>
        </row>
        <row r="1286">
          <cell r="A1286">
            <v>41997</v>
          </cell>
          <cell r="E1286">
            <v>33.5</v>
          </cell>
        </row>
        <row r="1287">
          <cell r="A1287">
            <v>41999</v>
          </cell>
          <cell r="E1287">
            <v>34.44</v>
          </cell>
        </row>
        <row r="1288">
          <cell r="A1288">
            <v>42002</v>
          </cell>
          <cell r="E1288">
            <v>34.56</v>
          </cell>
        </row>
        <row r="1289">
          <cell r="A1289">
            <v>42003</v>
          </cell>
          <cell r="E1289">
            <v>35.130000000000003</v>
          </cell>
        </row>
        <row r="1290">
          <cell r="A1290">
            <v>42004</v>
          </cell>
          <cell r="E1290">
            <v>35.380000000000003</v>
          </cell>
        </row>
        <row r="1291">
          <cell r="A1291">
            <v>42006</v>
          </cell>
          <cell r="E1291">
            <v>35.36</v>
          </cell>
        </row>
        <row r="1292">
          <cell r="A1292">
            <v>42009</v>
          </cell>
          <cell r="E1292">
            <v>35.04</v>
          </cell>
        </row>
        <row r="1293">
          <cell r="A1293">
            <v>42010</v>
          </cell>
          <cell r="E1293">
            <v>35.06</v>
          </cell>
        </row>
        <row r="1294">
          <cell r="A1294">
            <v>42011</v>
          </cell>
          <cell r="E1294">
            <v>34.51</v>
          </cell>
        </row>
        <row r="1295">
          <cell r="A1295">
            <v>42012</v>
          </cell>
          <cell r="E1295">
            <v>35.94</v>
          </cell>
        </row>
        <row r="1296">
          <cell r="A1296">
            <v>42013</v>
          </cell>
          <cell r="E1296">
            <v>34.76</v>
          </cell>
        </row>
        <row r="1297">
          <cell r="A1297">
            <v>42016</v>
          </cell>
          <cell r="E1297">
            <v>33.71</v>
          </cell>
        </row>
        <row r="1298">
          <cell r="A1298">
            <v>42017</v>
          </cell>
          <cell r="E1298">
            <v>33.159999999999997</v>
          </cell>
        </row>
        <row r="1299">
          <cell r="A1299">
            <v>42018</v>
          </cell>
          <cell r="E1299">
            <v>32.92</v>
          </cell>
        </row>
        <row r="1300">
          <cell r="A1300">
            <v>42019</v>
          </cell>
          <cell r="E1300">
            <v>32.630000000000003</v>
          </cell>
        </row>
        <row r="1301">
          <cell r="A1301">
            <v>42020</v>
          </cell>
          <cell r="E1301">
            <v>33.57</v>
          </cell>
        </row>
        <row r="1302">
          <cell r="A1302">
            <v>42024</v>
          </cell>
          <cell r="E1302">
            <v>34.24</v>
          </cell>
        </row>
        <row r="1303">
          <cell r="A1303">
            <v>42025</v>
          </cell>
          <cell r="E1303">
            <v>33.83</v>
          </cell>
        </row>
        <row r="1304">
          <cell r="A1304">
            <v>42026</v>
          </cell>
          <cell r="E1304">
            <v>35.06</v>
          </cell>
        </row>
        <row r="1305">
          <cell r="A1305">
            <v>42027</v>
          </cell>
          <cell r="E1305">
            <v>35.22</v>
          </cell>
        </row>
        <row r="1306">
          <cell r="A1306">
            <v>42030</v>
          </cell>
          <cell r="E1306">
            <v>35.15</v>
          </cell>
        </row>
        <row r="1307">
          <cell r="A1307">
            <v>42031</v>
          </cell>
          <cell r="E1307">
            <v>34.86</v>
          </cell>
        </row>
        <row r="1308">
          <cell r="A1308">
            <v>42032</v>
          </cell>
          <cell r="E1308">
            <v>35.19</v>
          </cell>
        </row>
        <row r="1309">
          <cell r="A1309">
            <v>42033</v>
          </cell>
          <cell r="E1309">
            <v>36.43</v>
          </cell>
        </row>
        <row r="1310">
          <cell r="A1310">
            <v>42034</v>
          </cell>
          <cell r="E1310">
            <v>35.630000000000003</v>
          </cell>
        </row>
        <row r="1311">
          <cell r="A1311">
            <v>42037</v>
          </cell>
          <cell r="E1311">
            <v>34.49</v>
          </cell>
        </row>
        <row r="1312">
          <cell r="A1312">
            <v>42038</v>
          </cell>
          <cell r="E1312">
            <v>35.18</v>
          </cell>
        </row>
        <row r="1313">
          <cell r="A1313">
            <v>42039</v>
          </cell>
          <cell r="E1313">
            <v>35.15</v>
          </cell>
        </row>
        <row r="1314">
          <cell r="A1314">
            <v>42040</v>
          </cell>
          <cell r="E1314">
            <v>34.97</v>
          </cell>
        </row>
        <row r="1315">
          <cell r="A1315">
            <v>42041</v>
          </cell>
          <cell r="E1315">
            <v>34.78</v>
          </cell>
        </row>
        <row r="1316">
          <cell r="A1316">
            <v>42044</v>
          </cell>
          <cell r="E1316">
            <v>34.22</v>
          </cell>
        </row>
        <row r="1317">
          <cell r="A1317">
            <v>42045</v>
          </cell>
          <cell r="E1317">
            <v>34.67</v>
          </cell>
        </row>
        <row r="1318">
          <cell r="A1318">
            <v>42046</v>
          </cell>
          <cell r="E1318">
            <v>34.1</v>
          </cell>
        </row>
        <row r="1319">
          <cell r="A1319">
            <v>42047</v>
          </cell>
          <cell r="E1319">
            <v>34.9</v>
          </cell>
        </row>
        <row r="1320">
          <cell r="A1320">
            <v>42048</v>
          </cell>
          <cell r="E1320">
            <v>36.64</v>
          </cell>
        </row>
        <row r="1321">
          <cell r="A1321">
            <v>42052</v>
          </cell>
          <cell r="E1321">
            <v>36.4</v>
          </cell>
        </row>
        <row r="1322">
          <cell r="A1322">
            <v>42053</v>
          </cell>
          <cell r="E1322">
            <v>36.74</v>
          </cell>
        </row>
        <row r="1323">
          <cell r="A1323">
            <v>42054</v>
          </cell>
          <cell r="E1323">
            <v>43.9</v>
          </cell>
        </row>
        <row r="1324">
          <cell r="A1324">
            <v>42055</v>
          </cell>
          <cell r="E1324">
            <v>42.79</v>
          </cell>
        </row>
        <row r="1325">
          <cell r="A1325">
            <v>42058</v>
          </cell>
          <cell r="E1325">
            <v>42.38</v>
          </cell>
        </row>
        <row r="1326">
          <cell r="A1326">
            <v>42059</v>
          </cell>
          <cell r="E1326">
            <v>42.97</v>
          </cell>
        </row>
        <row r="1327">
          <cell r="A1327">
            <v>42060</v>
          </cell>
          <cell r="E1327">
            <v>42.75</v>
          </cell>
        </row>
        <row r="1328">
          <cell r="A1328">
            <v>42061</v>
          </cell>
          <cell r="E1328">
            <v>43.53</v>
          </cell>
        </row>
        <row r="1329">
          <cell r="A1329">
            <v>42062</v>
          </cell>
          <cell r="E1329">
            <v>44.5</v>
          </cell>
        </row>
        <row r="1330">
          <cell r="A1330">
            <v>42065</v>
          </cell>
          <cell r="E1330">
            <v>45.41</v>
          </cell>
        </row>
        <row r="1331">
          <cell r="A1331">
            <v>42066</v>
          </cell>
          <cell r="E1331">
            <v>44.66</v>
          </cell>
        </row>
        <row r="1332">
          <cell r="A1332">
            <v>42067</v>
          </cell>
          <cell r="E1332">
            <v>45.37</v>
          </cell>
        </row>
        <row r="1333">
          <cell r="A1333">
            <v>42068</v>
          </cell>
          <cell r="E1333">
            <v>45.65</v>
          </cell>
        </row>
        <row r="1334">
          <cell r="A1334">
            <v>42069</v>
          </cell>
          <cell r="E1334">
            <v>44.24</v>
          </cell>
        </row>
        <row r="1335">
          <cell r="A1335">
            <v>42072</v>
          </cell>
          <cell r="E1335">
            <v>45.8</v>
          </cell>
        </row>
        <row r="1336">
          <cell r="A1336">
            <v>42073</v>
          </cell>
          <cell r="E1336">
            <v>44.64</v>
          </cell>
        </row>
        <row r="1337">
          <cell r="A1337">
            <v>42074</v>
          </cell>
          <cell r="E1337">
            <v>46.21</v>
          </cell>
        </row>
        <row r="1338">
          <cell r="A1338">
            <v>42075</v>
          </cell>
          <cell r="E1338">
            <v>48.01</v>
          </cell>
        </row>
        <row r="1339">
          <cell r="A1339">
            <v>42076</v>
          </cell>
          <cell r="E1339">
            <v>45.69</v>
          </cell>
        </row>
        <row r="1340">
          <cell r="A1340">
            <v>42079</v>
          </cell>
          <cell r="E1340">
            <v>45.68</v>
          </cell>
        </row>
        <row r="1341">
          <cell r="A1341">
            <v>42080</v>
          </cell>
          <cell r="E1341">
            <v>46.98</v>
          </cell>
        </row>
        <row r="1342">
          <cell r="A1342">
            <v>42081</v>
          </cell>
          <cell r="E1342">
            <v>47.33</v>
          </cell>
        </row>
        <row r="1343">
          <cell r="A1343">
            <v>42082</v>
          </cell>
          <cell r="E1343">
            <v>47.24</v>
          </cell>
        </row>
        <row r="1344">
          <cell r="A1344">
            <v>42083</v>
          </cell>
          <cell r="E1344">
            <v>46.86</v>
          </cell>
        </row>
        <row r="1345">
          <cell r="A1345">
            <v>42086</v>
          </cell>
          <cell r="E1345">
            <v>44.7</v>
          </cell>
        </row>
        <row r="1346">
          <cell r="A1346">
            <v>42087</v>
          </cell>
          <cell r="E1346">
            <v>45.38</v>
          </cell>
        </row>
        <row r="1347">
          <cell r="A1347">
            <v>42088</v>
          </cell>
          <cell r="E1347">
            <v>44.51</v>
          </cell>
        </row>
        <row r="1348">
          <cell r="A1348">
            <v>42089</v>
          </cell>
          <cell r="E1348">
            <v>45.19</v>
          </cell>
        </row>
        <row r="1349">
          <cell r="A1349">
            <v>42090</v>
          </cell>
          <cell r="E1349">
            <v>46.1</v>
          </cell>
        </row>
        <row r="1350">
          <cell r="A1350">
            <v>42093</v>
          </cell>
          <cell r="E1350">
            <v>46.56</v>
          </cell>
        </row>
        <row r="1351">
          <cell r="A1351">
            <v>42094</v>
          </cell>
          <cell r="E1351">
            <v>47.15</v>
          </cell>
        </row>
        <row r="1352">
          <cell r="A1352">
            <v>42095</v>
          </cell>
          <cell r="E1352">
            <v>46.56</v>
          </cell>
        </row>
        <row r="1353">
          <cell r="A1353">
            <v>42096</v>
          </cell>
          <cell r="E1353">
            <v>46.74</v>
          </cell>
        </row>
        <row r="1354">
          <cell r="A1354">
            <v>42100</v>
          </cell>
          <cell r="E1354">
            <v>47.92</v>
          </cell>
        </row>
        <row r="1355">
          <cell r="A1355">
            <v>42101</v>
          </cell>
          <cell r="E1355">
            <v>46.92</v>
          </cell>
        </row>
        <row r="1356">
          <cell r="A1356">
            <v>42102</v>
          </cell>
          <cell r="E1356">
            <v>48.23</v>
          </cell>
        </row>
        <row r="1357">
          <cell r="A1357">
            <v>42103</v>
          </cell>
          <cell r="E1357">
            <v>47.61</v>
          </cell>
        </row>
        <row r="1358">
          <cell r="A1358">
            <v>42104</v>
          </cell>
          <cell r="E1358">
            <v>49</v>
          </cell>
        </row>
        <row r="1359">
          <cell r="A1359">
            <v>42107</v>
          </cell>
          <cell r="E1359">
            <v>48.4</v>
          </cell>
        </row>
        <row r="1360">
          <cell r="A1360">
            <v>42108</v>
          </cell>
          <cell r="E1360">
            <v>47.78</v>
          </cell>
        </row>
        <row r="1361">
          <cell r="A1361">
            <v>42109</v>
          </cell>
          <cell r="E1361">
            <v>48.71</v>
          </cell>
        </row>
        <row r="1362">
          <cell r="A1362">
            <v>42110</v>
          </cell>
          <cell r="E1362">
            <v>48.71</v>
          </cell>
        </row>
        <row r="1363">
          <cell r="A1363">
            <v>42111</v>
          </cell>
          <cell r="E1363">
            <v>46.78</v>
          </cell>
        </row>
        <row r="1364">
          <cell r="A1364">
            <v>42114</v>
          </cell>
          <cell r="E1364">
            <v>47.32</v>
          </cell>
        </row>
        <row r="1365">
          <cell r="A1365">
            <v>42115</v>
          </cell>
          <cell r="E1365">
            <v>47.82</v>
          </cell>
        </row>
        <row r="1366">
          <cell r="A1366">
            <v>42116</v>
          </cell>
          <cell r="E1366">
            <v>48.71</v>
          </cell>
        </row>
        <row r="1367">
          <cell r="A1367">
            <v>42117</v>
          </cell>
          <cell r="E1367">
            <v>48.59</v>
          </cell>
        </row>
        <row r="1368">
          <cell r="A1368">
            <v>42118</v>
          </cell>
          <cell r="E1368">
            <v>47.49</v>
          </cell>
        </row>
        <row r="1369">
          <cell r="A1369">
            <v>42121</v>
          </cell>
          <cell r="E1369">
            <v>47</v>
          </cell>
        </row>
        <row r="1370">
          <cell r="A1370">
            <v>42122</v>
          </cell>
          <cell r="E1370">
            <v>46.64</v>
          </cell>
        </row>
        <row r="1371">
          <cell r="A1371">
            <v>42123</v>
          </cell>
          <cell r="E1371">
            <v>45.2</v>
          </cell>
        </row>
        <row r="1372">
          <cell r="A1372">
            <v>42124</v>
          </cell>
          <cell r="E1372">
            <v>43.06</v>
          </cell>
        </row>
        <row r="1373">
          <cell r="A1373">
            <v>42125</v>
          </cell>
          <cell r="E1373">
            <v>43.39</v>
          </cell>
        </row>
        <row r="1374">
          <cell r="A1374">
            <v>42128</v>
          </cell>
          <cell r="E1374">
            <v>44.46</v>
          </cell>
        </row>
        <row r="1375">
          <cell r="A1375">
            <v>42129</v>
          </cell>
          <cell r="E1375">
            <v>43.61</v>
          </cell>
        </row>
        <row r="1376">
          <cell r="A1376">
            <v>42130</v>
          </cell>
          <cell r="E1376">
            <v>43.74</v>
          </cell>
        </row>
        <row r="1377">
          <cell r="A1377">
            <v>42131</v>
          </cell>
          <cell r="E1377">
            <v>44.44</v>
          </cell>
        </row>
        <row r="1378">
          <cell r="A1378">
            <v>42132</v>
          </cell>
          <cell r="E1378">
            <v>44.51</v>
          </cell>
        </row>
        <row r="1379">
          <cell r="A1379">
            <v>42135</v>
          </cell>
          <cell r="E1379">
            <v>45.98</v>
          </cell>
        </row>
        <row r="1380">
          <cell r="A1380">
            <v>42136</v>
          </cell>
          <cell r="E1380">
            <v>45.2</v>
          </cell>
        </row>
        <row r="1381">
          <cell r="A1381">
            <v>42137</v>
          </cell>
          <cell r="E1381">
            <v>43.97</v>
          </cell>
        </row>
        <row r="1382">
          <cell r="A1382">
            <v>42138</v>
          </cell>
          <cell r="E1382">
            <v>45.64</v>
          </cell>
        </row>
        <row r="1383">
          <cell r="A1383">
            <v>42139</v>
          </cell>
          <cell r="E1383">
            <v>45.16</v>
          </cell>
        </row>
        <row r="1384">
          <cell r="A1384">
            <v>42142</v>
          </cell>
          <cell r="E1384">
            <v>45.65</v>
          </cell>
        </row>
        <row r="1385">
          <cell r="A1385">
            <v>42143</v>
          </cell>
          <cell r="E1385">
            <v>46.08</v>
          </cell>
        </row>
        <row r="1386">
          <cell r="A1386">
            <v>42144</v>
          </cell>
          <cell r="E1386">
            <v>45.64</v>
          </cell>
        </row>
        <row r="1387">
          <cell r="A1387">
            <v>42145</v>
          </cell>
          <cell r="E1387">
            <v>46.42</v>
          </cell>
        </row>
        <row r="1388">
          <cell r="A1388">
            <v>42146</v>
          </cell>
          <cell r="E1388">
            <v>46.4</v>
          </cell>
        </row>
        <row r="1389">
          <cell r="A1389">
            <v>42150</v>
          </cell>
          <cell r="E1389">
            <v>45.84</v>
          </cell>
        </row>
        <row r="1390">
          <cell r="A1390">
            <v>42151</v>
          </cell>
          <cell r="E1390">
            <v>46.9</v>
          </cell>
        </row>
        <row r="1391">
          <cell r="A1391">
            <v>42152</v>
          </cell>
          <cell r="E1391">
            <v>45.44</v>
          </cell>
        </row>
        <row r="1392">
          <cell r="A1392">
            <v>42153</v>
          </cell>
          <cell r="E1392">
            <v>44.71</v>
          </cell>
        </row>
        <row r="1393">
          <cell r="A1393">
            <v>42156</v>
          </cell>
          <cell r="E1393">
            <v>44.73</v>
          </cell>
        </row>
        <row r="1394">
          <cell r="A1394">
            <v>42157</v>
          </cell>
          <cell r="E1394">
            <v>45.63</v>
          </cell>
        </row>
        <row r="1395">
          <cell r="A1395">
            <v>42158</v>
          </cell>
          <cell r="E1395">
            <v>46.16</v>
          </cell>
        </row>
        <row r="1396">
          <cell r="A1396">
            <v>42159</v>
          </cell>
          <cell r="E1396">
            <v>43.96</v>
          </cell>
        </row>
        <row r="1397">
          <cell r="A1397">
            <v>42160</v>
          </cell>
          <cell r="E1397">
            <v>44.78</v>
          </cell>
        </row>
        <row r="1398">
          <cell r="A1398">
            <v>42163</v>
          </cell>
          <cell r="E1398">
            <v>45.08</v>
          </cell>
        </row>
        <row r="1399">
          <cell r="A1399">
            <v>42164</v>
          </cell>
          <cell r="E1399">
            <v>44.97</v>
          </cell>
        </row>
        <row r="1400">
          <cell r="A1400">
            <v>42165</v>
          </cell>
          <cell r="E1400">
            <v>46.17</v>
          </cell>
        </row>
        <row r="1401">
          <cell r="A1401">
            <v>42166</v>
          </cell>
          <cell r="E1401">
            <v>45.66</v>
          </cell>
        </row>
        <row r="1402">
          <cell r="A1402">
            <v>42167</v>
          </cell>
          <cell r="E1402">
            <v>45.61</v>
          </cell>
        </row>
        <row r="1403">
          <cell r="A1403">
            <v>42170</v>
          </cell>
          <cell r="E1403">
            <v>44.63</v>
          </cell>
        </row>
        <row r="1404">
          <cell r="A1404">
            <v>42171</v>
          </cell>
          <cell r="E1404">
            <v>45.42</v>
          </cell>
        </row>
        <row r="1405">
          <cell r="A1405">
            <v>42172</v>
          </cell>
          <cell r="E1405">
            <v>45.25</v>
          </cell>
        </row>
        <row r="1406">
          <cell r="A1406">
            <v>42173</v>
          </cell>
          <cell r="E1406">
            <v>46.26</v>
          </cell>
        </row>
        <row r="1407">
          <cell r="A1407">
            <v>42174</v>
          </cell>
          <cell r="E1407">
            <v>45.65</v>
          </cell>
        </row>
        <row r="1408">
          <cell r="A1408">
            <v>42177</v>
          </cell>
          <cell r="E1408">
            <v>45.75</v>
          </cell>
        </row>
        <row r="1409">
          <cell r="A1409">
            <v>42178</v>
          </cell>
          <cell r="E1409">
            <v>46.42</v>
          </cell>
        </row>
        <row r="1410">
          <cell r="A1410">
            <v>42179</v>
          </cell>
          <cell r="E1410">
            <v>46.02</v>
          </cell>
        </row>
        <row r="1411">
          <cell r="A1411">
            <v>42180</v>
          </cell>
          <cell r="E1411">
            <v>46.35</v>
          </cell>
        </row>
        <row r="1412">
          <cell r="A1412">
            <v>42181</v>
          </cell>
          <cell r="E1412">
            <v>46.03</v>
          </cell>
        </row>
        <row r="1413">
          <cell r="A1413">
            <v>42184</v>
          </cell>
          <cell r="E1413">
            <v>44.29</v>
          </cell>
        </row>
        <row r="1414">
          <cell r="A1414">
            <v>42185</v>
          </cell>
          <cell r="E1414">
            <v>45.35</v>
          </cell>
        </row>
        <row r="1415">
          <cell r="A1415">
            <v>42186</v>
          </cell>
          <cell r="E1415">
            <v>45.65</v>
          </cell>
        </row>
        <row r="1416">
          <cell r="A1416">
            <v>42187</v>
          </cell>
          <cell r="E1416">
            <v>44.54</v>
          </cell>
        </row>
        <row r="1417">
          <cell r="A1417">
            <v>42191</v>
          </cell>
          <cell r="E1417">
            <v>44.54</v>
          </cell>
        </row>
        <row r="1418">
          <cell r="A1418">
            <v>42192</v>
          </cell>
          <cell r="E1418">
            <v>44.61</v>
          </cell>
        </row>
        <row r="1419">
          <cell r="A1419">
            <v>42193</v>
          </cell>
          <cell r="E1419">
            <v>43.63</v>
          </cell>
        </row>
        <row r="1420">
          <cell r="A1420">
            <v>42194</v>
          </cell>
          <cell r="E1420">
            <v>43.92</v>
          </cell>
        </row>
        <row r="1421">
          <cell r="A1421">
            <v>42195</v>
          </cell>
          <cell r="E1421">
            <v>43.95</v>
          </cell>
        </row>
        <row r="1422">
          <cell r="A1422">
            <v>42198</v>
          </cell>
          <cell r="E1422">
            <v>44.49</v>
          </cell>
        </row>
        <row r="1423">
          <cell r="A1423">
            <v>42199</v>
          </cell>
          <cell r="E1423">
            <v>45.42</v>
          </cell>
        </row>
        <row r="1424">
          <cell r="A1424">
            <v>42200</v>
          </cell>
          <cell r="E1424">
            <v>44.62</v>
          </cell>
        </row>
        <row r="1425">
          <cell r="A1425">
            <v>42201</v>
          </cell>
          <cell r="E1425">
            <v>44.42</v>
          </cell>
        </row>
        <row r="1426">
          <cell r="A1426">
            <v>42202</v>
          </cell>
          <cell r="E1426">
            <v>44.63</v>
          </cell>
        </row>
        <row r="1427">
          <cell r="A1427">
            <v>42205</v>
          </cell>
          <cell r="E1427">
            <v>44.43</v>
          </cell>
        </row>
        <row r="1428">
          <cell r="A1428">
            <v>42206</v>
          </cell>
          <cell r="E1428">
            <v>43.31</v>
          </cell>
        </row>
        <row r="1429">
          <cell r="A1429">
            <v>42207</v>
          </cell>
          <cell r="E1429">
            <v>43</v>
          </cell>
        </row>
        <row r="1430">
          <cell r="A1430">
            <v>42208</v>
          </cell>
          <cell r="E1430">
            <v>42.57</v>
          </cell>
        </row>
        <row r="1431">
          <cell r="A1431">
            <v>42209</v>
          </cell>
          <cell r="E1431">
            <v>41.51</v>
          </cell>
        </row>
        <row r="1432">
          <cell r="A1432">
            <v>42212</v>
          </cell>
          <cell r="E1432">
            <v>40.35</v>
          </cell>
        </row>
        <row r="1433">
          <cell r="A1433">
            <v>42213</v>
          </cell>
          <cell r="E1433">
            <v>39.22</v>
          </cell>
        </row>
        <row r="1434">
          <cell r="A1434">
            <v>42214</v>
          </cell>
          <cell r="E1434">
            <v>39.4</v>
          </cell>
        </row>
        <row r="1435">
          <cell r="A1435">
            <v>42215</v>
          </cell>
          <cell r="E1435">
            <v>39.299999999999997</v>
          </cell>
        </row>
        <row r="1436">
          <cell r="A1436">
            <v>42216</v>
          </cell>
          <cell r="E1436">
            <v>39.659999999999997</v>
          </cell>
        </row>
        <row r="1437">
          <cell r="A1437">
            <v>42219</v>
          </cell>
          <cell r="E1437">
            <v>39.659999999999997</v>
          </cell>
        </row>
        <row r="1438">
          <cell r="A1438">
            <v>42220</v>
          </cell>
          <cell r="E1438">
            <v>38.369999999999997</v>
          </cell>
        </row>
        <row r="1439">
          <cell r="A1439">
            <v>42221</v>
          </cell>
          <cell r="E1439">
            <v>33.630000000000003</v>
          </cell>
        </row>
        <row r="1440">
          <cell r="A1440">
            <v>42222</v>
          </cell>
          <cell r="E1440">
            <v>33.89</v>
          </cell>
        </row>
        <row r="1441">
          <cell r="A1441">
            <v>42223</v>
          </cell>
          <cell r="E1441">
            <v>33.69</v>
          </cell>
        </row>
        <row r="1442">
          <cell r="A1442">
            <v>42226</v>
          </cell>
          <cell r="E1442">
            <v>35.68</v>
          </cell>
        </row>
        <row r="1443">
          <cell r="A1443">
            <v>42227</v>
          </cell>
          <cell r="E1443">
            <v>35.49</v>
          </cell>
        </row>
        <row r="1444">
          <cell r="A1444">
            <v>42228</v>
          </cell>
          <cell r="E1444">
            <v>35.89</v>
          </cell>
        </row>
        <row r="1445">
          <cell r="A1445">
            <v>42229</v>
          </cell>
          <cell r="E1445">
            <v>37.94</v>
          </cell>
        </row>
        <row r="1446">
          <cell r="A1446">
            <v>42230</v>
          </cell>
          <cell r="E1446">
            <v>38.58</v>
          </cell>
        </row>
        <row r="1447">
          <cell r="A1447">
            <v>42233</v>
          </cell>
          <cell r="E1447">
            <v>37.57</v>
          </cell>
        </row>
        <row r="1448">
          <cell r="A1448">
            <v>42234</v>
          </cell>
          <cell r="E1448">
            <v>36.71</v>
          </cell>
        </row>
        <row r="1449">
          <cell r="A1449">
            <v>42235</v>
          </cell>
          <cell r="E1449">
            <v>35.68</v>
          </cell>
        </row>
        <row r="1450">
          <cell r="A1450">
            <v>42236</v>
          </cell>
          <cell r="E1450">
            <v>34.51</v>
          </cell>
        </row>
        <row r="1451">
          <cell r="A1451">
            <v>42237</v>
          </cell>
          <cell r="E1451">
            <v>33.76</v>
          </cell>
        </row>
        <row r="1452">
          <cell r="A1452">
            <v>42240</v>
          </cell>
          <cell r="E1452">
            <v>32.700000000000003</v>
          </cell>
        </row>
        <row r="1453">
          <cell r="A1453">
            <v>42241</v>
          </cell>
          <cell r="E1453">
            <v>32.159999999999997</v>
          </cell>
        </row>
        <row r="1454">
          <cell r="A1454">
            <v>42242</v>
          </cell>
          <cell r="E1454">
            <v>32.25</v>
          </cell>
        </row>
        <row r="1455">
          <cell r="A1455">
            <v>42243</v>
          </cell>
          <cell r="E1455">
            <v>34.29</v>
          </cell>
        </row>
        <row r="1456">
          <cell r="A1456">
            <v>42244</v>
          </cell>
          <cell r="E1456">
            <v>33.799999999999997</v>
          </cell>
        </row>
        <row r="1457">
          <cell r="A1457">
            <v>42247</v>
          </cell>
          <cell r="E1457">
            <v>33.049999999999997</v>
          </cell>
        </row>
        <row r="1458">
          <cell r="A1458">
            <v>42248</v>
          </cell>
          <cell r="E1458">
            <v>31.51</v>
          </cell>
        </row>
        <row r="1459">
          <cell r="A1459">
            <v>42249</v>
          </cell>
          <cell r="E1459">
            <v>32.33</v>
          </cell>
        </row>
        <row r="1460">
          <cell r="A1460">
            <v>42250</v>
          </cell>
          <cell r="E1460">
            <v>32.200000000000003</v>
          </cell>
        </row>
        <row r="1461">
          <cell r="A1461">
            <v>42251</v>
          </cell>
          <cell r="E1461">
            <v>31.54</v>
          </cell>
        </row>
        <row r="1462">
          <cell r="A1462">
            <v>42255</v>
          </cell>
          <cell r="E1462">
            <v>32.299999999999997</v>
          </cell>
        </row>
        <row r="1463">
          <cell r="A1463">
            <v>42256</v>
          </cell>
          <cell r="E1463">
            <v>32.270000000000003</v>
          </cell>
        </row>
        <row r="1464">
          <cell r="A1464">
            <v>42257</v>
          </cell>
          <cell r="E1464">
            <v>32.42</v>
          </cell>
        </row>
        <row r="1465">
          <cell r="A1465">
            <v>42258</v>
          </cell>
          <cell r="E1465">
            <v>32.07</v>
          </cell>
        </row>
        <row r="1466">
          <cell r="A1466">
            <v>42261</v>
          </cell>
          <cell r="E1466">
            <v>31.6</v>
          </cell>
        </row>
        <row r="1467">
          <cell r="A1467">
            <v>42262</v>
          </cell>
          <cell r="E1467">
            <v>32.04</v>
          </cell>
        </row>
        <row r="1468">
          <cell r="A1468">
            <v>42263</v>
          </cell>
          <cell r="E1468">
            <v>32.31</v>
          </cell>
        </row>
        <row r="1469">
          <cell r="A1469">
            <v>42264</v>
          </cell>
          <cell r="E1469">
            <v>32.36</v>
          </cell>
        </row>
        <row r="1470">
          <cell r="A1470">
            <v>42265</v>
          </cell>
          <cell r="E1470">
            <v>31.13</v>
          </cell>
        </row>
        <row r="1471">
          <cell r="A1471">
            <v>42268</v>
          </cell>
          <cell r="E1471">
            <v>30.65</v>
          </cell>
        </row>
        <row r="1472">
          <cell r="A1472">
            <v>42269</v>
          </cell>
          <cell r="E1472">
            <v>29.47</v>
          </cell>
        </row>
        <row r="1473">
          <cell r="A1473">
            <v>42270</v>
          </cell>
          <cell r="E1473">
            <v>28.12</v>
          </cell>
        </row>
        <row r="1474">
          <cell r="A1474">
            <v>42271</v>
          </cell>
          <cell r="E1474">
            <v>27.48</v>
          </cell>
        </row>
        <row r="1475">
          <cell r="A1475">
            <v>42272</v>
          </cell>
          <cell r="E1475">
            <v>27.19</v>
          </cell>
        </row>
        <row r="1476">
          <cell r="A1476">
            <v>42275</v>
          </cell>
          <cell r="E1476">
            <v>26.87</v>
          </cell>
        </row>
        <row r="1477">
          <cell r="A1477">
            <v>42276</v>
          </cell>
          <cell r="E1477">
            <v>26.12</v>
          </cell>
        </row>
        <row r="1478">
          <cell r="A1478">
            <v>42277</v>
          </cell>
          <cell r="E1478">
            <v>25.86</v>
          </cell>
        </row>
        <row r="1479">
          <cell r="A1479">
            <v>42278</v>
          </cell>
          <cell r="E1479">
            <v>24.94</v>
          </cell>
        </row>
        <row r="1480">
          <cell r="A1480">
            <v>42279</v>
          </cell>
          <cell r="E1480">
            <v>24.82</v>
          </cell>
        </row>
        <row r="1481">
          <cell r="A1481">
            <v>42282</v>
          </cell>
          <cell r="E1481">
            <v>25.46</v>
          </cell>
        </row>
        <row r="1482">
          <cell r="A1482">
            <v>42283</v>
          </cell>
          <cell r="E1482">
            <v>27.09</v>
          </cell>
        </row>
        <row r="1483">
          <cell r="A1483">
            <v>42284</v>
          </cell>
          <cell r="E1483">
            <v>28.63</v>
          </cell>
        </row>
        <row r="1484">
          <cell r="A1484">
            <v>42285</v>
          </cell>
          <cell r="E1484">
            <v>29.07</v>
          </cell>
        </row>
        <row r="1485">
          <cell r="A1485">
            <v>42286</v>
          </cell>
          <cell r="E1485">
            <v>29.47</v>
          </cell>
        </row>
        <row r="1486">
          <cell r="A1486">
            <v>42289</v>
          </cell>
          <cell r="E1486">
            <v>29.31</v>
          </cell>
        </row>
        <row r="1487">
          <cell r="A1487">
            <v>42290</v>
          </cell>
          <cell r="E1487">
            <v>28.41</v>
          </cell>
        </row>
        <row r="1488">
          <cell r="A1488">
            <v>42291</v>
          </cell>
          <cell r="E1488">
            <v>27.84</v>
          </cell>
        </row>
        <row r="1489">
          <cell r="A1489">
            <v>42292</v>
          </cell>
          <cell r="E1489">
            <v>27.88</v>
          </cell>
        </row>
        <row r="1490">
          <cell r="A1490">
            <v>42293</v>
          </cell>
          <cell r="E1490">
            <v>26.98</v>
          </cell>
        </row>
        <row r="1491">
          <cell r="A1491">
            <v>42296</v>
          </cell>
          <cell r="E1491">
            <v>26.93</v>
          </cell>
        </row>
        <row r="1492">
          <cell r="A1492">
            <v>42297</v>
          </cell>
          <cell r="E1492">
            <v>27</v>
          </cell>
        </row>
        <row r="1493">
          <cell r="A1493">
            <v>42298</v>
          </cell>
          <cell r="E1493">
            <v>26.73</v>
          </cell>
        </row>
        <row r="1494">
          <cell r="A1494">
            <v>42299</v>
          </cell>
          <cell r="E1494">
            <v>27.92</v>
          </cell>
        </row>
        <row r="1495">
          <cell r="A1495">
            <v>42300</v>
          </cell>
          <cell r="E1495">
            <v>28.8</v>
          </cell>
        </row>
        <row r="1496">
          <cell r="A1496">
            <v>42303</v>
          </cell>
          <cell r="E1496">
            <v>27.36</v>
          </cell>
        </row>
        <row r="1497">
          <cell r="A1497">
            <v>42304</v>
          </cell>
          <cell r="E1497">
            <v>27.07</v>
          </cell>
        </row>
        <row r="1498">
          <cell r="A1498">
            <v>42305</v>
          </cell>
          <cell r="E1498">
            <v>28.29</v>
          </cell>
        </row>
        <row r="1499">
          <cell r="A1499">
            <v>42306</v>
          </cell>
          <cell r="E1499">
            <v>28.03</v>
          </cell>
        </row>
        <row r="1500">
          <cell r="A1500">
            <v>42307</v>
          </cell>
          <cell r="E1500">
            <v>27.82</v>
          </cell>
        </row>
        <row r="1501">
          <cell r="A1501">
            <v>42310</v>
          </cell>
          <cell r="E1501">
            <v>28.89</v>
          </cell>
        </row>
        <row r="1502">
          <cell r="A1502">
            <v>42311</v>
          </cell>
          <cell r="E1502">
            <v>29.15</v>
          </cell>
        </row>
        <row r="1503">
          <cell r="A1503">
            <v>42312</v>
          </cell>
          <cell r="E1503">
            <v>29.54</v>
          </cell>
        </row>
        <row r="1504">
          <cell r="A1504">
            <v>42313</v>
          </cell>
          <cell r="E1504">
            <v>30.21</v>
          </cell>
        </row>
        <row r="1505">
          <cell r="A1505">
            <v>42314</v>
          </cell>
          <cell r="E1505">
            <v>31.09</v>
          </cell>
        </row>
        <row r="1506">
          <cell r="A1506">
            <v>42317</v>
          </cell>
          <cell r="E1506">
            <v>29.93</v>
          </cell>
        </row>
        <row r="1507">
          <cell r="A1507">
            <v>42318</v>
          </cell>
          <cell r="E1507">
            <v>31.25</v>
          </cell>
        </row>
        <row r="1508">
          <cell r="A1508">
            <v>42319</v>
          </cell>
          <cell r="E1508">
            <v>28.15</v>
          </cell>
        </row>
        <row r="1509">
          <cell r="A1509">
            <v>42320</v>
          </cell>
          <cell r="E1509">
            <v>26.9</v>
          </cell>
        </row>
        <row r="1510">
          <cell r="A1510">
            <v>42321</v>
          </cell>
          <cell r="E1510">
            <v>26.87</v>
          </cell>
        </row>
        <row r="1511">
          <cell r="A1511">
            <v>42324</v>
          </cell>
          <cell r="E1511">
            <v>26.68</v>
          </cell>
        </row>
        <row r="1512">
          <cell r="A1512">
            <v>42325</v>
          </cell>
          <cell r="E1512">
            <v>25.98</v>
          </cell>
        </row>
        <row r="1513">
          <cell r="A1513">
            <v>42326</v>
          </cell>
          <cell r="E1513">
            <v>26.18</v>
          </cell>
        </row>
        <row r="1514">
          <cell r="A1514">
            <v>42327</v>
          </cell>
          <cell r="E1514">
            <v>26.34</v>
          </cell>
        </row>
        <row r="1515">
          <cell r="A1515">
            <v>42328</v>
          </cell>
          <cell r="E1515">
            <v>26.8</v>
          </cell>
        </row>
        <row r="1516">
          <cell r="A1516">
            <v>42331</v>
          </cell>
          <cell r="E1516">
            <v>26.89</v>
          </cell>
        </row>
        <row r="1517">
          <cell r="A1517">
            <v>42332</v>
          </cell>
          <cell r="E1517">
            <v>27.58</v>
          </cell>
        </row>
        <row r="1518">
          <cell r="A1518">
            <v>42333</v>
          </cell>
          <cell r="E1518">
            <v>28.06</v>
          </cell>
        </row>
        <row r="1519">
          <cell r="A1519">
            <v>42335</v>
          </cell>
          <cell r="E1519">
            <v>27.79</v>
          </cell>
        </row>
        <row r="1520">
          <cell r="A1520">
            <v>42338</v>
          </cell>
          <cell r="E1520">
            <v>28.46</v>
          </cell>
        </row>
        <row r="1521">
          <cell r="A1521">
            <v>42339</v>
          </cell>
          <cell r="E1521">
            <v>28.4</v>
          </cell>
        </row>
        <row r="1522">
          <cell r="A1522">
            <v>42340</v>
          </cell>
          <cell r="E1522">
            <v>27.89</v>
          </cell>
        </row>
        <row r="1523">
          <cell r="A1523">
            <v>42341</v>
          </cell>
          <cell r="E1523">
            <v>26.97</v>
          </cell>
        </row>
        <row r="1524">
          <cell r="A1524">
            <v>42342</v>
          </cell>
          <cell r="E1524">
            <v>27.32</v>
          </cell>
        </row>
        <row r="1525">
          <cell r="A1525">
            <v>42345</v>
          </cell>
          <cell r="E1525">
            <v>26.37</v>
          </cell>
        </row>
        <row r="1526">
          <cell r="A1526">
            <v>42346</v>
          </cell>
          <cell r="E1526">
            <v>26.51</v>
          </cell>
        </row>
        <row r="1527">
          <cell r="A1527">
            <v>42347</v>
          </cell>
          <cell r="E1527">
            <v>25.98</v>
          </cell>
        </row>
        <row r="1528">
          <cell r="A1528">
            <v>42348</v>
          </cell>
          <cell r="E1528">
            <v>26.37</v>
          </cell>
        </row>
        <row r="1529">
          <cell r="A1529">
            <v>42349</v>
          </cell>
          <cell r="E1529">
            <v>26.43</v>
          </cell>
        </row>
        <row r="1530">
          <cell r="A1530">
            <v>42352</v>
          </cell>
          <cell r="E1530">
            <v>27.45</v>
          </cell>
        </row>
        <row r="1531">
          <cell r="A1531">
            <v>42353</v>
          </cell>
          <cell r="E1531">
            <v>29.01</v>
          </cell>
        </row>
        <row r="1532">
          <cell r="A1532">
            <v>42354</v>
          </cell>
          <cell r="E1532">
            <v>28.84</v>
          </cell>
        </row>
        <row r="1533">
          <cell r="A1533">
            <v>42355</v>
          </cell>
          <cell r="E1533">
            <v>29.29</v>
          </cell>
        </row>
        <row r="1534">
          <cell r="A1534">
            <v>42356</v>
          </cell>
          <cell r="E1534">
            <v>29.19</v>
          </cell>
        </row>
        <row r="1535">
          <cell r="A1535">
            <v>42359</v>
          </cell>
          <cell r="E1535">
            <v>29.54</v>
          </cell>
        </row>
        <row r="1536">
          <cell r="A1536">
            <v>42360</v>
          </cell>
          <cell r="E1536">
            <v>30.42</v>
          </cell>
        </row>
        <row r="1537">
          <cell r="A1537">
            <v>42361</v>
          </cell>
          <cell r="E1537">
            <v>29.85</v>
          </cell>
        </row>
        <row r="1538">
          <cell r="A1538">
            <v>42362</v>
          </cell>
          <cell r="E1538">
            <v>29.6</v>
          </cell>
        </row>
        <row r="1539">
          <cell r="A1539">
            <v>42366</v>
          </cell>
          <cell r="E1539">
            <v>28.54</v>
          </cell>
        </row>
        <row r="1540">
          <cell r="A1540">
            <v>42367</v>
          </cell>
          <cell r="E1540">
            <v>29.74</v>
          </cell>
        </row>
        <row r="1541">
          <cell r="A1541">
            <v>42368</v>
          </cell>
          <cell r="E1541">
            <v>30.04</v>
          </cell>
        </row>
        <row r="1542">
          <cell r="A1542">
            <v>42369</v>
          </cell>
          <cell r="E1542">
            <v>29.95</v>
          </cell>
        </row>
        <row r="1543">
          <cell r="A1543">
            <v>42373</v>
          </cell>
          <cell r="E1543">
            <v>28.54</v>
          </cell>
        </row>
        <row r="1544">
          <cell r="A1544">
            <v>42374</v>
          </cell>
          <cell r="E1544">
            <v>29.23</v>
          </cell>
        </row>
        <row r="1545">
          <cell r="A1545">
            <v>42375</v>
          </cell>
          <cell r="E1545">
            <v>28.85</v>
          </cell>
        </row>
        <row r="1546">
          <cell r="A1546">
            <v>42376</v>
          </cell>
          <cell r="E1546">
            <v>27.39</v>
          </cell>
        </row>
        <row r="1547">
          <cell r="A1547">
            <v>42377</v>
          </cell>
          <cell r="E1547">
            <v>26.75</v>
          </cell>
        </row>
        <row r="1548">
          <cell r="A1548">
            <v>42380</v>
          </cell>
          <cell r="E1548">
            <v>26.14</v>
          </cell>
        </row>
        <row r="1549">
          <cell r="A1549">
            <v>42381</v>
          </cell>
          <cell r="E1549">
            <v>26.08</v>
          </cell>
        </row>
        <row r="1550">
          <cell r="A1550">
            <v>42382</v>
          </cell>
          <cell r="E1550">
            <v>25.48</v>
          </cell>
        </row>
        <row r="1551">
          <cell r="A1551">
            <v>42383</v>
          </cell>
          <cell r="E1551">
            <v>26.48</v>
          </cell>
        </row>
        <row r="1552">
          <cell r="A1552">
            <v>42384</v>
          </cell>
          <cell r="E1552">
            <v>24.85</v>
          </cell>
        </row>
        <row r="1553">
          <cell r="A1553">
            <v>42388</v>
          </cell>
          <cell r="E1553">
            <v>23.71</v>
          </cell>
        </row>
        <row r="1554">
          <cell r="A1554">
            <v>42389</v>
          </cell>
          <cell r="E1554">
            <v>24.41</v>
          </cell>
        </row>
        <row r="1555">
          <cell r="A1555">
            <v>42390</v>
          </cell>
          <cell r="E1555">
            <v>24.7</v>
          </cell>
        </row>
        <row r="1556">
          <cell r="A1556">
            <v>42391</v>
          </cell>
          <cell r="E1556">
            <v>25.22</v>
          </cell>
        </row>
        <row r="1557">
          <cell r="A1557">
            <v>42394</v>
          </cell>
          <cell r="E1557">
            <v>24.99</v>
          </cell>
        </row>
        <row r="1558">
          <cell r="A1558">
            <v>42395</v>
          </cell>
          <cell r="E1558">
            <v>24.86</v>
          </cell>
        </row>
        <row r="1559">
          <cell r="A1559">
            <v>42396</v>
          </cell>
          <cell r="E1559">
            <v>24.03</v>
          </cell>
        </row>
        <row r="1560">
          <cell r="A1560">
            <v>42397</v>
          </cell>
          <cell r="E1560">
            <v>23.5</v>
          </cell>
        </row>
        <row r="1561">
          <cell r="A1561">
            <v>42398</v>
          </cell>
          <cell r="E1561">
            <v>23.72</v>
          </cell>
        </row>
        <row r="1562">
          <cell r="A1562">
            <v>42401</v>
          </cell>
          <cell r="E1562">
            <v>22.84</v>
          </cell>
        </row>
        <row r="1563">
          <cell r="A1563">
            <v>42402</v>
          </cell>
          <cell r="E1563">
            <v>21.19</v>
          </cell>
        </row>
        <row r="1564">
          <cell r="A1564">
            <v>42403</v>
          </cell>
          <cell r="E1564">
            <v>21.52</v>
          </cell>
        </row>
        <row r="1565">
          <cell r="A1565">
            <v>42404</v>
          </cell>
          <cell r="E1565">
            <v>22.5</v>
          </cell>
        </row>
        <row r="1566">
          <cell r="A1566">
            <v>42405</v>
          </cell>
          <cell r="E1566">
            <v>21.62</v>
          </cell>
        </row>
        <row r="1567">
          <cell r="A1567">
            <v>42408</v>
          </cell>
          <cell r="E1567">
            <v>21.81</v>
          </cell>
        </row>
        <row r="1568">
          <cell r="A1568">
            <v>42409</v>
          </cell>
          <cell r="E1568">
            <v>21.39</v>
          </cell>
        </row>
        <row r="1569">
          <cell r="A1569">
            <v>42410</v>
          </cell>
          <cell r="E1569">
            <v>21.71</v>
          </cell>
        </row>
        <row r="1570">
          <cell r="A1570">
            <v>42411</v>
          </cell>
          <cell r="E1570">
            <v>20.94</v>
          </cell>
        </row>
        <row r="1571">
          <cell r="A1571">
            <v>42412</v>
          </cell>
          <cell r="E1571">
            <v>21.28</v>
          </cell>
        </row>
        <row r="1572">
          <cell r="A1572">
            <v>42416</v>
          </cell>
          <cell r="E1572">
            <v>22.08</v>
          </cell>
        </row>
        <row r="1573">
          <cell r="A1573">
            <v>42417</v>
          </cell>
          <cell r="E1573">
            <v>18.41</v>
          </cell>
        </row>
        <row r="1574">
          <cell r="A1574">
            <v>42418</v>
          </cell>
          <cell r="E1574">
            <v>19.89</v>
          </cell>
        </row>
        <row r="1575">
          <cell r="A1575">
            <v>42419</v>
          </cell>
          <cell r="E1575">
            <v>20.23</v>
          </cell>
        </row>
        <row r="1576">
          <cell r="A1576">
            <v>42422</v>
          </cell>
          <cell r="E1576">
            <v>20.48</v>
          </cell>
        </row>
        <row r="1577">
          <cell r="A1577">
            <v>42423</v>
          </cell>
          <cell r="E1577">
            <v>20.81</v>
          </cell>
        </row>
        <row r="1578">
          <cell r="A1578">
            <v>42424</v>
          </cell>
          <cell r="E1578">
            <v>20.89</v>
          </cell>
        </row>
        <row r="1579">
          <cell r="A1579">
            <v>42425</v>
          </cell>
          <cell r="E1579">
            <v>21.55</v>
          </cell>
        </row>
        <row r="1580">
          <cell r="A1580">
            <v>42426</v>
          </cell>
          <cell r="E1580">
            <v>22.31</v>
          </cell>
        </row>
        <row r="1581">
          <cell r="A1581">
            <v>42429</v>
          </cell>
          <cell r="E1581">
            <v>23.4</v>
          </cell>
        </row>
        <row r="1582">
          <cell r="A1582">
            <v>42430</v>
          </cell>
          <cell r="E1582">
            <v>24.09</v>
          </cell>
        </row>
        <row r="1583">
          <cell r="A1583">
            <v>42431</v>
          </cell>
          <cell r="E1583">
            <v>25.16</v>
          </cell>
        </row>
        <row r="1584">
          <cell r="A1584">
            <v>42432</v>
          </cell>
          <cell r="E1584">
            <v>26.18</v>
          </cell>
        </row>
        <row r="1585">
          <cell r="A1585">
            <v>42433</v>
          </cell>
          <cell r="E1585">
            <v>26.7</v>
          </cell>
        </row>
        <row r="1586">
          <cell r="A1586">
            <v>42436</v>
          </cell>
          <cell r="E1586">
            <v>27.49</v>
          </cell>
        </row>
        <row r="1587">
          <cell r="A1587">
            <v>42437</v>
          </cell>
          <cell r="E1587">
            <v>26.77</v>
          </cell>
        </row>
        <row r="1588">
          <cell r="A1588">
            <v>42438</v>
          </cell>
          <cell r="E1588">
            <v>26.12</v>
          </cell>
        </row>
        <row r="1589">
          <cell r="A1589">
            <v>42439</v>
          </cell>
          <cell r="E1589">
            <v>25.81</v>
          </cell>
        </row>
        <row r="1590">
          <cell r="A1590">
            <v>42440</v>
          </cell>
          <cell r="E1590">
            <v>27.57</v>
          </cell>
        </row>
        <row r="1591">
          <cell r="A1591">
            <v>42443</v>
          </cell>
          <cell r="E1591">
            <v>26.61</v>
          </cell>
        </row>
        <row r="1592">
          <cell r="A1592">
            <v>42444</v>
          </cell>
          <cell r="E1592">
            <v>26</v>
          </cell>
        </row>
        <row r="1593">
          <cell r="A1593">
            <v>42445</v>
          </cell>
          <cell r="E1593">
            <v>26.98</v>
          </cell>
        </row>
        <row r="1594">
          <cell r="A1594">
            <v>42446</v>
          </cell>
          <cell r="E1594">
            <v>27.96</v>
          </cell>
        </row>
        <row r="1595">
          <cell r="A1595">
            <v>42447</v>
          </cell>
          <cell r="E1595">
            <v>28.18</v>
          </cell>
        </row>
        <row r="1596">
          <cell r="A1596">
            <v>42450</v>
          </cell>
          <cell r="E1596">
            <v>27.89</v>
          </cell>
        </row>
        <row r="1597">
          <cell r="A1597">
            <v>42451</v>
          </cell>
          <cell r="E1597">
            <v>27.6</v>
          </cell>
        </row>
        <row r="1598">
          <cell r="A1598">
            <v>42452</v>
          </cell>
          <cell r="E1598">
            <v>26.8</v>
          </cell>
        </row>
        <row r="1599">
          <cell r="A1599">
            <v>42453</v>
          </cell>
          <cell r="E1599">
            <v>26.84</v>
          </cell>
        </row>
        <row r="1600">
          <cell r="A1600">
            <v>42457</v>
          </cell>
          <cell r="E1600">
            <v>26.29</v>
          </cell>
        </row>
        <row r="1601">
          <cell r="A1601">
            <v>42458</v>
          </cell>
          <cell r="E1601">
            <v>27.71</v>
          </cell>
        </row>
        <row r="1602">
          <cell r="A1602">
            <v>42459</v>
          </cell>
          <cell r="E1602">
            <v>27.99</v>
          </cell>
        </row>
        <row r="1603">
          <cell r="A1603">
            <v>42460</v>
          </cell>
          <cell r="E1603">
            <v>28.07</v>
          </cell>
        </row>
        <row r="1604">
          <cell r="A1604">
            <v>42461</v>
          </cell>
          <cell r="E1604">
            <v>28.07</v>
          </cell>
        </row>
        <row r="1605">
          <cell r="A1605">
            <v>42464</v>
          </cell>
          <cell r="E1605">
            <v>27.81</v>
          </cell>
        </row>
        <row r="1606">
          <cell r="A1606">
            <v>42465</v>
          </cell>
          <cell r="E1606">
            <v>27.5</v>
          </cell>
        </row>
        <row r="1607">
          <cell r="A1607">
            <v>42466</v>
          </cell>
          <cell r="E1607">
            <v>28.04</v>
          </cell>
        </row>
        <row r="1608">
          <cell r="A1608">
            <v>42467</v>
          </cell>
          <cell r="E1608">
            <v>27.68</v>
          </cell>
        </row>
        <row r="1609">
          <cell r="A1609">
            <v>42468</v>
          </cell>
          <cell r="E1609">
            <v>27.46</v>
          </cell>
        </row>
        <row r="1610">
          <cell r="A1610">
            <v>42471</v>
          </cell>
          <cell r="E1610">
            <v>27.46</v>
          </cell>
        </row>
        <row r="1611">
          <cell r="A1611">
            <v>42472</v>
          </cell>
          <cell r="E1611">
            <v>27.79</v>
          </cell>
        </row>
        <row r="1612">
          <cell r="A1612">
            <v>42473</v>
          </cell>
          <cell r="E1612">
            <v>28.87</v>
          </cell>
        </row>
        <row r="1613">
          <cell r="A1613">
            <v>42474</v>
          </cell>
          <cell r="E1613">
            <v>28.74</v>
          </cell>
        </row>
        <row r="1614">
          <cell r="A1614">
            <v>42475</v>
          </cell>
          <cell r="E1614">
            <v>28.36</v>
          </cell>
        </row>
        <row r="1615">
          <cell r="A1615">
            <v>42478</v>
          </cell>
          <cell r="E1615">
            <v>28.54</v>
          </cell>
        </row>
        <row r="1616">
          <cell r="A1616">
            <v>42479</v>
          </cell>
          <cell r="E1616">
            <v>28.49</v>
          </cell>
        </row>
        <row r="1617">
          <cell r="A1617">
            <v>42480</v>
          </cell>
          <cell r="E1617">
            <v>27.01</v>
          </cell>
        </row>
        <row r="1618">
          <cell r="A1618">
            <v>42481</v>
          </cell>
          <cell r="E1618">
            <v>26.79</v>
          </cell>
        </row>
        <row r="1619">
          <cell r="A1619">
            <v>42482</v>
          </cell>
          <cell r="E1619">
            <v>27.27</v>
          </cell>
        </row>
        <row r="1620">
          <cell r="A1620">
            <v>42485</v>
          </cell>
          <cell r="E1620">
            <v>26.42</v>
          </cell>
        </row>
        <row r="1621">
          <cell r="A1621">
            <v>42486</v>
          </cell>
          <cell r="E1621">
            <v>27.21</v>
          </cell>
        </row>
        <row r="1622">
          <cell r="A1622">
            <v>42487</v>
          </cell>
          <cell r="E1622">
            <v>27.26</v>
          </cell>
        </row>
        <row r="1623">
          <cell r="A1623">
            <v>42488</v>
          </cell>
          <cell r="E1623">
            <v>27.79</v>
          </cell>
        </row>
        <row r="1624">
          <cell r="A1624">
            <v>42489</v>
          </cell>
          <cell r="E1624">
            <v>27.18</v>
          </cell>
        </row>
        <row r="1625">
          <cell r="A1625">
            <v>42492</v>
          </cell>
          <cell r="E1625">
            <v>27.63</v>
          </cell>
        </row>
        <row r="1626">
          <cell r="A1626">
            <v>42493</v>
          </cell>
          <cell r="E1626">
            <v>26.76</v>
          </cell>
        </row>
        <row r="1627">
          <cell r="A1627">
            <v>42494</v>
          </cell>
          <cell r="E1627">
            <v>24.23</v>
          </cell>
        </row>
        <row r="1628">
          <cell r="A1628">
            <v>42495</v>
          </cell>
          <cell r="E1628">
            <v>24.8</v>
          </cell>
        </row>
        <row r="1629">
          <cell r="A1629">
            <v>42496</v>
          </cell>
          <cell r="E1629">
            <v>25.96</v>
          </cell>
        </row>
        <row r="1630">
          <cell r="A1630">
            <v>42499</v>
          </cell>
          <cell r="E1630">
            <v>25.41</v>
          </cell>
        </row>
        <row r="1631">
          <cell r="A1631">
            <v>42500</v>
          </cell>
          <cell r="E1631">
            <v>26.09</v>
          </cell>
        </row>
        <row r="1632">
          <cell r="A1632">
            <v>42501</v>
          </cell>
          <cell r="E1632">
            <v>25.62</v>
          </cell>
        </row>
        <row r="1633">
          <cell r="A1633">
            <v>42502</v>
          </cell>
          <cell r="E1633">
            <v>26.01</v>
          </cell>
        </row>
        <row r="1634">
          <cell r="A1634">
            <v>42503</v>
          </cell>
          <cell r="E1634">
            <v>25.84</v>
          </cell>
        </row>
        <row r="1635">
          <cell r="A1635">
            <v>42506</v>
          </cell>
          <cell r="E1635">
            <v>26.04</v>
          </cell>
        </row>
        <row r="1636">
          <cell r="A1636">
            <v>42507</v>
          </cell>
          <cell r="E1636">
            <v>25.17</v>
          </cell>
        </row>
        <row r="1637">
          <cell r="A1637">
            <v>42508</v>
          </cell>
          <cell r="E1637">
            <v>25.95</v>
          </cell>
        </row>
        <row r="1638">
          <cell r="A1638">
            <v>42509</v>
          </cell>
          <cell r="E1638">
            <v>25.54</v>
          </cell>
        </row>
        <row r="1639">
          <cell r="A1639">
            <v>42510</v>
          </cell>
          <cell r="E1639">
            <v>26.49</v>
          </cell>
        </row>
        <row r="1640">
          <cell r="A1640">
            <v>42513</v>
          </cell>
          <cell r="E1640">
            <v>26.4</v>
          </cell>
        </row>
        <row r="1641">
          <cell r="A1641">
            <v>42514</v>
          </cell>
          <cell r="E1641">
            <v>27.88</v>
          </cell>
        </row>
        <row r="1642">
          <cell r="A1642">
            <v>42515</v>
          </cell>
          <cell r="E1642">
            <v>28.12</v>
          </cell>
        </row>
        <row r="1643">
          <cell r="A1643">
            <v>42516</v>
          </cell>
          <cell r="E1643">
            <v>27.95</v>
          </cell>
        </row>
        <row r="1644">
          <cell r="A1644">
            <v>42517</v>
          </cell>
          <cell r="E1644">
            <v>28.11</v>
          </cell>
        </row>
        <row r="1645">
          <cell r="A1645">
            <v>42521</v>
          </cell>
          <cell r="E1645">
            <v>28.32</v>
          </cell>
        </row>
        <row r="1646">
          <cell r="A1646">
            <v>42522</v>
          </cell>
          <cell r="E1646">
            <v>28.55</v>
          </cell>
        </row>
        <row r="1647">
          <cell r="A1647">
            <v>42523</v>
          </cell>
          <cell r="E1647">
            <v>28.8</v>
          </cell>
        </row>
        <row r="1648">
          <cell r="A1648">
            <v>42524</v>
          </cell>
          <cell r="E1648">
            <v>28.41</v>
          </cell>
        </row>
        <row r="1649">
          <cell r="A1649">
            <v>42527</v>
          </cell>
          <cell r="E1649">
            <v>28.95</v>
          </cell>
        </row>
        <row r="1650">
          <cell r="A1650">
            <v>42528</v>
          </cell>
          <cell r="E1650">
            <v>28.82</v>
          </cell>
        </row>
        <row r="1651">
          <cell r="A1651">
            <v>42529</v>
          </cell>
          <cell r="E1651">
            <v>28.8</v>
          </cell>
        </row>
        <row r="1652">
          <cell r="A1652">
            <v>42530</v>
          </cell>
          <cell r="E1652">
            <v>28.5</v>
          </cell>
        </row>
        <row r="1653">
          <cell r="A1653">
            <v>42531</v>
          </cell>
          <cell r="E1653">
            <v>27.73</v>
          </cell>
        </row>
        <row r="1654">
          <cell r="A1654">
            <v>42534</v>
          </cell>
          <cell r="E1654">
            <v>26.74</v>
          </cell>
        </row>
        <row r="1655">
          <cell r="A1655">
            <v>42535</v>
          </cell>
          <cell r="E1655">
            <v>26.22</v>
          </cell>
        </row>
        <row r="1656">
          <cell r="A1656">
            <v>42536</v>
          </cell>
          <cell r="E1656">
            <v>26.26</v>
          </cell>
        </row>
        <row r="1657">
          <cell r="A1657">
            <v>42537</v>
          </cell>
          <cell r="E1657">
            <v>26.09</v>
          </cell>
        </row>
        <row r="1658">
          <cell r="A1658">
            <v>42538</v>
          </cell>
          <cell r="E1658">
            <v>26.15</v>
          </cell>
        </row>
        <row r="1659">
          <cell r="A1659">
            <v>42541</v>
          </cell>
          <cell r="E1659">
            <v>26.09</v>
          </cell>
        </row>
        <row r="1660">
          <cell r="A1660">
            <v>42542</v>
          </cell>
          <cell r="E1660">
            <v>25.76</v>
          </cell>
        </row>
        <row r="1661">
          <cell r="A1661">
            <v>42543</v>
          </cell>
          <cell r="E1661">
            <v>25.17</v>
          </cell>
        </row>
        <row r="1662">
          <cell r="A1662">
            <v>42544</v>
          </cell>
          <cell r="E1662">
            <v>25.71</v>
          </cell>
        </row>
        <row r="1663">
          <cell r="A1663">
            <v>42545</v>
          </cell>
          <cell r="E1663">
            <v>24.42</v>
          </cell>
        </row>
        <row r="1664">
          <cell r="A1664">
            <v>42548</v>
          </cell>
          <cell r="E1664">
            <v>23.42</v>
          </cell>
        </row>
        <row r="1665">
          <cell r="A1665">
            <v>42549</v>
          </cell>
          <cell r="E1665">
            <v>23.39</v>
          </cell>
        </row>
        <row r="1666">
          <cell r="A1666">
            <v>42550</v>
          </cell>
          <cell r="E1666">
            <v>24.05</v>
          </cell>
        </row>
        <row r="1667">
          <cell r="A1667">
            <v>42551</v>
          </cell>
          <cell r="E1667">
            <v>24.47</v>
          </cell>
        </row>
        <row r="1668">
          <cell r="A1668">
            <v>42552</v>
          </cell>
          <cell r="E1668">
            <v>24.53</v>
          </cell>
        </row>
        <row r="1669">
          <cell r="A1669">
            <v>42556</v>
          </cell>
          <cell r="E1669">
            <v>23.73</v>
          </cell>
        </row>
        <row r="1670">
          <cell r="A1670">
            <v>42557</v>
          </cell>
          <cell r="E1670">
            <v>23.83</v>
          </cell>
        </row>
        <row r="1671">
          <cell r="A1671">
            <v>42558</v>
          </cell>
          <cell r="E1671">
            <v>24.23</v>
          </cell>
        </row>
        <row r="1672">
          <cell r="A1672">
            <v>42559</v>
          </cell>
          <cell r="E1672">
            <v>25.55</v>
          </cell>
        </row>
        <row r="1673">
          <cell r="A1673">
            <v>42562</v>
          </cell>
          <cell r="E1673">
            <v>25.51</v>
          </cell>
        </row>
        <row r="1674">
          <cell r="A1674">
            <v>42563</v>
          </cell>
          <cell r="E1674">
            <v>26.08</v>
          </cell>
        </row>
        <row r="1675">
          <cell r="A1675">
            <v>42564</v>
          </cell>
          <cell r="E1675">
            <v>25.59</v>
          </cell>
        </row>
        <row r="1676">
          <cell r="A1676">
            <v>42565</v>
          </cell>
          <cell r="E1676">
            <v>25.73</v>
          </cell>
        </row>
        <row r="1677">
          <cell r="A1677">
            <v>42566</v>
          </cell>
          <cell r="E1677">
            <v>26.05</v>
          </cell>
        </row>
        <row r="1678">
          <cell r="A1678">
            <v>42569</v>
          </cell>
          <cell r="E1678">
            <v>25.97</v>
          </cell>
        </row>
        <row r="1679">
          <cell r="A1679">
            <v>42570</v>
          </cell>
          <cell r="E1679">
            <v>25.98</v>
          </cell>
        </row>
        <row r="1680">
          <cell r="A1680">
            <v>42571</v>
          </cell>
          <cell r="E1680">
            <v>26.41</v>
          </cell>
        </row>
        <row r="1681">
          <cell r="A1681">
            <v>42572</v>
          </cell>
          <cell r="E1681">
            <v>26.58</v>
          </cell>
        </row>
        <row r="1682">
          <cell r="A1682">
            <v>42573</v>
          </cell>
          <cell r="E1682">
            <v>26.79</v>
          </cell>
        </row>
        <row r="1683">
          <cell r="A1683">
            <v>42576</v>
          </cell>
          <cell r="E1683">
            <v>26.27</v>
          </cell>
        </row>
        <row r="1684">
          <cell r="A1684">
            <v>42577</v>
          </cell>
          <cell r="E1684">
            <v>26.74</v>
          </cell>
        </row>
        <row r="1685">
          <cell r="A1685">
            <v>42578</v>
          </cell>
          <cell r="E1685">
            <v>27.98</v>
          </cell>
        </row>
        <row r="1686">
          <cell r="A1686">
            <v>42579</v>
          </cell>
          <cell r="E1686">
            <v>27.6</v>
          </cell>
        </row>
        <row r="1687">
          <cell r="A1687">
            <v>42580</v>
          </cell>
          <cell r="E1687">
            <v>28.15</v>
          </cell>
        </row>
        <row r="1688">
          <cell r="A1688">
            <v>42583</v>
          </cell>
          <cell r="E1688">
            <v>28.74</v>
          </cell>
        </row>
        <row r="1689">
          <cell r="A1689">
            <v>42584</v>
          </cell>
          <cell r="E1689">
            <v>28.08</v>
          </cell>
        </row>
        <row r="1690">
          <cell r="A1690">
            <v>42585</v>
          </cell>
          <cell r="E1690">
            <v>29.54</v>
          </cell>
        </row>
        <row r="1691">
          <cell r="A1691">
            <v>42586</v>
          </cell>
          <cell r="E1691">
            <v>29.51</v>
          </cell>
        </row>
        <row r="1692">
          <cell r="A1692">
            <v>42587</v>
          </cell>
          <cell r="E1692">
            <v>30.5</v>
          </cell>
        </row>
        <row r="1693">
          <cell r="A1693">
            <v>42590</v>
          </cell>
          <cell r="E1693">
            <v>30.89</v>
          </cell>
        </row>
        <row r="1694">
          <cell r="A1694">
            <v>42591</v>
          </cell>
          <cell r="E1694">
            <v>30.47</v>
          </cell>
        </row>
        <row r="1695">
          <cell r="A1695">
            <v>42592</v>
          </cell>
          <cell r="E1695">
            <v>30.25</v>
          </cell>
        </row>
        <row r="1696">
          <cell r="A1696">
            <v>42593</v>
          </cell>
          <cell r="E1696">
            <v>30.82</v>
          </cell>
        </row>
        <row r="1697">
          <cell r="A1697">
            <v>42594</v>
          </cell>
          <cell r="E1697">
            <v>31.14</v>
          </cell>
        </row>
        <row r="1698">
          <cell r="A1698">
            <v>42597</v>
          </cell>
          <cell r="E1698">
            <v>31.84</v>
          </cell>
        </row>
        <row r="1699">
          <cell r="A1699">
            <v>42598</v>
          </cell>
          <cell r="E1699">
            <v>31.66</v>
          </cell>
        </row>
        <row r="1700">
          <cell r="A1700">
            <v>42599</v>
          </cell>
          <cell r="E1700">
            <v>31.51</v>
          </cell>
        </row>
        <row r="1701">
          <cell r="A1701">
            <v>42600</v>
          </cell>
          <cell r="E1701">
            <v>31.91</v>
          </cell>
        </row>
        <row r="1702">
          <cell r="A1702">
            <v>42601</v>
          </cell>
          <cell r="E1702">
            <v>32.18</v>
          </cell>
        </row>
        <row r="1703">
          <cell r="A1703">
            <v>42604</v>
          </cell>
          <cell r="E1703">
            <v>32.07</v>
          </cell>
        </row>
        <row r="1704">
          <cell r="A1704">
            <v>42605</v>
          </cell>
          <cell r="E1704">
            <v>32.4</v>
          </cell>
        </row>
        <row r="1705">
          <cell r="A1705">
            <v>42606</v>
          </cell>
          <cell r="E1705">
            <v>32.229999999999997</v>
          </cell>
        </row>
        <row r="1706">
          <cell r="A1706">
            <v>42607</v>
          </cell>
          <cell r="E1706">
            <v>32.229999999999997</v>
          </cell>
        </row>
        <row r="1707">
          <cell r="A1707">
            <v>42608</v>
          </cell>
          <cell r="E1707">
            <v>32.36</v>
          </cell>
        </row>
        <row r="1708">
          <cell r="A1708">
            <v>42611</v>
          </cell>
          <cell r="E1708">
            <v>32.71</v>
          </cell>
        </row>
        <row r="1709">
          <cell r="A1709">
            <v>42612</v>
          </cell>
          <cell r="E1709">
            <v>32.83</v>
          </cell>
        </row>
        <row r="1710">
          <cell r="A1710">
            <v>42613</v>
          </cell>
          <cell r="E1710">
            <v>32.97</v>
          </cell>
        </row>
        <row r="1711">
          <cell r="A1711">
            <v>42614</v>
          </cell>
          <cell r="E1711">
            <v>33.090000000000003</v>
          </cell>
        </row>
        <row r="1712">
          <cell r="A1712">
            <v>42615</v>
          </cell>
          <cell r="E1712">
            <v>33.130000000000003</v>
          </cell>
        </row>
        <row r="1713">
          <cell r="A1713">
            <v>42619</v>
          </cell>
          <cell r="E1713">
            <v>32.51</v>
          </cell>
        </row>
        <row r="1714">
          <cell r="A1714">
            <v>42620</v>
          </cell>
          <cell r="E1714">
            <v>32.96</v>
          </cell>
        </row>
        <row r="1715">
          <cell r="A1715">
            <v>42621</v>
          </cell>
          <cell r="E1715">
            <v>32.97</v>
          </cell>
        </row>
        <row r="1716">
          <cell r="A1716">
            <v>42622</v>
          </cell>
          <cell r="E1716">
            <v>31.64</v>
          </cell>
        </row>
        <row r="1717">
          <cell r="A1717">
            <v>42625</v>
          </cell>
          <cell r="E1717">
            <v>31.56</v>
          </cell>
        </row>
        <row r="1718">
          <cell r="A1718">
            <v>42626</v>
          </cell>
          <cell r="E1718">
            <v>30.66</v>
          </cell>
        </row>
        <row r="1719">
          <cell r="A1719">
            <v>42627</v>
          </cell>
          <cell r="E1719">
            <v>30.57</v>
          </cell>
        </row>
        <row r="1720">
          <cell r="A1720">
            <v>42628</v>
          </cell>
          <cell r="E1720">
            <v>31.15</v>
          </cell>
        </row>
        <row r="1721">
          <cell r="A1721">
            <v>42629</v>
          </cell>
          <cell r="E1721">
            <v>31.26</v>
          </cell>
        </row>
        <row r="1722">
          <cell r="A1722">
            <v>42632</v>
          </cell>
          <cell r="E1722">
            <v>31.09</v>
          </cell>
        </row>
        <row r="1723">
          <cell r="A1723">
            <v>42633</v>
          </cell>
          <cell r="E1723">
            <v>31.11</v>
          </cell>
        </row>
        <row r="1724">
          <cell r="A1724">
            <v>42634</v>
          </cell>
          <cell r="E1724">
            <v>31.63</v>
          </cell>
        </row>
        <row r="1725">
          <cell r="A1725">
            <v>42635</v>
          </cell>
          <cell r="E1725">
            <v>32.340000000000003</v>
          </cell>
        </row>
        <row r="1726">
          <cell r="A1726">
            <v>42636</v>
          </cell>
          <cell r="E1726">
            <v>32.24</v>
          </cell>
        </row>
        <row r="1727">
          <cell r="A1727">
            <v>42639</v>
          </cell>
          <cell r="E1727">
            <v>32</v>
          </cell>
        </row>
        <row r="1728">
          <cell r="A1728">
            <v>42640</v>
          </cell>
          <cell r="E1728">
            <v>32.53</v>
          </cell>
        </row>
        <row r="1729">
          <cell r="A1729">
            <v>42641</v>
          </cell>
          <cell r="E1729">
            <v>32.72</v>
          </cell>
        </row>
        <row r="1730">
          <cell r="A1730">
            <v>42642</v>
          </cell>
          <cell r="E1730">
            <v>32.54</v>
          </cell>
        </row>
        <row r="1731">
          <cell r="A1731">
            <v>42643</v>
          </cell>
          <cell r="E1731">
            <v>33.14</v>
          </cell>
        </row>
        <row r="1732">
          <cell r="A1732">
            <v>42646</v>
          </cell>
          <cell r="E1732">
            <v>32.950000000000003</v>
          </cell>
        </row>
        <row r="1733">
          <cell r="A1733">
            <v>42647</v>
          </cell>
          <cell r="E1733">
            <v>33.64</v>
          </cell>
        </row>
        <row r="1734">
          <cell r="A1734">
            <v>42648</v>
          </cell>
          <cell r="E1734">
            <v>34.270000000000003</v>
          </cell>
        </row>
        <row r="1735">
          <cell r="A1735">
            <v>42649</v>
          </cell>
          <cell r="E1735">
            <v>32.35</v>
          </cell>
        </row>
        <row r="1736">
          <cell r="A1736">
            <v>42650</v>
          </cell>
          <cell r="E1736">
            <v>30.98</v>
          </cell>
        </row>
        <row r="1737">
          <cell r="A1737">
            <v>42653</v>
          </cell>
          <cell r="E1737">
            <v>30.75</v>
          </cell>
        </row>
        <row r="1738">
          <cell r="A1738">
            <v>42654</v>
          </cell>
          <cell r="E1738">
            <v>30.09</v>
          </cell>
        </row>
        <row r="1739">
          <cell r="A1739">
            <v>42655</v>
          </cell>
          <cell r="E1739">
            <v>30.08</v>
          </cell>
        </row>
        <row r="1740">
          <cell r="A1740">
            <v>42656</v>
          </cell>
          <cell r="E1740">
            <v>30.13</v>
          </cell>
        </row>
        <row r="1741">
          <cell r="A1741">
            <v>42657</v>
          </cell>
          <cell r="E1741">
            <v>30.25</v>
          </cell>
        </row>
        <row r="1742">
          <cell r="A1742">
            <v>42660</v>
          </cell>
          <cell r="E1742">
            <v>30.78</v>
          </cell>
        </row>
        <row r="1743">
          <cell r="A1743">
            <v>42661</v>
          </cell>
          <cell r="E1743">
            <v>30.89</v>
          </cell>
        </row>
        <row r="1744">
          <cell r="A1744">
            <v>42662</v>
          </cell>
          <cell r="E1744">
            <v>31.11</v>
          </cell>
        </row>
        <row r="1745">
          <cell r="A1745">
            <v>42663</v>
          </cell>
          <cell r="E1745">
            <v>30.33</v>
          </cell>
        </row>
        <row r="1746">
          <cell r="A1746">
            <v>42664</v>
          </cell>
          <cell r="E1746">
            <v>30.25</v>
          </cell>
        </row>
        <row r="1747">
          <cell r="A1747">
            <v>42667</v>
          </cell>
          <cell r="E1747">
            <v>30.69</v>
          </cell>
        </row>
        <row r="1748">
          <cell r="A1748">
            <v>42668</v>
          </cell>
          <cell r="E1748">
            <v>30.67</v>
          </cell>
        </row>
        <row r="1749">
          <cell r="A1749">
            <v>42669</v>
          </cell>
          <cell r="E1749">
            <v>30.85</v>
          </cell>
        </row>
        <row r="1750">
          <cell r="A1750">
            <v>42670</v>
          </cell>
          <cell r="E1750">
            <v>30.61</v>
          </cell>
        </row>
        <row r="1751">
          <cell r="A1751">
            <v>42671</v>
          </cell>
          <cell r="E1751">
            <v>31.28</v>
          </cell>
        </row>
        <row r="1752">
          <cell r="A1752">
            <v>42674</v>
          </cell>
          <cell r="E1752">
            <v>31.32</v>
          </cell>
        </row>
        <row r="1753">
          <cell r="A1753">
            <v>42675</v>
          </cell>
          <cell r="E1753">
            <v>30.75</v>
          </cell>
        </row>
        <row r="1754">
          <cell r="A1754">
            <v>42676</v>
          </cell>
          <cell r="E1754">
            <v>30.14</v>
          </cell>
        </row>
        <row r="1755">
          <cell r="A1755">
            <v>42677</v>
          </cell>
          <cell r="E1755">
            <v>29.94</v>
          </cell>
        </row>
        <row r="1756">
          <cell r="A1756">
            <v>42678</v>
          </cell>
          <cell r="E1756">
            <v>30.85</v>
          </cell>
        </row>
        <row r="1757">
          <cell r="A1757">
            <v>42681</v>
          </cell>
          <cell r="E1757">
            <v>31.84</v>
          </cell>
        </row>
        <row r="1758">
          <cell r="A1758">
            <v>42682</v>
          </cell>
          <cell r="E1758">
            <v>26.02</v>
          </cell>
        </row>
        <row r="1759">
          <cell r="A1759">
            <v>42683</v>
          </cell>
          <cell r="E1759">
            <v>28.04</v>
          </cell>
        </row>
        <row r="1760">
          <cell r="A1760">
            <v>42684</v>
          </cell>
          <cell r="E1760">
            <v>27.78</v>
          </cell>
        </row>
        <row r="1761">
          <cell r="A1761">
            <v>42685</v>
          </cell>
          <cell r="E1761">
            <v>29.53</v>
          </cell>
        </row>
        <row r="1762">
          <cell r="A1762">
            <v>42688</v>
          </cell>
          <cell r="E1762">
            <v>29.44</v>
          </cell>
        </row>
        <row r="1763">
          <cell r="A1763">
            <v>42689</v>
          </cell>
          <cell r="E1763">
            <v>29.57</v>
          </cell>
        </row>
        <row r="1764">
          <cell r="A1764">
            <v>42690</v>
          </cell>
          <cell r="E1764">
            <v>29.6</v>
          </cell>
        </row>
        <row r="1765">
          <cell r="A1765">
            <v>42691</v>
          </cell>
          <cell r="E1765">
            <v>29.66</v>
          </cell>
        </row>
        <row r="1766">
          <cell r="A1766">
            <v>42692</v>
          </cell>
          <cell r="E1766">
            <v>29.88</v>
          </cell>
        </row>
        <row r="1767">
          <cell r="A1767">
            <v>42695</v>
          </cell>
          <cell r="E1767">
            <v>31.06</v>
          </cell>
        </row>
        <row r="1768">
          <cell r="A1768">
            <v>42696</v>
          </cell>
          <cell r="E1768">
            <v>31.99</v>
          </cell>
        </row>
        <row r="1769">
          <cell r="A1769">
            <v>42697</v>
          </cell>
          <cell r="E1769">
            <v>32.659999999999997</v>
          </cell>
        </row>
        <row r="1770">
          <cell r="A1770">
            <v>42699</v>
          </cell>
          <cell r="E1770">
            <v>32.450000000000003</v>
          </cell>
        </row>
        <row r="1771">
          <cell r="A1771">
            <v>42702</v>
          </cell>
          <cell r="E1771">
            <v>32.51</v>
          </cell>
        </row>
        <row r="1772">
          <cell r="A1772">
            <v>42703</v>
          </cell>
          <cell r="E1772">
            <v>31.79</v>
          </cell>
        </row>
        <row r="1773">
          <cell r="A1773">
            <v>42704</v>
          </cell>
          <cell r="E1773">
            <v>31.24</v>
          </cell>
        </row>
        <row r="1774">
          <cell r="A1774">
            <v>42705</v>
          </cell>
          <cell r="E1774">
            <v>31.21</v>
          </cell>
        </row>
        <row r="1775">
          <cell r="A1775">
            <v>42706</v>
          </cell>
          <cell r="E1775">
            <v>31.21</v>
          </cell>
        </row>
        <row r="1776">
          <cell r="A1776">
            <v>42709</v>
          </cell>
          <cell r="E1776">
            <v>31.68</v>
          </cell>
        </row>
        <row r="1777">
          <cell r="A1777">
            <v>42710</v>
          </cell>
          <cell r="E1777">
            <v>32.119999999999997</v>
          </cell>
        </row>
        <row r="1778">
          <cell r="A1778">
            <v>42711</v>
          </cell>
          <cell r="E1778">
            <v>32.94</v>
          </cell>
        </row>
        <row r="1779">
          <cell r="A1779">
            <v>42712</v>
          </cell>
          <cell r="E1779">
            <v>33.380000000000003</v>
          </cell>
        </row>
        <row r="1780">
          <cell r="A1780">
            <v>42713</v>
          </cell>
          <cell r="E1780">
            <v>34.43</v>
          </cell>
        </row>
        <row r="1781">
          <cell r="A1781">
            <v>42716</v>
          </cell>
          <cell r="E1781">
            <v>32.770000000000003</v>
          </cell>
        </row>
        <row r="1782">
          <cell r="A1782">
            <v>42717</v>
          </cell>
          <cell r="E1782">
            <v>31.51</v>
          </cell>
        </row>
        <row r="1783">
          <cell r="A1783">
            <v>42718</v>
          </cell>
          <cell r="E1783">
            <v>30.9</v>
          </cell>
        </row>
        <row r="1784">
          <cell r="A1784">
            <v>42719</v>
          </cell>
          <cell r="E1784">
            <v>31.35</v>
          </cell>
        </row>
        <row r="1785">
          <cell r="A1785">
            <v>42720</v>
          </cell>
          <cell r="E1785">
            <v>30.98</v>
          </cell>
        </row>
        <row r="1786">
          <cell r="A1786">
            <v>42723</v>
          </cell>
          <cell r="E1786">
            <v>31.86</v>
          </cell>
        </row>
        <row r="1787">
          <cell r="A1787">
            <v>42724</v>
          </cell>
          <cell r="E1787">
            <v>29.99</v>
          </cell>
        </row>
        <row r="1788">
          <cell r="A1788">
            <v>42725</v>
          </cell>
          <cell r="E1788">
            <v>29.06</v>
          </cell>
        </row>
        <row r="1789">
          <cell r="A1789">
            <v>42726</v>
          </cell>
          <cell r="E1789">
            <v>29.01</v>
          </cell>
        </row>
        <row r="1790">
          <cell r="A1790">
            <v>42727</v>
          </cell>
          <cell r="E1790">
            <v>29.2</v>
          </cell>
        </row>
        <row r="1791">
          <cell r="A1791">
            <v>42731</v>
          </cell>
          <cell r="E1791">
            <v>29.77</v>
          </cell>
        </row>
        <row r="1792">
          <cell r="A1792">
            <v>42732</v>
          </cell>
          <cell r="E1792">
            <v>29.23</v>
          </cell>
        </row>
        <row r="1793">
          <cell r="A1793">
            <v>42733</v>
          </cell>
          <cell r="E1793">
            <v>29.09</v>
          </cell>
        </row>
        <row r="1794">
          <cell r="A1794">
            <v>42734</v>
          </cell>
          <cell r="E1794">
            <v>28.63</v>
          </cell>
        </row>
        <row r="1795">
          <cell r="A1795">
            <v>42738</v>
          </cell>
          <cell r="E1795">
            <v>28.76</v>
          </cell>
        </row>
        <row r="1796">
          <cell r="A1796">
            <v>42739</v>
          </cell>
          <cell r="E1796">
            <v>29.31</v>
          </cell>
        </row>
        <row r="1797">
          <cell r="A1797">
            <v>42740</v>
          </cell>
          <cell r="E1797">
            <v>28.94</v>
          </cell>
        </row>
        <row r="1798">
          <cell r="A1798">
            <v>42741</v>
          </cell>
          <cell r="E1798">
            <v>28.91</v>
          </cell>
        </row>
        <row r="1799">
          <cell r="A1799">
            <v>42744</v>
          </cell>
          <cell r="E1799">
            <v>28.42</v>
          </cell>
        </row>
        <row r="1800">
          <cell r="A1800">
            <v>42745</v>
          </cell>
          <cell r="E1800">
            <v>28.59</v>
          </cell>
        </row>
        <row r="1801">
          <cell r="A1801">
            <v>42746</v>
          </cell>
          <cell r="E1801">
            <v>28.71</v>
          </cell>
        </row>
        <row r="1802">
          <cell r="A1802">
            <v>42747</v>
          </cell>
          <cell r="E1802">
            <v>28.29</v>
          </cell>
        </row>
        <row r="1803">
          <cell r="A1803">
            <v>42748</v>
          </cell>
          <cell r="E1803">
            <v>29.09</v>
          </cell>
        </row>
        <row r="1804">
          <cell r="A1804">
            <v>42752</v>
          </cell>
          <cell r="E1804">
            <v>28.2</v>
          </cell>
        </row>
        <row r="1805">
          <cell r="A1805">
            <v>42753</v>
          </cell>
          <cell r="E1805">
            <v>28.01</v>
          </cell>
        </row>
        <row r="1806">
          <cell r="A1806">
            <v>42754</v>
          </cell>
          <cell r="E1806">
            <v>27.18</v>
          </cell>
        </row>
        <row r="1807">
          <cell r="A1807">
            <v>42755</v>
          </cell>
          <cell r="E1807">
            <v>26.57</v>
          </cell>
        </row>
        <row r="1808">
          <cell r="A1808">
            <v>42758</v>
          </cell>
          <cell r="E1808">
            <v>27.11</v>
          </cell>
        </row>
        <row r="1809">
          <cell r="A1809">
            <v>42759</v>
          </cell>
          <cell r="E1809">
            <v>27.62</v>
          </cell>
        </row>
        <row r="1810">
          <cell r="A1810">
            <v>42760</v>
          </cell>
          <cell r="E1810">
            <v>27.88</v>
          </cell>
        </row>
        <row r="1811">
          <cell r="A1811">
            <v>42761</v>
          </cell>
          <cell r="E1811">
            <v>27.77</v>
          </cell>
        </row>
        <row r="1812">
          <cell r="A1812">
            <v>42762</v>
          </cell>
          <cell r="E1812">
            <v>28.07</v>
          </cell>
        </row>
        <row r="1813">
          <cell r="A1813">
            <v>42765</v>
          </cell>
          <cell r="E1813">
            <v>27.63</v>
          </cell>
        </row>
        <row r="1814">
          <cell r="A1814">
            <v>42766</v>
          </cell>
          <cell r="E1814">
            <v>27.76</v>
          </cell>
        </row>
        <row r="1815">
          <cell r="A1815">
            <v>42767</v>
          </cell>
          <cell r="E1815">
            <v>27.61</v>
          </cell>
        </row>
        <row r="1816">
          <cell r="A1816">
            <v>42768</v>
          </cell>
          <cell r="E1816">
            <v>27.33</v>
          </cell>
        </row>
        <row r="1817">
          <cell r="A1817">
            <v>42769</v>
          </cell>
          <cell r="E1817">
            <v>27.95</v>
          </cell>
        </row>
        <row r="1818">
          <cell r="A1818">
            <v>42772</v>
          </cell>
          <cell r="E1818">
            <v>27.99</v>
          </cell>
        </row>
        <row r="1819">
          <cell r="A1819">
            <v>42773</v>
          </cell>
          <cell r="E1819">
            <v>27.93</v>
          </cell>
        </row>
        <row r="1820">
          <cell r="A1820">
            <v>42774</v>
          </cell>
          <cell r="E1820">
            <v>27.81</v>
          </cell>
        </row>
        <row r="1821">
          <cell r="A1821">
            <v>42775</v>
          </cell>
          <cell r="E1821">
            <v>27.9</v>
          </cell>
        </row>
        <row r="1822">
          <cell r="A1822">
            <v>42776</v>
          </cell>
          <cell r="E1822">
            <v>28.49</v>
          </cell>
        </row>
        <row r="1823">
          <cell r="A1823">
            <v>42779</v>
          </cell>
          <cell r="E1823">
            <v>28.99</v>
          </cell>
        </row>
        <row r="1824">
          <cell r="A1824">
            <v>42780</v>
          </cell>
          <cell r="E1824">
            <v>28.93</v>
          </cell>
        </row>
        <row r="1825">
          <cell r="A1825">
            <v>42781</v>
          </cell>
          <cell r="E1825">
            <v>28.45</v>
          </cell>
        </row>
        <row r="1826">
          <cell r="A1826">
            <v>42782</v>
          </cell>
          <cell r="E1826">
            <v>28.49</v>
          </cell>
        </row>
        <row r="1827">
          <cell r="A1827">
            <v>42783</v>
          </cell>
          <cell r="E1827">
            <v>28.76</v>
          </cell>
        </row>
        <row r="1828">
          <cell r="A1828">
            <v>42787</v>
          </cell>
          <cell r="E1828">
            <v>28.82</v>
          </cell>
        </row>
        <row r="1829">
          <cell r="A1829">
            <v>42788</v>
          </cell>
          <cell r="E1829">
            <v>28.43</v>
          </cell>
        </row>
        <row r="1830">
          <cell r="A1830">
            <v>42789</v>
          </cell>
          <cell r="E1830">
            <v>28.47</v>
          </cell>
        </row>
        <row r="1831">
          <cell r="A1831">
            <v>42790</v>
          </cell>
          <cell r="E1831">
            <v>28.05</v>
          </cell>
        </row>
        <row r="1832">
          <cell r="A1832">
            <v>42793</v>
          </cell>
          <cell r="E1832">
            <v>29.18</v>
          </cell>
        </row>
        <row r="1833">
          <cell r="A1833">
            <v>42794</v>
          </cell>
          <cell r="E1833">
            <v>28.35</v>
          </cell>
        </row>
        <row r="1834">
          <cell r="A1834">
            <v>42795</v>
          </cell>
          <cell r="E1834">
            <v>29.42</v>
          </cell>
        </row>
        <row r="1835">
          <cell r="A1835">
            <v>42796</v>
          </cell>
          <cell r="E1835">
            <v>29.02</v>
          </cell>
        </row>
        <row r="1836">
          <cell r="A1836">
            <v>42797</v>
          </cell>
          <cell r="E1836">
            <v>28.39</v>
          </cell>
        </row>
        <row r="1837">
          <cell r="A1837">
            <v>42800</v>
          </cell>
          <cell r="E1837">
            <v>28.05</v>
          </cell>
        </row>
        <row r="1838">
          <cell r="A1838">
            <v>42801</v>
          </cell>
          <cell r="E1838">
            <v>27.72</v>
          </cell>
        </row>
        <row r="1839">
          <cell r="A1839">
            <v>42802</v>
          </cell>
          <cell r="E1839">
            <v>27.11</v>
          </cell>
        </row>
        <row r="1840">
          <cell r="A1840">
            <v>42803</v>
          </cell>
          <cell r="E1840">
            <v>26.53</v>
          </cell>
        </row>
        <row r="1841">
          <cell r="A1841">
            <v>42804</v>
          </cell>
          <cell r="E1841">
            <v>26.31</v>
          </cell>
        </row>
        <row r="1842">
          <cell r="A1842">
            <v>42807</v>
          </cell>
          <cell r="E1842">
            <v>26.12</v>
          </cell>
        </row>
        <row r="1843">
          <cell r="A1843">
            <v>42808</v>
          </cell>
          <cell r="E1843">
            <v>25.73</v>
          </cell>
        </row>
        <row r="1844">
          <cell r="A1844">
            <v>42809</v>
          </cell>
          <cell r="E1844">
            <v>25.67</v>
          </cell>
        </row>
        <row r="1845">
          <cell r="A1845">
            <v>42810</v>
          </cell>
          <cell r="E1845">
            <v>25.59</v>
          </cell>
        </row>
        <row r="1846">
          <cell r="A1846">
            <v>42811</v>
          </cell>
          <cell r="E1846">
            <v>25.5</v>
          </cell>
        </row>
        <row r="1847">
          <cell r="A1847">
            <v>42814</v>
          </cell>
          <cell r="E1847">
            <v>25.47</v>
          </cell>
        </row>
        <row r="1848">
          <cell r="A1848">
            <v>42815</v>
          </cell>
          <cell r="E1848">
            <v>25.12</v>
          </cell>
        </row>
        <row r="1849">
          <cell r="A1849">
            <v>42816</v>
          </cell>
          <cell r="E1849">
            <v>24.36</v>
          </cell>
        </row>
        <row r="1850">
          <cell r="A1850">
            <v>42817</v>
          </cell>
          <cell r="E1850">
            <v>24.96</v>
          </cell>
        </row>
        <row r="1851">
          <cell r="A1851">
            <v>42818</v>
          </cell>
          <cell r="E1851">
            <v>24.7</v>
          </cell>
        </row>
        <row r="1852">
          <cell r="A1852">
            <v>42821</v>
          </cell>
          <cell r="E1852">
            <v>24.89</v>
          </cell>
        </row>
        <row r="1853">
          <cell r="A1853">
            <v>42822</v>
          </cell>
          <cell r="E1853">
            <v>26.05</v>
          </cell>
        </row>
        <row r="1854">
          <cell r="A1854">
            <v>42823</v>
          </cell>
          <cell r="E1854">
            <v>26.95</v>
          </cell>
        </row>
        <row r="1855">
          <cell r="A1855">
            <v>42824</v>
          </cell>
          <cell r="E1855">
            <v>26.76</v>
          </cell>
        </row>
        <row r="1856">
          <cell r="A1856">
            <v>42825</v>
          </cell>
          <cell r="E1856">
            <v>26.84</v>
          </cell>
        </row>
        <row r="1857">
          <cell r="A1857">
            <v>42828</v>
          </cell>
          <cell r="E1857">
            <v>26.09</v>
          </cell>
        </row>
        <row r="1858">
          <cell r="A1858">
            <v>42829</v>
          </cell>
          <cell r="E1858">
            <v>26.39</v>
          </cell>
        </row>
        <row r="1859">
          <cell r="A1859">
            <v>42830</v>
          </cell>
          <cell r="E1859">
            <v>26.3</v>
          </cell>
        </row>
        <row r="1860">
          <cell r="A1860">
            <v>42831</v>
          </cell>
          <cell r="E1860">
            <v>26.52</v>
          </cell>
        </row>
        <row r="1861">
          <cell r="A1861">
            <v>42832</v>
          </cell>
          <cell r="E1861">
            <v>26.72</v>
          </cell>
        </row>
        <row r="1862">
          <cell r="A1862">
            <v>42835</v>
          </cell>
          <cell r="E1862">
            <v>26.72</v>
          </cell>
        </row>
        <row r="1863">
          <cell r="A1863">
            <v>42836</v>
          </cell>
          <cell r="E1863">
            <v>27.07</v>
          </cell>
        </row>
        <row r="1864">
          <cell r="A1864">
            <v>42837</v>
          </cell>
          <cell r="E1864">
            <v>26.52</v>
          </cell>
        </row>
        <row r="1865">
          <cell r="A1865">
            <v>42838</v>
          </cell>
          <cell r="E1865">
            <v>25.8</v>
          </cell>
        </row>
        <row r="1866">
          <cell r="A1866">
            <v>42842</v>
          </cell>
          <cell r="E1866">
            <v>25.86</v>
          </cell>
        </row>
        <row r="1867">
          <cell r="A1867">
            <v>42843</v>
          </cell>
          <cell r="E1867">
            <v>26.17</v>
          </cell>
        </row>
        <row r="1868">
          <cell r="A1868">
            <v>42844</v>
          </cell>
          <cell r="E1868">
            <v>26.31</v>
          </cell>
        </row>
        <row r="1869">
          <cell r="A1869">
            <v>42845</v>
          </cell>
          <cell r="E1869">
            <v>26.71</v>
          </cell>
        </row>
        <row r="1870">
          <cell r="A1870">
            <v>42846</v>
          </cell>
          <cell r="E1870">
            <v>26.42</v>
          </cell>
        </row>
        <row r="1871">
          <cell r="A1871">
            <v>42849</v>
          </cell>
          <cell r="E1871">
            <v>26.99</v>
          </cell>
        </row>
        <row r="1872">
          <cell r="A1872">
            <v>42850</v>
          </cell>
          <cell r="E1872">
            <v>27.28</v>
          </cell>
        </row>
        <row r="1873">
          <cell r="A1873">
            <v>42851</v>
          </cell>
          <cell r="E1873">
            <v>27.21</v>
          </cell>
        </row>
        <row r="1874">
          <cell r="A1874">
            <v>42852</v>
          </cell>
          <cell r="E1874">
            <v>27.35</v>
          </cell>
        </row>
        <row r="1875">
          <cell r="A1875">
            <v>42853</v>
          </cell>
          <cell r="E1875">
            <v>27.5</v>
          </cell>
        </row>
        <row r="1876">
          <cell r="A1876">
            <v>42856</v>
          </cell>
          <cell r="E1876">
            <v>26.95</v>
          </cell>
        </row>
        <row r="1877">
          <cell r="A1877">
            <v>42857</v>
          </cell>
          <cell r="E1877">
            <v>26.92</v>
          </cell>
        </row>
        <row r="1878">
          <cell r="A1878">
            <v>42858</v>
          </cell>
          <cell r="E1878">
            <v>26.6</v>
          </cell>
        </row>
        <row r="1879">
          <cell r="A1879">
            <v>42859</v>
          </cell>
          <cell r="E1879">
            <v>28.16</v>
          </cell>
        </row>
        <row r="1880">
          <cell r="A1880">
            <v>42860</v>
          </cell>
          <cell r="E1880">
            <v>26.07</v>
          </cell>
        </row>
        <row r="1881">
          <cell r="A1881">
            <v>42863</v>
          </cell>
          <cell r="E1881">
            <v>26.18</v>
          </cell>
        </row>
        <row r="1882">
          <cell r="A1882">
            <v>42864</v>
          </cell>
          <cell r="E1882">
            <v>26.24</v>
          </cell>
        </row>
        <row r="1883">
          <cell r="A1883">
            <v>42865</v>
          </cell>
          <cell r="E1883">
            <v>26.17</v>
          </cell>
        </row>
        <row r="1884">
          <cell r="A1884">
            <v>42866</v>
          </cell>
          <cell r="E1884">
            <v>25.73</v>
          </cell>
        </row>
        <row r="1885">
          <cell r="A1885">
            <v>42867</v>
          </cell>
          <cell r="E1885">
            <v>25.7</v>
          </cell>
        </row>
        <row r="1886">
          <cell r="A1886">
            <v>42870</v>
          </cell>
          <cell r="E1886">
            <v>25.96</v>
          </cell>
        </row>
        <row r="1887">
          <cell r="A1887">
            <v>42871</v>
          </cell>
          <cell r="E1887">
            <v>26.06</v>
          </cell>
        </row>
        <row r="1888">
          <cell r="A1888">
            <v>42872</v>
          </cell>
          <cell r="E1888">
            <v>25.74</v>
          </cell>
        </row>
        <row r="1889">
          <cell r="A1889">
            <v>42873</v>
          </cell>
          <cell r="E1889">
            <v>25.33</v>
          </cell>
        </row>
        <row r="1890">
          <cell r="A1890">
            <v>42874</v>
          </cell>
          <cell r="E1890">
            <v>25.34</v>
          </cell>
        </row>
        <row r="1891">
          <cell r="A1891">
            <v>42877</v>
          </cell>
          <cell r="E1891">
            <v>25.58</v>
          </cell>
        </row>
        <row r="1892">
          <cell r="A1892">
            <v>42878</v>
          </cell>
          <cell r="E1892">
            <v>25.38</v>
          </cell>
        </row>
        <row r="1893">
          <cell r="A1893">
            <v>42879</v>
          </cell>
          <cell r="E1893">
            <v>25.37</v>
          </cell>
        </row>
        <row r="1894">
          <cell r="A1894">
            <v>42880</v>
          </cell>
          <cell r="E1894">
            <v>26.12</v>
          </cell>
        </row>
        <row r="1895">
          <cell r="A1895">
            <v>42881</v>
          </cell>
          <cell r="E1895">
            <v>26.13</v>
          </cell>
        </row>
        <row r="1896">
          <cell r="A1896">
            <v>42885</v>
          </cell>
          <cell r="E1896">
            <v>25.97</v>
          </cell>
        </row>
        <row r="1897">
          <cell r="A1897">
            <v>42886</v>
          </cell>
          <cell r="E1897">
            <v>25.89</v>
          </cell>
        </row>
        <row r="1898">
          <cell r="A1898">
            <v>42887</v>
          </cell>
          <cell r="E1898">
            <v>26.13</v>
          </cell>
        </row>
        <row r="1899">
          <cell r="A1899">
            <v>42888</v>
          </cell>
          <cell r="E1899">
            <v>26.2</v>
          </cell>
        </row>
        <row r="1900">
          <cell r="A1900">
            <v>42891</v>
          </cell>
          <cell r="E1900">
            <v>25.89</v>
          </cell>
        </row>
        <row r="1901">
          <cell r="A1901">
            <v>42892</v>
          </cell>
          <cell r="E1901">
            <v>25.82</v>
          </cell>
        </row>
        <row r="1902">
          <cell r="A1902">
            <v>42893</v>
          </cell>
          <cell r="E1902">
            <v>25.82</v>
          </cell>
        </row>
        <row r="1903">
          <cell r="A1903">
            <v>42894</v>
          </cell>
          <cell r="E1903">
            <v>26.02</v>
          </cell>
        </row>
        <row r="1904">
          <cell r="A1904">
            <v>42895</v>
          </cell>
          <cell r="E1904">
            <v>26.04</v>
          </cell>
        </row>
        <row r="1905">
          <cell r="A1905">
            <v>42898</v>
          </cell>
          <cell r="E1905">
            <v>26.09</v>
          </cell>
        </row>
        <row r="1906">
          <cell r="A1906">
            <v>42899</v>
          </cell>
          <cell r="E1906">
            <v>26.34</v>
          </cell>
        </row>
        <row r="1907">
          <cell r="A1907">
            <v>42900</v>
          </cell>
          <cell r="E1907">
            <v>26.04</v>
          </cell>
        </row>
        <row r="1908">
          <cell r="A1908">
            <v>42901</v>
          </cell>
          <cell r="E1908">
            <v>26.03</v>
          </cell>
        </row>
        <row r="1909">
          <cell r="A1909">
            <v>42902</v>
          </cell>
          <cell r="E1909">
            <v>25.77</v>
          </cell>
        </row>
        <row r="1910">
          <cell r="A1910">
            <v>42905</v>
          </cell>
          <cell r="E1910">
            <v>25.85</v>
          </cell>
        </row>
        <row r="1911">
          <cell r="A1911">
            <v>42906</v>
          </cell>
          <cell r="E1911">
            <v>25.63</v>
          </cell>
        </row>
        <row r="1912">
          <cell r="A1912">
            <v>42907</v>
          </cell>
          <cell r="E1912">
            <v>25.23</v>
          </cell>
        </row>
        <row r="1913">
          <cell r="A1913">
            <v>42908</v>
          </cell>
          <cell r="E1913">
            <v>25.28</v>
          </cell>
        </row>
        <row r="1914">
          <cell r="A1914">
            <v>42909</v>
          </cell>
          <cell r="E1914">
            <v>25.15</v>
          </cell>
        </row>
        <row r="1915">
          <cell r="A1915">
            <v>42912</v>
          </cell>
          <cell r="E1915">
            <v>25.21</v>
          </cell>
        </row>
        <row r="1916">
          <cell r="A1916">
            <v>42913</v>
          </cell>
          <cell r="E1916">
            <v>25.3</v>
          </cell>
        </row>
        <row r="1917">
          <cell r="A1917">
            <v>42914</v>
          </cell>
          <cell r="E1917">
            <v>25.58</v>
          </cell>
        </row>
        <row r="1918">
          <cell r="A1918">
            <v>42915</v>
          </cell>
          <cell r="E1918">
            <v>25.8</v>
          </cell>
        </row>
        <row r="1919">
          <cell r="A1919">
            <v>42916</v>
          </cell>
          <cell r="E1919">
            <v>25.78</v>
          </cell>
        </row>
        <row r="1920">
          <cell r="A1920">
            <v>42919</v>
          </cell>
          <cell r="E1920">
            <v>25.98</v>
          </cell>
        </row>
        <row r="1921">
          <cell r="A1921">
            <v>42921</v>
          </cell>
          <cell r="E1921">
            <v>25.9</v>
          </cell>
        </row>
        <row r="1922">
          <cell r="A1922">
            <v>42922</v>
          </cell>
          <cell r="E1922">
            <v>25.73</v>
          </cell>
        </row>
        <row r="1923">
          <cell r="A1923">
            <v>42923</v>
          </cell>
          <cell r="E1923">
            <v>25.94</v>
          </cell>
        </row>
        <row r="1924">
          <cell r="A1924">
            <v>42926</v>
          </cell>
          <cell r="E1924">
            <v>25.82</v>
          </cell>
        </row>
        <row r="1925">
          <cell r="A1925">
            <v>42927</v>
          </cell>
          <cell r="E1925">
            <v>26.44</v>
          </cell>
        </row>
        <row r="1926">
          <cell r="A1926">
            <v>42928</v>
          </cell>
          <cell r="E1926">
            <v>26.6</v>
          </cell>
        </row>
        <row r="1927">
          <cell r="A1927">
            <v>42929</v>
          </cell>
          <cell r="E1927">
            <v>26.32</v>
          </cell>
        </row>
        <row r="1928">
          <cell r="A1928">
            <v>42930</v>
          </cell>
          <cell r="E1928">
            <v>26.22</v>
          </cell>
        </row>
        <row r="1929">
          <cell r="A1929">
            <v>42933</v>
          </cell>
          <cell r="E1929">
            <v>26.27</v>
          </cell>
        </row>
        <row r="1930">
          <cell r="A1930">
            <v>42934</v>
          </cell>
          <cell r="E1930">
            <v>25.96</v>
          </cell>
        </row>
        <row r="1931">
          <cell r="A1931">
            <v>42935</v>
          </cell>
          <cell r="E1931">
            <v>25.85</v>
          </cell>
        </row>
        <row r="1932">
          <cell r="A1932">
            <v>42936</v>
          </cell>
          <cell r="E1932">
            <v>25.92</v>
          </cell>
        </row>
        <row r="1933">
          <cell r="A1933">
            <v>42937</v>
          </cell>
          <cell r="E1933">
            <v>25.85</v>
          </cell>
        </row>
        <row r="1934">
          <cell r="A1934">
            <v>42940</v>
          </cell>
          <cell r="E1934">
            <v>25.25</v>
          </cell>
        </row>
        <row r="1935">
          <cell r="A1935">
            <v>42941</v>
          </cell>
          <cell r="E1935">
            <v>25.36</v>
          </cell>
        </row>
        <row r="1936">
          <cell r="A1936">
            <v>42942</v>
          </cell>
          <cell r="E1936">
            <v>25.25</v>
          </cell>
        </row>
        <row r="1937">
          <cell r="A1937">
            <v>42943</v>
          </cell>
          <cell r="E1937">
            <v>25.01</v>
          </cell>
        </row>
        <row r="1938">
          <cell r="A1938">
            <v>42944</v>
          </cell>
          <cell r="E1938">
            <v>25.13</v>
          </cell>
        </row>
        <row r="1939">
          <cell r="A1939">
            <v>42947</v>
          </cell>
          <cell r="E1939">
            <v>24.75</v>
          </cell>
        </row>
        <row r="1940">
          <cell r="A1940">
            <v>42948</v>
          </cell>
          <cell r="E1940">
            <v>24.36</v>
          </cell>
        </row>
        <row r="1941">
          <cell r="A1941">
            <v>42949</v>
          </cell>
          <cell r="E1941">
            <v>21.29</v>
          </cell>
        </row>
        <row r="1942">
          <cell r="A1942">
            <v>42950</v>
          </cell>
          <cell r="E1942">
            <v>21.37</v>
          </cell>
        </row>
        <row r="1943">
          <cell r="A1943">
            <v>42951</v>
          </cell>
          <cell r="E1943">
            <v>21.26</v>
          </cell>
        </row>
        <row r="1944">
          <cell r="A1944">
            <v>42954</v>
          </cell>
          <cell r="E1944">
            <v>21.95</v>
          </cell>
        </row>
        <row r="1945">
          <cell r="A1945">
            <v>42955</v>
          </cell>
          <cell r="E1945">
            <v>21.79</v>
          </cell>
        </row>
        <row r="1946">
          <cell r="A1946">
            <v>42956</v>
          </cell>
          <cell r="E1946">
            <v>21.75</v>
          </cell>
        </row>
        <row r="1947">
          <cell r="A1947">
            <v>42957</v>
          </cell>
          <cell r="E1947">
            <v>21.56</v>
          </cell>
        </row>
        <row r="1948">
          <cell r="A1948">
            <v>42958</v>
          </cell>
          <cell r="E1948">
            <v>22.13</v>
          </cell>
        </row>
        <row r="1949">
          <cell r="A1949">
            <v>42961</v>
          </cell>
          <cell r="E1949">
            <v>22.36</v>
          </cell>
        </row>
        <row r="1950">
          <cell r="A1950">
            <v>42962</v>
          </cell>
          <cell r="E1950">
            <v>22.38</v>
          </cell>
        </row>
        <row r="1951">
          <cell r="A1951">
            <v>42963</v>
          </cell>
          <cell r="E1951">
            <v>22.08</v>
          </cell>
        </row>
        <row r="1952">
          <cell r="A1952">
            <v>42964</v>
          </cell>
          <cell r="E1952">
            <v>22.12</v>
          </cell>
        </row>
        <row r="1953">
          <cell r="A1953">
            <v>42965</v>
          </cell>
          <cell r="E1953">
            <v>22.15</v>
          </cell>
        </row>
        <row r="1954">
          <cell r="A1954">
            <v>42968</v>
          </cell>
          <cell r="E1954">
            <v>22.13</v>
          </cell>
        </row>
        <row r="1955">
          <cell r="A1955">
            <v>42969</v>
          </cell>
          <cell r="E1955">
            <v>22.18</v>
          </cell>
        </row>
        <row r="1956">
          <cell r="A1956">
            <v>42970</v>
          </cell>
          <cell r="E1956">
            <v>22</v>
          </cell>
        </row>
        <row r="1957">
          <cell r="A1957">
            <v>42971</v>
          </cell>
          <cell r="E1957">
            <v>22.06</v>
          </cell>
        </row>
        <row r="1958">
          <cell r="A1958">
            <v>42972</v>
          </cell>
          <cell r="E1958">
            <v>22.12</v>
          </cell>
        </row>
        <row r="1959">
          <cell r="A1959">
            <v>42975</v>
          </cell>
          <cell r="E1959">
            <v>22.07</v>
          </cell>
        </row>
        <row r="1960">
          <cell r="A1960">
            <v>42976</v>
          </cell>
          <cell r="E1960">
            <v>22.1</v>
          </cell>
        </row>
        <row r="1961">
          <cell r="A1961">
            <v>42977</v>
          </cell>
          <cell r="E1961">
            <v>22.28</v>
          </cell>
        </row>
        <row r="1962">
          <cell r="A1962">
            <v>42978</v>
          </cell>
          <cell r="E1962">
            <v>22.24</v>
          </cell>
        </row>
        <row r="1963">
          <cell r="A1963">
            <v>42979</v>
          </cell>
          <cell r="E1963">
            <v>22.14</v>
          </cell>
        </row>
        <row r="1964">
          <cell r="A1964">
            <v>42983</v>
          </cell>
          <cell r="E1964">
            <v>22.18</v>
          </cell>
        </row>
        <row r="1965">
          <cell r="A1965">
            <v>42984</v>
          </cell>
          <cell r="E1965">
            <v>22.74</v>
          </cell>
        </row>
        <row r="1966">
          <cell r="A1966">
            <v>42985</v>
          </cell>
          <cell r="E1966">
            <v>22.71</v>
          </cell>
        </row>
        <row r="1967">
          <cell r="A1967">
            <v>42986</v>
          </cell>
          <cell r="E1967">
            <v>22.43</v>
          </cell>
        </row>
        <row r="1968">
          <cell r="A1968">
            <v>42989</v>
          </cell>
          <cell r="E1968">
            <v>23.28</v>
          </cell>
        </row>
        <row r="1969">
          <cell r="A1969">
            <v>42990</v>
          </cell>
          <cell r="E1969">
            <v>23.93</v>
          </cell>
        </row>
        <row r="1970">
          <cell r="A1970">
            <v>42991</v>
          </cell>
          <cell r="E1970">
            <v>23.9</v>
          </cell>
        </row>
        <row r="1971">
          <cell r="A1971">
            <v>42992</v>
          </cell>
          <cell r="E1971">
            <v>24.11</v>
          </cell>
        </row>
        <row r="1972">
          <cell r="A1972">
            <v>42993</v>
          </cell>
          <cell r="E1972">
            <v>24.16</v>
          </cell>
        </row>
        <row r="1973">
          <cell r="A1973">
            <v>42996</v>
          </cell>
          <cell r="E1973">
            <v>24.46</v>
          </cell>
        </row>
        <row r="1974">
          <cell r="A1974">
            <v>42997</v>
          </cell>
          <cell r="E1974">
            <v>24.36</v>
          </cell>
        </row>
        <row r="1975">
          <cell r="A1975">
            <v>42998</v>
          </cell>
          <cell r="E1975">
            <v>24.52</v>
          </cell>
        </row>
        <row r="1976">
          <cell r="A1976">
            <v>42999</v>
          </cell>
          <cell r="E1976">
            <v>24.55</v>
          </cell>
        </row>
        <row r="1977">
          <cell r="A1977">
            <v>43000</v>
          </cell>
          <cell r="E1977">
            <v>24.62</v>
          </cell>
        </row>
        <row r="1978">
          <cell r="A1978">
            <v>43003</v>
          </cell>
          <cell r="E1978">
            <v>24.12</v>
          </cell>
        </row>
        <row r="1979">
          <cell r="A1979">
            <v>43004</v>
          </cell>
          <cell r="E1979">
            <v>24.54</v>
          </cell>
        </row>
        <row r="1980">
          <cell r="A1980">
            <v>43005</v>
          </cell>
          <cell r="E1980">
            <v>25.36</v>
          </cell>
        </row>
        <row r="1981">
          <cell r="A1981">
            <v>43006</v>
          </cell>
          <cell r="E1981">
            <v>25.31</v>
          </cell>
        </row>
        <row r="1982">
          <cell r="A1982">
            <v>43007</v>
          </cell>
          <cell r="E1982">
            <v>25.17</v>
          </cell>
        </row>
        <row r="1983">
          <cell r="A1983">
            <v>43010</v>
          </cell>
          <cell r="E1983">
            <v>25.51</v>
          </cell>
        </row>
        <row r="1984">
          <cell r="A1984">
            <v>43011</v>
          </cell>
          <cell r="E1984">
            <v>25.67</v>
          </cell>
        </row>
        <row r="1985">
          <cell r="A1985">
            <v>43012</v>
          </cell>
          <cell r="E1985">
            <v>25.99</v>
          </cell>
        </row>
        <row r="1986">
          <cell r="A1986">
            <v>43013</v>
          </cell>
          <cell r="E1986">
            <v>26.84</v>
          </cell>
        </row>
        <row r="1987">
          <cell r="A1987">
            <v>43014</v>
          </cell>
          <cell r="E1987">
            <v>26.43</v>
          </cell>
        </row>
        <row r="1988">
          <cell r="A1988">
            <v>43017</v>
          </cell>
          <cell r="E1988">
            <v>26.18</v>
          </cell>
        </row>
        <row r="1989">
          <cell r="A1989">
            <v>43018</v>
          </cell>
          <cell r="E1989">
            <v>26.15</v>
          </cell>
        </row>
        <row r="1990">
          <cell r="A1990">
            <v>43019</v>
          </cell>
          <cell r="E1990">
            <v>26.04</v>
          </cell>
        </row>
        <row r="1991">
          <cell r="A1991">
            <v>43020</v>
          </cell>
          <cell r="E1991">
            <v>26.24</v>
          </cell>
        </row>
        <row r="1992">
          <cell r="A1992">
            <v>43021</v>
          </cell>
          <cell r="E1992">
            <v>26.11</v>
          </cell>
        </row>
        <row r="1993">
          <cell r="A1993">
            <v>43024</v>
          </cell>
          <cell r="E1993">
            <v>26.24</v>
          </cell>
        </row>
        <row r="1994">
          <cell r="A1994">
            <v>43025</v>
          </cell>
          <cell r="E1994">
            <v>27.66</v>
          </cell>
        </row>
        <row r="1995">
          <cell r="A1995">
            <v>43026</v>
          </cell>
          <cell r="E1995">
            <v>28.29</v>
          </cell>
        </row>
        <row r="1996">
          <cell r="A1996">
            <v>43027</v>
          </cell>
          <cell r="E1996">
            <v>28.05</v>
          </cell>
        </row>
        <row r="1997">
          <cell r="A1997">
            <v>43028</v>
          </cell>
          <cell r="E1997">
            <v>28.75</v>
          </cell>
        </row>
        <row r="1998">
          <cell r="A1998">
            <v>43031</v>
          </cell>
          <cell r="E1998">
            <v>28.55</v>
          </cell>
        </row>
        <row r="1999">
          <cell r="A1999">
            <v>43032</v>
          </cell>
          <cell r="E1999">
            <v>28.86</v>
          </cell>
        </row>
        <row r="2000">
          <cell r="A2000">
            <v>43033</v>
          </cell>
          <cell r="E2000">
            <v>29.15</v>
          </cell>
        </row>
        <row r="2001">
          <cell r="A2001">
            <v>43034</v>
          </cell>
          <cell r="E2001">
            <v>29.3</v>
          </cell>
        </row>
        <row r="2002">
          <cell r="A2002">
            <v>43035</v>
          </cell>
          <cell r="E2002">
            <v>30.3</v>
          </cell>
        </row>
        <row r="2003">
          <cell r="A2003">
            <v>43038</v>
          </cell>
          <cell r="E2003">
            <v>29.32</v>
          </cell>
        </row>
        <row r="2004">
          <cell r="A2004">
            <v>43039</v>
          </cell>
          <cell r="E2004">
            <v>29.1</v>
          </cell>
        </row>
        <row r="2005">
          <cell r="A2005">
            <v>43040</v>
          </cell>
          <cell r="E2005">
            <v>28.96</v>
          </cell>
        </row>
        <row r="2006">
          <cell r="A2006">
            <v>43041</v>
          </cell>
          <cell r="E2006">
            <v>29.81</v>
          </cell>
        </row>
        <row r="2007">
          <cell r="A2007">
            <v>43042</v>
          </cell>
          <cell r="E2007">
            <v>29.64</v>
          </cell>
        </row>
        <row r="2008">
          <cell r="A2008">
            <v>43045</v>
          </cell>
          <cell r="E2008">
            <v>30.12</v>
          </cell>
        </row>
        <row r="2009">
          <cell r="A2009">
            <v>43046</v>
          </cell>
          <cell r="E2009">
            <v>30.63</v>
          </cell>
        </row>
        <row r="2010">
          <cell r="A2010">
            <v>43047</v>
          </cell>
          <cell r="E2010">
            <v>31.78</v>
          </cell>
        </row>
        <row r="2011">
          <cell r="A2011">
            <v>43048</v>
          </cell>
          <cell r="E2011">
            <v>32.75</v>
          </cell>
        </row>
        <row r="2012">
          <cell r="A2012">
            <v>43049</v>
          </cell>
          <cell r="E2012">
            <v>32.340000000000003</v>
          </cell>
        </row>
        <row r="2013">
          <cell r="A2013">
            <v>43052</v>
          </cell>
          <cell r="E2013">
            <v>31.76</v>
          </cell>
        </row>
        <row r="2014">
          <cell r="A2014">
            <v>43053</v>
          </cell>
          <cell r="E2014">
            <v>31.67</v>
          </cell>
        </row>
        <row r="2015">
          <cell r="A2015">
            <v>43054</v>
          </cell>
          <cell r="E2015">
            <v>31.52</v>
          </cell>
        </row>
        <row r="2016">
          <cell r="A2016">
            <v>43055</v>
          </cell>
          <cell r="E2016">
            <v>32.11</v>
          </cell>
        </row>
        <row r="2017">
          <cell r="A2017">
            <v>43056</v>
          </cell>
          <cell r="E2017">
            <v>32.520000000000003</v>
          </cell>
        </row>
        <row r="2018">
          <cell r="A2018">
            <v>43059</v>
          </cell>
          <cell r="E2018">
            <v>32.76</v>
          </cell>
        </row>
        <row r="2019">
          <cell r="A2019">
            <v>43060</v>
          </cell>
          <cell r="E2019">
            <v>33.49</v>
          </cell>
        </row>
        <row r="2020">
          <cell r="A2020">
            <v>43061</v>
          </cell>
          <cell r="E2020">
            <v>33.270000000000003</v>
          </cell>
        </row>
        <row r="2021">
          <cell r="A2021">
            <v>43063</v>
          </cell>
          <cell r="E2021">
            <v>33.53</v>
          </cell>
        </row>
        <row r="2022">
          <cell r="A2022">
            <v>43066</v>
          </cell>
          <cell r="E2022">
            <v>33.549999999999997</v>
          </cell>
        </row>
        <row r="2023">
          <cell r="A2023">
            <v>43067</v>
          </cell>
          <cell r="E2023">
            <v>34.56</v>
          </cell>
        </row>
        <row r="2024">
          <cell r="A2024">
            <v>43068</v>
          </cell>
          <cell r="E2024">
            <v>35.11</v>
          </cell>
        </row>
        <row r="2025">
          <cell r="A2025">
            <v>43069</v>
          </cell>
          <cell r="E2025">
            <v>35.1</v>
          </cell>
        </row>
        <row r="2026">
          <cell r="A2026">
            <v>43070</v>
          </cell>
          <cell r="E2026">
            <v>34.69</v>
          </cell>
        </row>
        <row r="2027">
          <cell r="A2027">
            <v>43073</v>
          </cell>
          <cell r="E2027">
            <v>35.58</v>
          </cell>
        </row>
        <row r="2028">
          <cell r="A2028">
            <v>43074</v>
          </cell>
          <cell r="E2028">
            <v>35.58</v>
          </cell>
        </row>
        <row r="2029">
          <cell r="A2029">
            <v>43075</v>
          </cell>
          <cell r="E2029">
            <v>36.03</v>
          </cell>
        </row>
        <row r="2030">
          <cell r="A2030">
            <v>43076</v>
          </cell>
          <cell r="E2030">
            <v>37.119999999999997</v>
          </cell>
        </row>
        <row r="2031">
          <cell r="A2031">
            <v>43077</v>
          </cell>
          <cell r="E2031">
            <v>36.590000000000003</v>
          </cell>
        </row>
        <row r="2032">
          <cell r="A2032">
            <v>43080</v>
          </cell>
          <cell r="E2032">
            <v>35.58</v>
          </cell>
        </row>
        <row r="2033">
          <cell r="A2033">
            <v>43081</v>
          </cell>
          <cell r="E2033">
            <v>34.64</v>
          </cell>
        </row>
        <row r="2034">
          <cell r="A2034">
            <v>43082</v>
          </cell>
          <cell r="E2034">
            <v>34.82</v>
          </cell>
        </row>
        <row r="2035">
          <cell r="A2035">
            <v>43083</v>
          </cell>
          <cell r="E2035">
            <v>34.04</v>
          </cell>
        </row>
        <row r="2036">
          <cell r="A2036">
            <v>43084</v>
          </cell>
          <cell r="E2036">
            <v>34.94</v>
          </cell>
        </row>
        <row r="2037">
          <cell r="A2037">
            <v>43087</v>
          </cell>
          <cell r="E2037">
            <v>35.68</v>
          </cell>
        </row>
        <row r="2038">
          <cell r="A2038">
            <v>43088</v>
          </cell>
          <cell r="E2038">
            <v>35.369999999999997</v>
          </cell>
        </row>
        <row r="2039">
          <cell r="A2039">
            <v>43089</v>
          </cell>
          <cell r="E2039">
            <v>36.049999999999997</v>
          </cell>
        </row>
        <row r="2040">
          <cell r="A2040">
            <v>43090</v>
          </cell>
          <cell r="E2040">
            <v>36.299999999999997</v>
          </cell>
        </row>
        <row r="2041">
          <cell r="A2041">
            <v>43091</v>
          </cell>
          <cell r="E2041">
            <v>36.18</v>
          </cell>
        </row>
        <row r="2042">
          <cell r="A2042">
            <v>43095</v>
          </cell>
          <cell r="E2042">
            <v>36.03</v>
          </cell>
        </row>
        <row r="2043">
          <cell r="A2043">
            <v>43096</v>
          </cell>
          <cell r="E2043">
            <v>35.799999999999997</v>
          </cell>
        </row>
        <row r="2044">
          <cell r="A2044">
            <v>43097</v>
          </cell>
          <cell r="E2044">
            <v>35.520000000000003</v>
          </cell>
        </row>
        <row r="2045">
          <cell r="A2045">
            <v>43098</v>
          </cell>
          <cell r="E2045">
            <v>35.08</v>
          </cell>
        </row>
        <row r="2046">
          <cell r="A2046">
            <v>43102</v>
          </cell>
          <cell r="E2046">
            <v>35.76</v>
          </cell>
        </row>
        <row r="2047">
          <cell r="A2047">
            <v>43103</v>
          </cell>
          <cell r="E2047">
            <v>34.200000000000003</v>
          </cell>
        </row>
        <row r="2048">
          <cell r="A2048">
            <v>43104</v>
          </cell>
          <cell r="E2048">
            <v>34.39</v>
          </cell>
        </row>
        <row r="2049">
          <cell r="A2049">
            <v>43105</v>
          </cell>
          <cell r="E2049">
            <v>34.75</v>
          </cell>
        </row>
        <row r="2050">
          <cell r="A2050">
            <v>43108</v>
          </cell>
          <cell r="E2050">
            <v>34.64</v>
          </cell>
        </row>
        <row r="2051">
          <cell r="A2051">
            <v>43109</v>
          </cell>
          <cell r="E2051">
            <v>34.04</v>
          </cell>
        </row>
        <row r="2052">
          <cell r="A2052">
            <v>43110</v>
          </cell>
          <cell r="E2052">
            <v>34.03</v>
          </cell>
        </row>
        <row r="2053">
          <cell r="A2053">
            <v>43111</v>
          </cell>
          <cell r="E2053">
            <v>34.659999999999997</v>
          </cell>
        </row>
        <row r="2054">
          <cell r="A2054">
            <v>43112</v>
          </cell>
          <cell r="E2054">
            <v>40.06</v>
          </cell>
        </row>
        <row r="2055">
          <cell r="A2055">
            <v>43116</v>
          </cell>
          <cell r="E2055">
            <v>38.74</v>
          </cell>
        </row>
        <row r="2056">
          <cell r="A2056">
            <v>43117</v>
          </cell>
          <cell r="E2056">
            <v>38.44</v>
          </cell>
        </row>
        <row r="2057">
          <cell r="A2057">
            <v>43118</v>
          </cell>
          <cell r="E2057">
            <v>37.32</v>
          </cell>
        </row>
        <row r="2058">
          <cell r="A2058">
            <v>43119</v>
          </cell>
          <cell r="E2058">
            <v>39.1</v>
          </cell>
        </row>
        <row r="2059">
          <cell r="A2059">
            <v>43122</v>
          </cell>
          <cell r="E2059">
            <v>39.22</v>
          </cell>
        </row>
        <row r="2060">
          <cell r="A2060">
            <v>43123</v>
          </cell>
          <cell r="E2060">
            <v>39.130000000000003</v>
          </cell>
        </row>
        <row r="2061">
          <cell r="A2061">
            <v>43124</v>
          </cell>
          <cell r="E2061">
            <v>38.65</v>
          </cell>
        </row>
        <row r="2062">
          <cell r="A2062">
            <v>43125</v>
          </cell>
          <cell r="E2062">
            <v>40.01</v>
          </cell>
        </row>
        <row r="2063">
          <cell r="A2063">
            <v>43126</v>
          </cell>
          <cell r="E2063">
            <v>40.07</v>
          </cell>
        </row>
        <row r="2064">
          <cell r="A2064">
            <v>43129</v>
          </cell>
          <cell r="E2064">
            <v>39.26</v>
          </cell>
        </row>
        <row r="2065">
          <cell r="A2065">
            <v>43130</v>
          </cell>
          <cell r="E2065">
            <v>38.47</v>
          </cell>
        </row>
        <row r="2066">
          <cell r="A2066">
            <v>43131</v>
          </cell>
          <cell r="E2066">
            <v>37.729999999999997</v>
          </cell>
        </row>
        <row r="2067">
          <cell r="A2067">
            <v>43132</v>
          </cell>
          <cell r="E2067">
            <v>37.69</v>
          </cell>
        </row>
        <row r="2068">
          <cell r="A2068">
            <v>43133</v>
          </cell>
          <cell r="E2068">
            <v>36.26</v>
          </cell>
        </row>
        <row r="2069">
          <cell r="A2069">
            <v>43136</v>
          </cell>
          <cell r="E2069">
            <v>33.71</v>
          </cell>
        </row>
        <row r="2070">
          <cell r="A2070">
            <v>43137</v>
          </cell>
          <cell r="E2070">
            <v>34.19</v>
          </cell>
        </row>
        <row r="2071">
          <cell r="A2071">
            <v>43138</v>
          </cell>
          <cell r="E2071">
            <v>34.26</v>
          </cell>
        </row>
        <row r="2072">
          <cell r="A2072">
            <v>43139</v>
          </cell>
          <cell r="E2072">
            <v>32.909999999999997</v>
          </cell>
        </row>
        <row r="2073">
          <cell r="A2073">
            <v>43140</v>
          </cell>
          <cell r="E2073">
            <v>33.07</v>
          </cell>
        </row>
        <row r="2074">
          <cell r="A2074">
            <v>43143</v>
          </cell>
          <cell r="E2074">
            <v>33.6</v>
          </cell>
        </row>
        <row r="2075">
          <cell r="A2075">
            <v>43144</v>
          </cell>
          <cell r="E2075">
            <v>34.200000000000003</v>
          </cell>
        </row>
        <row r="2076">
          <cell r="A2076">
            <v>43145</v>
          </cell>
          <cell r="E2076">
            <v>35.049999999999997</v>
          </cell>
        </row>
        <row r="2077">
          <cell r="A2077">
            <v>43146</v>
          </cell>
          <cell r="E2077">
            <v>35.56</v>
          </cell>
        </row>
        <row r="2078">
          <cell r="A2078">
            <v>43147</v>
          </cell>
          <cell r="E2078">
            <v>35.43</v>
          </cell>
        </row>
        <row r="2079">
          <cell r="A2079">
            <v>43151</v>
          </cell>
          <cell r="E2079">
            <v>34.97</v>
          </cell>
        </row>
        <row r="2080">
          <cell r="A2080">
            <v>43152</v>
          </cell>
          <cell r="E2080">
            <v>35.44</v>
          </cell>
        </row>
        <row r="2081">
          <cell r="A2081">
            <v>43153</v>
          </cell>
          <cell r="E2081">
            <v>34.81</v>
          </cell>
        </row>
        <row r="2082">
          <cell r="A2082">
            <v>43154</v>
          </cell>
          <cell r="E2082">
            <v>34.46</v>
          </cell>
        </row>
        <row r="2083">
          <cell r="A2083">
            <v>43157</v>
          </cell>
          <cell r="E2083">
            <v>35.950000000000003</v>
          </cell>
        </row>
        <row r="2084">
          <cell r="A2084">
            <v>43158</v>
          </cell>
          <cell r="E2084">
            <v>32.61</v>
          </cell>
        </row>
        <row r="2085">
          <cell r="A2085">
            <v>43159</v>
          </cell>
          <cell r="E2085">
            <v>32.61</v>
          </cell>
        </row>
        <row r="2086">
          <cell r="A2086">
            <v>43160</v>
          </cell>
          <cell r="E2086">
            <v>33.119999999999997</v>
          </cell>
        </row>
        <row r="2087">
          <cell r="A2087">
            <v>43161</v>
          </cell>
          <cell r="E2087">
            <v>33.85</v>
          </cell>
        </row>
        <row r="2088">
          <cell r="A2088">
            <v>43164</v>
          </cell>
          <cell r="E2088">
            <v>33.74</v>
          </cell>
        </row>
        <row r="2089">
          <cell r="A2089">
            <v>43165</v>
          </cell>
          <cell r="E2089">
            <v>34.200000000000003</v>
          </cell>
        </row>
        <row r="2090">
          <cell r="A2090">
            <v>43166</v>
          </cell>
          <cell r="E2090">
            <v>34.26</v>
          </cell>
        </row>
        <row r="2091">
          <cell r="A2091">
            <v>43167</v>
          </cell>
          <cell r="E2091">
            <v>33.93</v>
          </cell>
        </row>
        <row r="2092">
          <cell r="A2092">
            <v>43168</v>
          </cell>
          <cell r="E2092">
            <v>34.659999999999997</v>
          </cell>
        </row>
        <row r="2093">
          <cell r="A2093">
            <v>43171</v>
          </cell>
          <cell r="E2093">
            <v>34.33</v>
          </cell>
        </row>
        <row r="2094">
          <cell r="A2094">
            <v>43172</v>
          </cell>
          <cell r="E2094">
            <v>33.92</v>
          </cell>
        </row>
        <row r="2095">
          <cell r="A2095">
            <v>43173</v>
          </cell>
          <cell r="E2095">
            <v>33.130000000000003</v>
          </cell>
        </row>
        <row r="2096">
          <cell r="A2096">
            <v>43174</v>
          </cell>
          <cell r="E2096">
            <v>32.92</v>
          </cell>
        </row>
        <row r="2097">
          <cell r="A2097">
            <v>43175</v>
          </cell>
          <cell r="E2097">
            <v>32.619999999999997</v>
          </cell>
        </row>
        <row r="2098">
          <cell r="A2098">
            <v>43178</v>
          </cell>
          <cell r="E2098">
            <v>32.69</v>
          </cell>
        </row>
        <row r="2099">
          <cell r="A2099">
            <v>43179</v>
          </cell>
          <cell r="E2099">
            <v>32.54</v>
          </cell>
        </row>
        <row r="2100">
          <cell r="A2100">
            <v>43180</v>
          </cell>
          <cell r="E2100">
            <v>32.619999999999997</v>
          </cell>
        </row>
        <row r="2101">
          <cell r="A2101">
            <v>43181</v>
          </cell>
          <cell r="E2101">
            <v>30.87</v>
          </cell>
        </row>
        <row r="2102">
          <cell r="A2102">
            <v>43182</v>
          </cell>
          <cell r="E2102">
            <v>30.1</v>
          </cell>
        </row>
        <row r="2103">
          <cell r="A2103">
            <v>43185</v>
          </cell>
          <cell r="E2103">
            <v>31.12</v>
          </cell>
        </row>
        <row r="2104">
          <cell r="A2104">
            <v>43186</v>
          </cell>
          <cell r="E2104">
            <v>31.13</v>
          </cell>
        </row>
        <row r="2105">
          <cell r="A2105">
            <v>43187</v>
          </cell>
          <cell r="E2105">
            <v>30.83</v>
          </cell>
        </row>
        <row r="2106">
          <cell r="A2106">
            <v>43188</v>
          </cell>
          <cell r="E2106">
            <v>31.56</v>
          </cell>
        </row>
        <row r="2107">
          <cell r="A2107">
            <v>43192</v>
          </cell>
          <cell r="E2107">
            <v>30.91</v>
          </cell>
        </row>
        <row r="2108">
          <cell r="A2108">
            <v>43193</v>
          </cell>
          <cell r="E2108">
            <v>30.8</v>
          </cell>
        </row>
        <row r="2109">
          <cell r="A2109">
            <v>43194</v>
          </cell>
          <cell r="E2109">
            <v>30.65</v>
          </cell>
        </row>
        <row r="2110">
          <cell r="A2110">
            <v>43195</v>
          </cell>
          <cell r="E2110">
            <v>30.96</v>
          </cell>
        </row>
        <row r="2111">
          <cell r="A2111">
            <v>43196</v>
          </cell>
          <cell r="E2111">
            <v>29.92</v>
          </cell>
        </row>
        <row r="2112">
          <cell r="A2112">
            <v>43199</v>
          </cell>
          <cell r="E2112">
            <v>29.49</v>
          </cell>
        </row>
        <row r="2113">
          <cell r="A2113">
            <v>43200</v>
          </cell>
          <cell r="E2113">
            <v>30.61</v>
          </cell>
        </row>
        <row r="2114">
          <cell r="A2114">
            <v>43201</v>
          </cell>
          <cell r="E2114">
            <v>30.75</v>
          </cell>
        </row>
        <row r="2115">
          <cell r="A2115">
            <v>43202</v>
          </cell>
          <cell r="E2115">
            <v>30.97</v>
          </cell>
        </row>
        <row r="2116">
          <cell r="A2116">
            <v>43203</v>
          </cell>
          <cell r="E2116">
            <v>31.02</v>
          </cell>
        </row>
        <row r="2117">
          <cell r="A2117">
            <v>43206</v>
          </cell>
          <cell r="E2117">
            <v>32.119999999999997</v>
          </cell>
        </row>
        <row r="2118">
          <cell r="A2118">
            <v>43207</v>
          </cell>
          <cell r="E2118">
            <v>32.880000000000003</v>
          </cell>
        </row>
        <row r="2119">
          <cell r="A2119">
            <v>43208</v>
          </cell>
          <cell r="E2119">
            <v>33.299999999999997</v>
          </cell>
        </row>
        <row r="2120">
          <cell r="A2120">
            <v>43209</v>
          </cell>
          <cell r="E2120">
            <v>32.979999999999997</v>
          </cell>
        </row>
        <row r="2121">
          <cell r="A2121">
            <v>43210</v>
          </cell>
          <cell r="E2121">
            <v>32.78</v>
          </cell>
        </row>
        <row r="2122">
          <cell r="A2122">
            <v>43213</v>
          </cell>
          <cell r="E2122">
            <v>32.5</v>
          </cell>
        </row>
        <row r="2123">
          <cell r="A2123">
            <v>43214</v>
          </cell>
          <cell r="E2123">
            <v>32.200000000000003</v>
          </cell>
        </row>
        <row r="2124">
          <cell r="A2124">
            <v>43215</v>
          </cell>
          <cell r="E2124">
            <v>32.200000000000003</v>
          </cell>
        </row>
        <row r="2125">
          <cell r="A2125">
            <v>43216</v>
          </cell>
          <cell r="E2125">
            <v>32.619999999999997</v>
          </cell>
        </row>
        <row r="2126">
          <cell r="A2126">
            <v>43217</v>
          </cell>
          <cell r="E2126">
            <v>31.89</v>
          </cell>
        </row>
        <row r="2127">
          <cell r="A2127">
            <v>43220</v>
          </cell>
          <cell r="E2127">
            <v>30.95</v>
          </cell>
        </row>
        <row r="2128">
          <cell r="A2128">
            <v>43221</v>
          </cell>
          <cell r="E2128">
            <v>30.36</v>
          </cell>
        </row>
        <row r="2129">
          <cell r="A2129">
            <v>43222</v>
          </cell>
          <cell r="E2129">
            <v>30.24</v>
          </cell>
        </row>
        <row r="2130">
          <cell r="A2130">
            <v>43223</v>
          </cell>
          <cell r="E2130">
            <v>30.04</v>
          </cell>
        </row>
        <row r="2131">
          <cell r="A2131">
            <v>43224</v>
          </cell>
          <cell r="E2131">
            <v>30.23</v>
          </cell>
        </row>
        <row r="2132">
          <cell r="A2132">
            <v>43227</v>
          </cell>
          <cell r="E2132">
            <v>30.88</v>
          </cell>
        </row>
        <row r="2133">
          <cell r="A2133">
            <v>43228</v>
          </cell>
          <cell r="E2133">
            <v>31.77</v>
          </cell>
        </row>
        <row r="2134">
          <cell r="A2134">
            <v>43229</v>
          </cell>
          <cell r="E2134">
            <v>29.53</v>
          </cell>
        </row>
        <row r="2135">
          <cell r="A2135">
            <v>43230</v>
          </cell>
          <cell r="E2135">
            <v>28.6</v>
          </cell>
        </row>
        <row r="2136">
          <cell r="A2136">
            <v>43231</v>
          </cell>
          <cell r="E2136">
            <v>29.48</v>
          </cell>
        </row>
        <row r="2137">
          <cell r="A2137">
            <v>43234</v>
          </cell>
          <cell r="E2137">
            <v>29.91</v>
          </cell>
        </row>
        <row r="2138">
          <cell r="A2138">
            <v>43235</v>
          </cell>
          <cell r="E2138">
            <v>29.63</v>
          </cell>
        </row>
        <row r="2139">
          <cell r="A2139">
            <v>43236</v>
          </cell>
          <cell r="E2139">
            <v>30.02</v>
          </cell>
        </row>
        <row r="2140">
          <cell r="A2140">
            <v>43237</v>
          </cell>
          <cell r="E2140">
            <v>30.26</v>
          </cell>
        </row>
        <row r="2141">
          <cell r="A2141">
            <v>43238</v>
          </cell>
          <cell r="E2141">
            <v>30.34</v>
          </cell>
        </row>
        <row r="2142">
          <cell r="A2142">
            <v>43241</v>
          </cell>
          <cell r="E2142">
            <v>30.46</v>
          </cell>
        </row>
        <row r="2143">
          <cell r="A2143">
            <v>43242</v>
          </cell>
          <cell r="E2143">
            <v>29.49</v>
          </cell>
        </row>
        <row r="2144">
          <cell r="A2144">
            <v>43243</v>
          </cell>
          <cell r="E2144">
            <v>29.97</v>
          </cell>
        </row>
        <row r="2145">
          <cell r="A2145">
            <v>43244</v>
          </cell>
          <cell r="E2145">
            <v>30.06</v>
          </cell>
        </row>
        <row r="2146">
          <cell r="A2146">
            <v>43245</v>
          </cell>
          <cell r="E2146">
            <v>29.75</v>
          </cell>
        </row>
        <row r="2147">
          <cell r="A2147">
            <v>43249</v>
          </cell>
          <cell r="E2147">
            <v>29.75</v>
          </cell>
        </row>
        <row r="2148">
          <cell r="A2148">
            <v>43250</v>
          </cell>
          <cell r="E2148">
            <v>30.27</v>
          </cell>
        </row>
        <row r="2149">
          <cell r="A2149">
            <v>43251</v>
          </cell>
          <cell r="E2149">
            <v>29.78</v>
          </cell>
        </row>
        <row r="2150">
          <cell r="A2150">
            <v>43252</v>
          </cell>
          <cell r="E2150">
            <v>31.15</v>
          </cell>
        </row>
        <row r="2151">
          <cell r="A2151">
            <v>43255</v>
          </cell>
          <cell r="E2151">
            <v>31.02</v>
          </cell>
        </row>
        <row r="2152">
          <cell r="A2152">
            <v>43256</v>
          </cell>
          <cell r="E2152">
            <v>30.26</v>
          </cell>
        </row>
        <row r="2153">
          <cell r="A2153">
            <v>43257</v>
          </cell>
          <cell r="E2153">
            <v>29.94</v>
          </cell>
        </row>
        <row r="2154">
          <cell r="A2154">
            <v>43258</v>
          </cell>
          <cell r="E2154">
            <v>30.08</v>
          </cell>
        </row>
        <row r="2155">
          <cell r="A2155">
            <v>43259</v>
          </cell>
          <cell r="E2155">
            <v>31.73</v>
          </cell>
        </row>
        <row r="2156">
          <cell r="A2156">
            <v>43262</v>
          </cell>
          <cell r="E2156">
            <v>31.9</v>
          </cell>
        </row>
        <row r="2157">
          <cell r="A2157">
            <v>43263</v>
          </cell>
          <cell r="E2157">
            <v>32.14</v>
          </cell>
        </row>
        <row r="2158">
          <cell r="A2158">
            <v>43264</v>
          </cell>
          <cell r="E2158">
            <v>32.31</v>
          </cell>
        </row>
        <row r="2159">
          <cell r="A2159">
            <v>43265</v>
          </cell>
          <cell r="E2159">
            <v>32.450000000000003</v>
          </cell>
        </row>
        <row r="2160">
          <cell r="A2160">
            <v>43266</v>
          </cell>
          <cell r="E2160">
            <v>33.020000000000003</v>
          </cell>
        </row>
        <row r="2161">
          <cell r="A2161">
            <v>43269</v>
          </cell>
          <cell r="E2161">
            <v>33.19</v>
          </cell>
        </row>
        <row r="2162">
          <cell r="A2162">
            <v>43270</v>
          </cell>
          <cell r="E2162">
            <v>32.39</v>
          </cell>
        </row>
        <row r="2163">
          <cell r="A2163">
            <v>43271</v>
          </cell>
          <cell r="E2163">
            <v>32.14</v>
          </cell>
        </row>
        <row r="2164">
          <cell r="A2164">
            <v>43272</v>
          </cell>
          <cell r="E2164">
            <v>31.34</v>
          </cell>
        </row>
        <row r="2165">
          <cell r="A2165">
            <v>43273</v>
          </cell>
          <cell r="E2165">
            <v>31.18</v>
          </cell>
        </row>
        <row r="2166">
          <cell r="A2166">
            <v>43276</v>
          </cell>
          <cell r="E2166">
            <v>30.38</v>
          </cell>
        </row>
        <row r="2167">
          <cell r="A2167">
            <v>43277</v>
          </cell>
          <cell r="E2167">
            <v>31.11</v>
          </cell>
        </row>
        <row r="2168">
          <cell r="A2168">
            <v>43278</v>
          </cell>
          <cell r="E2168">
            <v>30.63</v>
          </cell>
        </row>
        <row r="2169">
          <cell r="A2169">
            <v>43279</v>
          </cell>
          <cell r="E2169">
            <v>30.36</v>
          </cell>
        </row>
        <row r="2170">
          <cell r="A2170">
            <v>43280</v>
          </cell>
          <cell r="E2170">
            <v>30.43</v>
          </cell>
        </row>
        <row r="2171">
          <cell r="A2171">
            <v>43283</v>
          </cell>
          <cell r="E2171">
            <v>30.75</v>
          </cell>
        </row>
        <row r="2172">
          <cell r="A2172">
            <v>43284</v>
          </cell>
          <cell r="E2172">
            <v>30.98</v>
          </cell>
        </row>
        <row r="2173">
          <cell r="A2173">
            <v>43286</v>
          </cell>
          <cell r="E2173">
            <v>30.96</v>
          </cell>
        </row>
        <row r="2174">
          <cell r="A2174">
            <v>43287</v>
          </cell>
          <cell r="E2174">
            <v>30.74</v>
          </cell>
        </row>
        <row r="2175">
          <cell r="A2175">
            <v>43290</v>
          </cell>
          <cell r="E2175">
            <v>31.91</v>
          </cell>
        </row>
        <row r="2176">
          <cell r="A2176">
            <v>43291</v>
          </cell>
          <cell r="E2176">
            <v>31.89</v>
          </cell>
        </row>
        <row r="2177">
          <cell r="A2177">
            <v>43292</v>
          </cell>
          <cell r="E2177">
            <v>31.18</v>
          </cell>
        </row>
        <row r="2178">
          <cell r="A2178">
            <v>43293</v>
          </cell>
          <cell r="E2178">
            <v>31.87</v>
          </cell>
        </row>
        <row r="2179">
          <cell r="A2179">
            <v>43294</v>
          </cell>
          <cell r="E2179">
            <v>32.36</v>
          </cell>
        </row>
        <row r="2180">
          <cell r="A2180">
            <v>43297</v>
          </cell>
          <cell r="E2180">
            <v>32.36</v>
          </cell>
        </row>
        <row r="2181">
          <cell r="A2181">
            <v>43298</v>
          </cell>
          <cell r="E2181">
            <v>32.549999999999997</v>
          </cell>
        </row>
        <row r="2182">
          <cell r="A2182">
            <v>43299</v>
          </cell>
          <cell r="E2182">
            <v>32.96</v>
          </cell>
        </row>
        <row r="2183">
          <cell r="A2183">
            <v>43300</v>
          </cell>
          <cell r="E2183">
            <v>33.33</v>
          </cell>
        </row>
        <row r="2184">
          <cell r="A2184">
            <v>43301</v>
          </cell>
          <cell r="E2184">
            <v>33.5</v>
          </cell>
        </row>
        <row r="2185">
          <cell r="A2185">
            <v>43304</v>
          </cell>
          <cell r="E2185">
            <v>33.08</v>
          </cell>
        </row>
        <row r="2186">
          <cell r="A2186">
            <v>43305</v>
          </cell>
          <cell r="E2186">
            <v>33</v>
          </cell>
        </row>
        <row r="2187">
          <cell r="A2187">
            <v>43306</v>
          </cell>
          <cell r="E2187">
            <v>32.96</v>
          </cell>
        </row>
        <row r="2188">
          <cell r="A2188">
            <v>43307</v>
          </cell>
          <cell r="E2188">
            <v>34.26</v>
          </cell>
        </row>
        <row r="2189">
          <cell r="A2189">
            <v>43308</v>
          </cell>
          <cell r="E2189">
            <v>33.49</v>
          </cell>
        </row>
        <row r="2190">
          <cell r="A2190">
            <v>43311</v>
          </cell>
          <cell r="E2190">
            <v>33.200000000000003</v>
          </cell>
        </row>
        <row r="2191">
          <cell r="A2191">
            <v>43312</v>
          </cell>
          <cell r="E2191">
            <v>34.700000000000003</v>
          </cell>
        </row>
        <row r="2192">
          <cell r="A2192">
            <v>43313</v>
          </cell>
          <cell r="E2192">
            <v>33.6</v>
          </cell>
        </row>
        <row r="2193">
          <cell r="A2193">
            <v>43314</v>
          </cell>
          <cell r="E2193">
            <v>33.46</v>
          </cell>
        </row>
        <row r="2194">
          <cell r="A2194">
            <v>43315</v>
          </cell>
          <cell r="E2194">
            <v>35.19</v>
          </cell>
        </row>
        <row r="2195">
          <cell r="A2195">
            <v>43318</v>
          </cell>
          <cell r="E2195">
            <v>36.69</v>
          </cell>
        </row>
        <row r="2196">
          <cell r="A2196">
            <v>43319</v>
          </cell>
          <cell r="E2196">
            <v>37.01</v>
          </cell>
        </row>
        <row r="2197">
          <cell r="A2197">
            <v>43320</v>
          </cell>
          <cell r="E2197">
            <v>36.86</v>
          </cell>
        </row>
        <row r="2198">
          <cell r="A2198">
            <v>43321</v>
          </cell>
          <cell r="E2198">
            <v>37.72</v>
          </cell>
        </row>
        <row r="2199">
          <cell r="A2199">
            <v>43322</v>
          </cell>
          <cell r="E2199">
            <v>38.020000000000003</v>
          </cell>
        </row>
        <row r="2200">
          <cell r="A2200">
            <v>43325</v>
          </cell>
          <cell r="E2200">
            <v>38.08</v>
          </cell>
        </row>
        <row r="2201">
          <cell r="A2201">
            <v>43326</v>
          </cell>
          <cell r="E2201">
            <v>38.43</v>
          </cell>
        </row>
        <row r="2202">
          <cell r="A2202">
            <v>43327</v>
          </cell>
          <cell r="E2202">
            <v>37.43</v>
          </cell>
        </row>
        <row r="2203">
          <cell r="A2203">
            <v>43328</v>
          </cell>
          <cell r="E2203">
            <v>37.619999999999997</v>
          </cell>
        </row>
        <row r="2204">
          <cell r="A2204">
            <v>43329</v>
          </cell>
          <cell r="E2204">
            <v>37.68</v>
          </cell>
        </row>
        <row r="2205">
          <cell r="A2205">
            <v>43332</v>
          </cell>
          <cell r="E2205">
            <v>37.950000000000003</v>
          </cell>
        </row>
        <row r="2206">
          <cell r="A2206">
            <v>43333</v>
          </cell>
          <cell r="E2206">
            <v>39</v>
          </cell>
        </row>
        <row r="2207">
          <cell r="A2207">
            <v>43334</v>
          </cell>
          <cell r="E2207">
            <v>39.020000000000003</v>
          </cell>
        </row>
        <row r="2208">
          <cell r="A2208">
            <v>43335</v>
          </cell>
          <cell r="E2208">
            <v>38.479999999999997</v>
          </cell>
        </row>
        <row r="2209">
          <cell r="A2209">
            <v>43336</v>
          </cell>
          <cell r="E2209">
            <v>38.06</v>
          </cell>
        </row>
        <row r="2210">
          <cell r="A2210">
            <v>43339</v>
          </cell>
          <cell r="E2210">
            <v>38.07</v>
          </cell>
        </row>
        <row r="2211">
          <cell r="A2211">
            <v>43340</v>
          </cell>
          <cell r="E2211">
            <v>37.89</v>
          </cell>
        </row>
        <row r="2212">
          <cell r="A2212">
            <v>43341</v>
          </cell>
          <cell r="E2212">
            <v>37.520000000000003</v>
          </cell>
        </row>
        <row r="2213">
          <cell r="A2213">
            <v>43342</v>
          </cell>
          <cell r="E2213">
            <v>37.14</v>
          </cell>
        </row>
        <row r="2214">
          <cell r="A2214">
            <v>43343</v>
          </cell>
          <cell r="E2214">
            <v>36.81</v>
          </cell>
        </row>
        <row r="2215">
          <cell r="A2215">
            <v>43347</v>
          </cell>
          <cell r="E2215">
            <v>36.53</v>
          </cell>
        </row>
        <row r="2216">
          <cell r="A2216">
            <v>43348</v>
          </cell>
          <cell r="E2216">
            <v>37.200000000000003</v>
          </cell>
        </row>
        <row r="2217">
          <cell r="A2217">
            <v>43349</v>
          </cell>
          <cell r="E2217">
            <v>37.020000000000003</v>
          </cell>
        </row>
        <row r="2218">
          <cell r="A2218">
            <v>43350</v>
          </cell>
          <cell r="E2218">
            <v>37.229999999999997</v>
          </cell>
        </row>
        <row r="2219">
          <cell r="A2219">
            <v>43353</v>
          </cell>
          <cell r="E2219">
            <v>37.229999999999997</v>
          </cell>
        </row>
        <row r="2220">
          <cell r="A2220">
            <v>43354</v>
          </cell>
          <cell r="E2220">
            <v>36.79</v>
          </cell>
        </row>
        <row r="2221">
          <cell r="A2221">
            <v>43355</v>
          </cell>
          <cell r="E2221">
            <v>36.33</v>
          </cell>
        </row>
        <row r="2222">
          <cell r="A2222">
            <v>43356</v>
          </cell>
          <cell r="E2222">
            <v>36.47</v>
          </cell>
        </row>
        <row r="2223">
          <cell r="A2223">
            <v>43357</v>
          </cell>
          <cell r="E2223">
            <v>36.729999999999997</v>
          </cell>
        </row>
        <row r="2224">
          <cell r="A2224">
            <v>43360</v>
          </cell>
          <cell r="E2224">
            <v>36.65</v>
          </cell>
        </row>
        <row r="2225">
          <cell r="A2225">
            <v>43361</v>
          </cell>
          <cell r="E2225">
            <v>36.840000000000003</v>
          </cell>
        </row>
        <row r="2226">
          <cell r="A2226">
            <v>43362</v>
          </cell>
          <cell r="E2226">
            <v>37.11</v>
          </cell>
        </row>
        <row r="2227">
          <cell r="A2227">
            <v>43363</v>
          </cell>
          <cell r="E2227">
            <v>36.6</v>
          </cell>
        </row>
        <row r="2228">
          <cell r="A2228">
            <v>43364</v>
          </cell>
          <cell r="E2228">
            <v>36.76</v>
          </cell>
        </row>
        <row r="2229">
          <cell r="A2229">
            <v>43367</v>
          </cell>
          <cell r="E2229">
            <v>36.76</v>
          </cell>
        </row>
        <row r="2230">
          <cell r="A2230">
            <v>43368</v>
          </cell>
          <cell r="E2230">
            <v>36.51</v>
          </cell>
        </row>
        <row r="2231">
          <cell r="A2231">
            <v>43369</v>
          </cell>
          <cell r="E2231">
            <v>36.299999999999997</v>
          </cell>
        </row>
        <row r="2232">
          <cell r="A2232">
            <v>43370</v>
          </cell>
          <cell r="E2232">
            <v>36.6</v>
          </cell>
        </row>
        <row r="2233">
          <cell r="A2233">
            <v>43371</v>
          </cell>
          <cell r="E2233">
            <v>36.799999999999997</v>
          </cell>
        </row>
        <row r="2234">
          <cell r="A2234">
            <v>43374</v>
          </cell>
          <cell r="E2234">
            <v>36.78</v>
          </cell>
        </row>
        <row r="2235">
          <cell r="A2235">
            <v>43375</v>
          </cell>
          <cell r="E2235">
            <v>35.549999999999997</v>
          </cell>
        </row>
        <row r="2236">
          <cell r="A2236">
            <v>43376</v>
          </cell>
          <cell r="E2236">
            <v>35.79</v>
          </cell>
        </row>
        <row r="2237">
          <cell r="A2237">
            <v>43377</v>
          </cell>
          <cell r="E2237">
            <v>35.33</v>
          </cell>
        </row>
        <row r="2238">
          <cell r="A2238">
            <v>43378</v>
          </cell>
          <cell r="E2238">
            <v>34.229999999999997</v>
          </cell>
        </row>
        <row r="2239">
          <cell r="A2239">
            <v>43381</v>
          </cell>
          <cell r="E2239">
            <v>34.4</v>
          </cell>
        </row>
        <row r="2240">
          <cell r="A2240">
            <v>43382</v>
          </cell>
          <cell r="E2240">
            <v>34.17</v>
          </cell>
        </row>
        <row r="2241">
          <cell r="A2241">
            <v>43383</v>
          </cell>
          <cell r="E2241">
            <v>31.94</v>
          </cell>
        </row>
        <row r="2242">
          <cell r="A2242">
            <v>43384</v>
          </cell>
          <cell r="E2242">
            <v>32.17</v>
          </cell>
        </row>
        <row r="2243">
          <cell r="A2243">
            <v>43385</v>
          </cell>
          <cell r="E2243">
            <v>32.08</v>
          </cell>
        </row>
        <row r="2244">
          <cell r="A2244">
            <v>43388</v>
          </cell>
          <cell r="E2244">
            <v>33.380000000000003</v>
          </cell>
        </row>
        <row r="2245">
          <cell r="A2245">
            <v>43389</v>
          </cell>
          <cell r="E2245">
            <v>34.58</v>
          </cell>
        </row>
        <row r="2246">
          <cell r="A2246">
            <v>43390</v>
          </cell>
          <cell r="E2246">
            <v>33.9</v>
          </cell>
        </row>
        <row r="2247">
          <cell r="A2247">
            <v>43391</v>
          </cell>
          <cell r="E2247">
            <v>32.89</v>
          </cell>
        </row>
        <row r="2248">
          <cell r="A2248">
            <v>43392</v>
          </cell>
          <cell r="E2248">
            <v>32.67</v>
          </cell>
        </row>
        <row r="2249">
          <cell r="A2249">
            <v>43395</v>
          </cell>
          <cell r="E2249">
            <v>32.96</v>
          </cell>
        </row>
        <row r="2250">
          <cell r="A2250">
            <v>43396</v>
          </cell>
          <cell r="E2250">
            <v>32.700000000000003</v>
          </cell>
        </row>
        <row r="2251">
          <cell r="A2251">
            <v>43397</v>
          </cell>
          <cell r="E2251">
            <v>31.72</v>
          </cell>
        </row>
        <row r="2252">
          <cell r="A2252">
            <v>43398</v>
          </cell>
          <cell r="E2252">
            <v>30.55</v>
          </cell>
        </row>
        <row r="2253">
          <cell r="A2253">
            <v>43399</v>
          </cell>
          <cell r="E2253">
            <v>30.15</v>
          </cell>
        </row>
        <row r="2254">
          <cell r="A2254">
            <v>43402</v>
          </cell>
          <cell r="E2254">
            <v>29.17</v>
          </cell>
        </row>
        <row r="2255">
          <cell r="A2255">
            <v>43403</v>
          </cell>
          <cell r="E2255">
            <v>29.23</v>
          </cell>
        </row>
        <row r="2256">
          <cell r="A2256">
            <v>43404</v>
          </cell>
          <cell r="E2256">
            <v>29.16</v>
          </cell>
        </row>
        <row r="2257">
          <cell r="A2257">
            <v>43405</v>
          </cell>
          <cell r="E2257">
            <v>29.34</v>
          </cell>
        </row>
        <row r="2258">
          <cell r="A2258">
            <v>43406</v>
          </cell>
          <cell r="E2258">
            <v>29.9</v>
          </cell>
        </row>
        <row r="2259">
          <cell r="A2259">
            <v>43409</v>
          </cell>
          <cell r="E2259">
            <v>30.11</v>
          </cell>
        </row>
        <row r="2260">
          <cell r="A2260">
            <v>43410</v>
          </cell>
          <cell r="E2260">
            <v>29</v>
          </cell>
        </row>
        <row r="2261">
          <cell r="A2261">
            <v>43411</v>
          </cell>
          <cell r="E2261">
            <v>29.98</v>
          </cell>
        </row>
        <row r="2262">
          <cell r="A2262">
            <v>43412</v>
          </cell>
          <cell r="E2262">
            <v>30.05</v>
          </cell>
        </row>
        <row r="2263">
          <cell r="A2263">
            <v>43413</v>
          </cell>
          <cell r="E2263">
            <v>29.73</v>
          </cell>
        </row>
        <row r="2264">
          <cell r="A2264">
            <v>43416</v>
          </cell>
          <cell r="E2264">
            <v>28.63</v>
          </cell>
        </row>
        <row r="2265">
          <cell r="A2265">
            <v>43417</v>
          </cell>
          <cell r="E2265">
            <v>28.46</v>
          </cell>
        </row>
        <row r="2266">
          <cell r="A2266">
            <v>43418</v>
          </cell>
          <cell r="E2266">
            <v>29.9</v>
          </cell>
        </row>
        <row r="2267">
          <cell r="A2267">
            <v>43419</v>
          </cell>
          <cell r="E2267">
            <v>31.28</v>
          </cell>
        </row>
        <row r="2268">
          <cell r="A2268">
            <v>43420</v>
          </cell>
          <cell r="E2268">
            <v>31.41</v>
          </cell>
        </row>
        <row r="2269">
          <cell r="A2269">
            <v>43423</v>
          </cell>
          <cell r="E2269">
            <v>30</v>
          </cell>
        </row>
        <row r="2270">
          <cell r="A2270">
            <v>43424</v>
          </cell>
          <cell r="E2270">
            <v>30.3</v>
          </cell>
        </row>
        <row r="2271">
          <cell r="A2271">
            <v>43425</v>
          </cell>
          <cell r="E2271">
            <v>30.57</v>
          </cell>
        </row>
        <row r="2272">
          <cell r="A2272">
            <v>43427</v>
          </cell>
          <cell r="E2272">
            <v>30.91</v>
          </cell>
        </row>
        <row r="2273">
          <cell r="A2273">
            <v>43430</v>
          </cell>
          <cell r="E2273">
            <v>31.72</v>
          </cell>
        </row>
        <row r="2274">
          <cell r="A2274">
            <v>43431</v>
          </cell>
          <cell r="E2274">
            <v>31.03</v>
          </cell>
        </row>
        <row r="2275">
          <cell r="A2275">
            <v>43432</v>
          </cell>
          <cell r="E2275">
            <v>31.73</v>
          </cell>
        </row>
        <row r="2276">
          <cell r="A2276">
            <v>43433</v>
          </cell>
          <cell r="E2276">
            <v>31.53</v>
          </cell>
        </row>
        <row r="2277">
          <cell r="A2277">
            <v>43434</v>
          </cell>
          <cell r="E2277">
            <v>32.46</v>
          </cell>
        </row>
        <row r="2278">
          <cell r="A2278">
            <v>43437</v>
          </cell>
          <cell r="E2278">
            <v>33.020000000000003</v>
          </cell>
        </row>
        <row r="2279">
          <cell r="A2279">
            <v>43438</v>
          </cell>
          <cell r="E2279">
            <v>31.87</v>
          </cell>
        </row>
        <row r="2280">
          <cell r="A2280">
            <v>43440</v>
          </cell>
          <cell r="E2280">
            <v>31.18</v>
          </cell>
        </row>
        <row r="2281">
          <cell r="A2281">
            <v>43441</v>
          </cell>
          <cell r="E2281">
            <v>30.39</v>
          </cell>
        </row>
        <row r="2282">
          <cell r="A2282">
            <v>43444</v>
          </cell>
          <cell r="E2282">
            <v>30.8</v>
          </cell>
        </row>
        <row r="2283">
          <cell r="A2283">
            <v>43445</v>
          </cell>
          <cell r="E2283">
            <v>31.34</v>
          </cell>
        </row>
        <row r="2284">
          <cell r="A2284">
            <v>43446</v>
          </cell>
          <cell r="E2284">
            <v>31.57</v>
          </cell>
        </row>
        <row r="2285">
          <cell r="A2285">
            <v>43447</v>
          </cell>
          <cell r="E2285">
            <v>31.66</v>
          </cell>
        </row>
        <row r="2286">
          <cell r="A2286">
            <v>43448</v>
          </cell>
          <cell r="E2286">
            <v>31.77</v>
          </cell>
        </row>
        <row r="2287">
          <cell r="A2287">
            <v>43451</v>
          </cell>
          <cell r="E2287">
            <v>31.5</v>
          </cell>
        </row>
        <row r="2288">
          <cell r="A2288">
            <v>43452</v>
          </cell>
          <cell r="E2288">
            <v>31.87</v>
          </cell>
        </row>
        <row r="2289">
          <cell r="A2289">
            <v>43453</v>
          </cell>
          <cell r="E2289">
            <v>31.3</v>
          </cell>
        </row>
        <row r="2290">
          <cell r="A2290">
            <v>43454</v>
          </cell>
          <cell r="E2290">
            <v>31.5</v>
          </cell>
        </row>
        <row r="2291">
          <cell r="A2291">
            <v>43455</v>
          </cell>
          <cell r="E2291">
            <v>30.55</v>
          </cell>
        </row>
        <row r="2292">
          <cell r="A2292">
            <v>43458</v>
          </cell>
          <cell r="E2292">
            <v>28.6</v>
          </cell>
        </row>
        <row r="2293">
          <cell r="A2293">
            <v>43460</v>
          </cell>
          <cell r="E2293">
            <v>30.03</v>
          </cell>
        </row>
        <row r="2294">
          <cell r="A2294">
            <v>43461</v>
          </cell>
          <cell r="E2294">
            <v>30.3</v>
          </cell>
        </row>
        <row r="2295">
          <cell r="A2295">
            <v>43462</v>
          </cell>
          <cell r="E2295">
            <v>30.35</v>
          </cell>
        </row>
        <row r="2296">
          <cell r="A2296">
            <v>43465</v>
          </cell>
          <cell r="E2296">
            <v>30.45</v>
          </cell>
        </row>
        <row r="2297">
          <cell r="A2297">
            <v>43467</v>
          </cell>
          <cell r="E2297">
            <v>30.66</v>
          </cell>
        </row>
        <row r="2298">
          <cell r="A2298">
            <v>43468</v>
          </cell>
          <cell r="E2298">
            <v>28.55</v>
          </cell>
        </row>
        <row r="2299">
          <cell r="A2299">
            <v>43469</v>
          </cell>
          <cell r="E2299">
            <v>28.96</v>
          </cell>
        </row>
        <row r="2300">
          <cell r="A2300">
            <v>43472</v>
          </cell>
          <cell r="E2300">
            <v>30.01</v>
          </cell>
        </row>
        <row r="2301">
          <cell r="A2301">
            <v>43473</v>
          </cell>
          <cell r="E2301">
            <v>30.38</v>
          </cell>
        </row>
        <row r="2302">
          <cell r="A2302">
            <v>43474</v>
          </cell>
          <cell r="E2302">
            <v>30.97</v>
          </cell>
        </row>
        <row r="2303">
          <cell r="A2303">
            <v>43475</v>
          </cell>
          <cell r="E2303">
            <v>30.84</v>
          </cell>
        </row>
        <row r="2304">
          <cell r="A2304">
            <v>43476</v>
          </cell>
          <cell r="E2304">
            <v>31.03</v>
          </cell>
        </row>
        <row r="2305">
          <cell r="A2305">
            <v>43479</v>
          </cell>
          <cell r="E2305">
            <v>30.53</v>
          </cell>
        </row>
        <row r="2306">
          <cell r="A2306">
            <v>43480</v>
          </cell>
          <cell r="E2306">
            <v>30.61</v>
          </cell>
        </row>
        <row r="2307">
          <cell r="A2307">
            <v>43481</v>
          </cell>
          <cell r="E2307">
            <v>30.16</v>
          </cell>
        </row>
        <row r="2308">
          <cell r="A2308">
            <v>43482</v>
          </cell>
          <cell r="E2308">
            <v>30.33</v>
          </cell>
        </row>
        <row r="2309">
          <cell r="A2309">
            <v>43483</v>
          </cell>
          <cell r="E2309">
            <v>30.67</v>
          </cell>
        </row>
        <row r="2310">
          <cell r="A2310">
            <v>43487</v>
          </cell>
          <cell r="E2310">
            <v>29.85</v>
          </cell>
        </row>
        <row r="2311">
          <cell r="A2311">
            <v>43488</v>
          </cell>
          <cell r="E2311">
            <v>30.24</v>
          </cell>
        </row>
        <row r="2312">
          <cell r="A2312">
            <v>43489</v>
          </cell>
          <cell r="E2312">
            <v>30.64</v>
          </cell>
        </row>
        <row r="2313">
          <cell r="A2313">
            <v>43490</v>
          </cell>
          <cell r="E2313">
            <v>30.61</v>
          </cell>
        </row>
        <row r="2314">
          <cell r="A2314">
            <v>43493</v>
          </cell>
          <cell r="E2314">
            <v>30.47</v>
          </cell>
        </row>
        <row r="2315">
          <cell r="A2315">
            <v>43494</v>
          </cell>
          <cell r="E2315">
            <v>30.74</v>
          </cell>
        </row>
        <row r="2316">
          <cell r="A2316">
            <v>43495</v>
          </cell>
          <cell r="E2316">
            <v>30.75</v>
          </cell>
        </row>
        <row r="2317">
          <cell r="A2317">
            <v>43496</v>
          </cell>
          <cell r="E2317">
            <v>30.67</v>
          </cell>
        </row>
        <row r="2318">
          <cell r="A2318">
            <v>43497</v>
          </cell>
          <cell r="E2318">
            <v>30.51</v>
          </cell>
        </row>
        <row r="2319">
          <cell r="A2319">
            <v>43500</v>
          </cell>
          <cell r="E2319">
            <v>30.6</v>
          </cell>
        </row>
        <row r="2320">
          <cell r="A2320">
            <v>43501</v>
          </cell>
          <cell r="E2320">
            <v>32.17</v>
          </cell>
        </row>
        <row r="2321">
          <cell r="A2321">
            <v>43502</v>
          </cell>
          <cell r="E2321">
            <v>32.5</v>
          </cell>
        </row>
        <row r="2322">
          <cell r="A2322">
            <v>43503</v>
          </cell>
          <cell r="E2322">
            <v>32.19</v>
          </cell>
        </row>
        <row r="2323">
          <cell r="A2323">
            <v>43504</v>
          </cell>
          <cell r="E2323">
            <v>32.69</v>
          </cell>
        </row>
        <row r="2324">
          <cell r="A2324">
            <v>43507</v>
          </cell>
          <cell r="E2324">
            <v>34</v>
          </cell>
        </row>
        <row r="2325">
          <cell r="A2325">
            <v>43508</v>
          </cell>
          <cell r="E2325">
            <v>34.409999999999997</v>
          </cell>
        </row>
        <row r="2326">
          <cell r="A2326">
            <v>43509</v>
          </cell>
          <cell r="E2326">
            <v>33.82</v>
          </cell>
        </row>
        <row r="2327">
          <cell r="A2327">
            <v>43510</v>
          </cell>
          <cell r="E2327">
            <v>32.56</v>
          </cell>
        </row>
        <row r="2328">
          <cell r="A2328">
            <v>43511</v>
          </cell>
          <cell r="E2328">
            <v>33.76</v>
          </cell>
        </row>
        <row r="2329">
          <cell r="A2329">
            <v>43515</v>
          </cell>
          <cell r="E2329">
            <v>34.200000000000003</v>
          </cell>
        </row>
        <row r="2330">
          <cell r="A2330">
            <v>43516</v>
          </cell>
          <cell r="E2330">
            <v>34.5</v>
          </cell>
        </row>
        <row r="2331">
          <cell r="A2331">
            <v>43517</v>
          </cell>
          <cell r="E2331">
            <v>35.47</v>
          </cell>
        </row>
        <row r="2332">
          <cell r="A2332">
            <v>43518</v>
          </cell>
          <cell r="E2332">
            <v>35.04</v>
          </cell>
        </row>
        <row r="2333">
          <cell r="A2333">
            <v>43521</v>
          </cell>
          <cell r="E2333">
            <v>36.01</v>
          </cell>
        </row>
        <row r="2334">
          <cell r="A2334">
            <v>43522</v>
          </cell>
          <cell r="E2334">
            <v>35.85</v>
          </cell>
        </row>
        <row r="2335">
          <cell r="A2335">
            <v>43523</v>
          </cell>
          <cell r="E2335">
            <v>35.96</v>
          </cell>
        </row>
        <row r="2336">
          <cell r="A2336">
            <v>43524</v>
          </cell>
          <cell r="E2336">
            <v>35.97</v>
          </cell>
        </row>
        <row r="2337">
          <cell r="A2337">
            <v>43525</v>
          </cell>
          <cell r="E2337">
            <v>35.31</v>
          </cell>
        </row>
        <row r="2338">
          <cell r="A2338">
            <v>43528</v>
          </cell>
          <cell r="E2338">
            <v>33.630000000000003</v>
          </cell>
        </row>
        <row r="2339">
          <cell r="A2339">
            <v>43529</v>
          </cell>
          <cell r="E2339">
            <v>33.28</v>
          </cell>
        </row>
        <row r="2340">
          <cell r="A2340">
            <v>43530</v>
          </cell>
          <cell r="E2340">
            <v>32.44</v>
          </cell>
        </row>
        <row r="2341">
          <cell r="A2341">
            <v>43531</v>
          </cell>
          <cell r="E2341">
            <v>32.31</v>
          </cell>
        </row>
        <row r="2342">
          <cell r="A2342">
            <v>43532</v>
          </cell>
          <cell r="E2342">
            <v>32.35</v>
          </cell>
        </row>
        <row r="2343">
          <cell r="A2343">
            <v>43535</v>
          </cell>
          <cell r="E2343">
            <v>31.64</v>
          </cell>
        </row>
        <row r="2344">
          <cell r="A2344">
            <v>43536</v>
          </cell>
          <cell r="E2344">
            <v>31.14</v>
          </cell>
        </row>
        <row r="2345">
          <cell r="A2345">
            <v>43537</v>
          </cell>
          <cell r="E2345">
            <v>31.71</v>
          </cell>
        </row>
        <row r="2346">
          <cell r="A2346">
            <v>43538</v>
          </cell>
          <cell r="E2346">
            <v>31.75</v>
          </cell>
        </row>
        <row r="2347">
          <cell r="A2347">
            <v>43539</v>
          </cell>
          <cell r="E2347">
            <v>31.08</v>
          </cell>
        </row>
        <row r="2348">
          <cell r="A2348">
            <v>43542</v>
          </cell>
          <cell r="E2348">
            <v>32.42</v>
          </cell>
        </row>
        <row r="2349">
          <cell r="A2349">
            <v>43543</v>
          </cell>
          <cell r="E2349">
            <v>31.91</v>
          </cell>
        </row>
        <row r="2350">
          <cell r="A2350">
            <v>43544</v>
          </cell>
          <cell r="E2350">
            <v>31.37</v>
          </cell>
        </row>
        <row r="2351">
          <cell r="A2351">
            <v>43545</v>
          </cell>
          <cell r="E2351">
            <v>31.8</v>
          </cell>
        </row>
        <row r="2352">
          <cell r="A2352">
            <v>43546</v>
          </cell>
          <cell r="E2352">
            <v>30.36</v>
          </cell>
        </row>
        <row r="2353">
          <cell r="A2353">
            <v>43549</v>
          </cell>
          <cell r="E2353">
            <v>30.84</v>
          </cell>
        </row>
        <row r="2354">
          <cell r="A2354">
            <v>43550</v>
          </cell>
          <cell r="E2354">
            <v>30.87</v>
          </cell>
        </row>
        <row r="2355">
          <cell r="A2355">
            <v>43551</v>
          </cell>
          <cell r="E2355">
            <v>30.53</v>
          </cell>
        </row>
        <row r="2356">
          <cell r="A2356">
            <v>43552</v>
          </cell>
          <cell r="E2356">
            <v>31.59</v>
          </cell>
        </row>
        <row r="2357">
          <cell r="A2357">
            <v>43553</v>
          </cell>
          <cell r="E2357">
            <v>32.72</v>
          </cell>
        </row>
        <row r="2358">
          <cell r="A2358">
            <v>43556</v>
          </cell>
          <cell r="E2358">
            <v>33.25</v>
          </cell>
        </row>
        <row r="2359">
          <cell r="A2359">
            <v>43557</v>
          </cell>
          <cell r="E2359">
            <v>32.9</v>
          </cell>
        </row>
        <row r="2360">
          <cell r="A2360">
            <v>43558</v>
          </cell>
          <cell r="E2360">
            <v>32.909999999999997</v>
          </cell>
        </row>
        <row r="2361">
          <cell r="A2361">
            <v>43559</v>
          </cell>
          <cell r="E2361">
            <v>33.229999999999997</v>
          </cell>
        </row>
        <row r="2362">
          <cell r="A2362">
            <v>43560</v>
          </cell>
          <cell r="E2362">
            <v>33.42</v>
          </cell>
        </row>
        <row r="2363">
          <cell r="A2363">
            <v>43563</v>
          </cell>
          <cell r="E2363">
            <v>33.47</v>
          </cell>
        </row>
        <row r="2364">
          <cell r="A2364">
            <v>43564</v>
          </cell>
          <cell r="E2364">
            <v>32.54</v>
          </cell>
        </row>
        <row r="2365">
          <cell r="A2365">
            <v>43565</v>
          </cell>
          <cell r="E2365">
            <v>32.76</v>
          </cell>
        </row>
        <row r="2366">
          <cell r="A2366">
            <v>43566</v>
          </cell>
          <cell r="E2366">
            <v>32.81</v>
          </cell>
        </row>
        <row r="2367">
          <cell r="A2367">
            <v>43567</v>
          </cell>
          <cell r="E2367">
            <v>32.81</v>
          </cell>
        </row>
        <row r="2368">
          <cell r="A2368">
            <v>43570</v>
          </cell>
          <cell r="E2368">
            <v>32.450000000000003</v>
          </cell>
        </row>
        <row r="2369">
          <cell r="A2369">
            <v>43571</v>
          </cell>
          <cell r="E2369">
            <v>32.5</v>
          </cell>
        </row>
        <row r="2370">
          <cell r="A2370">
            <v>43572</v>
          </cell>
          <cell r="E2370">
            <v>31.69</v>
          </cell>
        </row>
        <row r="2371">
          <cell r="A2371">
            <v>43573</v>
          </cell>
          <cell r="E2371">
            <v>32.11</v>
          </cell>
        </row>
        <row r="2372">
          <cell r="A2372">
            <v>43577</v>
          </cell>
          <cell r="E2372">
            <v>32.25</v>
          </cell>
        </row>
        <row r="2373">
          <cell r="A2373">
            <v>43578</v>
          </cell>
          <cell r="E2373">
            <v>33.130000000000003</v>
          </cell>
        </row>
        <row r="2374">
          <cell r="A2374">
            <v>43579</v>
          </cell>
          <cell r="E2374">
            <v>33.020000000000003</v>
          </cell>
        </row>
        <row r="2375">
          <cell r="A2375">
            <v>43580</v>
          </cell>
          <cell r="E2375">
            <v>32.97</v>
          </cell>
        </row>
        <row r="2376">
          <cell r="A2376">
            <v>43581</v>
          </cell>
          <cell r="E2376">
            <v>33.130000000000003</v>
          </cell>
        </row>
        <row r="2377">
          <cell r="A2377">
            <v>43584</v>
          </cell>
          <cell r="E2377">
            <v>33.5</v>
          </cell>
        </row>
        <row r="2378">
          <cell r="A2378">
            <v>43585</v>
          </cell>
          <cell r="E2378">
            <v>33.340000000000003</v>
          </cell>
        </row>
        <row r="2379">
          <cell r="A2379">
            <v>43586</v>
          </cell>
          <cell r="E2379">
            <v>33.28</v>
          </cell>
        </row>
        <row r="2380">
          <cell r="A2380">
            <v>43587</v>
          </cell>
          <cell r="E2380">
            <v>32.89</v>
          </cell>
        </row>
        <row r="2381">
          <cell r="A2381">
            <v>43588</v>
          </cell>
          <cell r="E2381">
            <v>33.49</v>
          </cell>
        </row>
        <row r="2382">
          <cell r="A2382">
            <v>43591</v>
          </cell>
          <cell r="E2382">
            <v>33.450000000000003</v>
          </cell>
        </row>
        <row r="2383">
          <cell r="A2383">
            <v>43592</v>
          </cell>
          <cell r="E2383">
            <v>32.92</v>
          </cell>
        </row>
        <row r="2384">
          <cell r="A2384">
            <v>43593</v>
          </cell>
          <cell r="E2384">
            <v>38.25</v>
          </cell>
        </row>
        <row r="2385">
          <cell r="A2385">
            <v>43594</v>
          </cell>
          <cell r="E2385">
            <v>39.68</v>
          </cell>
        </row>
        <row r="2386">
          <cell r="A2386">
            <v>43595</v>
          </cell>
          <cell r="E2386">
            <v>39.47</v>
          </cell>
        </row>
        <row r="2387">
          <cell r="A2387">
            <v>43598</v>
          </cell>
          <cell r="E2387">
            <v>39.33</v>
          </cell>
        </row>
        <row r="2388">
          <cell r="A2388">
            <v>43599</v>
          </cell>
          <cell r="E2388">
            <v>40.39</v>
          </cell>
        </row>
        <row r="2389">
          <cell r="A2389">
            <v>43600</v>
          </cell>
          <cell r="E2389">
            <v>41.69</v>
          </cell>
        </row>
        <row r="2390">
          <cell r="A2390">
            <v>43601</v>
          </cell>
          <cell r="E2390">
            <v>42.07</v>
          </cell>
        </row>
        <row r="2391">
          <cell r="A2391">
            <v>43602</v>
          </cell>
          <cell r="E2391">
            <v>41.35</v>
          </cell>
        </row>
        <row r="2392">
          <cell r="A2392">
            <v>43605</v>
          </cell>
          <cell r="E2392">
            <v>41.92</v>
          </cell>
        </row>
        <row r="2393">
          <cell r="A2393">
            <v>43606</v>
          </cell>
          <cell r="E2393">
            <v>42.92</v>
          </cell>
        </row>
        <row r="2394">
          <cell r="A2394">
            <v>43607</v>
          </cell>
          <cell r="E2394">
            <v>42.57</v>
          </cell>
        </row>
        <row r="2395">
          <cell r="A2395">
            <v>43608</v>
          </cell>
          <cell r="E2395">
            <v>41.54</v>
          </cell>
        </row>
        <row r="2396">
          <cell r="A2396">
            <v>43609</v>
          </cell>
          <cell r="E2396">
            <v>41.39</v>
          </cell>
        </row>
        <row r="2397">
          <cell r="A2397">
            <v>43613</v>
          </cell>
          <cell r="E2397">
            <v>41.81</v>
          </cell>
        </row>
        <row r="2398">
          <cell r="A2398">
            <v>43614</v>
          </cell>
          <cell r="E2398">
            <v>40.729999999999997</v>
          </cell>
        </row>
        <row r="2399">
          <cell r="A2399">
            <v>43615</v>
          </cell>
          <cell r="E2399">
            <v>40.93</v>
          </cell>
        </row>
        <row r="2400">
          <cell r="A2400">
            <v>43616</v>
          </cell>
          <cell r="E2400">
            <v>40.67</v>
          </cell>
        </row>
        <row r="2401">
          <cell r="A2401">
            <v>43619</v>
          </cell>
          <cell r="E2401">
            <v>41.23</v>
          </cell>
        </row>
        <row r="2402">
          <cell r="A2402">
            <v>43620</v>
          </cell>
          <cell r="E2402">
            <v>41.4</v>
          </cell>
        </row>
        <row r="2403">
          <cell r="A2403">
            <v>43621</v>
          </cell>
          <cell r="E2403">
            <v>43.37</v>
          </cell>
        </row>
        <row r="2404">
          <cell r="A2404">
            <v>43622</v>
          </cell>
          <cell r="E2404">
            <v>43.75</v>
          </cell>
        </row>
        <row r="2405">
          <cell r="A2405">
            <v>43623</v>
          </cell>
          <cell r="E2405">
            <v>42.73</v>
          </cell>
        </row>
        <row r="2406">
          <cell r="A2406">
            <v>43626</v>
          </cell>
          <cell r="E2406">
            <v>42.27</v>
          </cell>
        </row>
        <row r="2407">
          <cell r="A2407">
            <v>43627</v>
          </cell>
          <cell r="E2407">
            <v>42.94</v>
          </cell>
        </row>
        <row r="2408">
          <cell r="A2408">
            <v>43628</v>
          </cell>
          <cell r="E2408">
            <v>43.35</v>
          </cell>
        </row>
        <row r="2409">
          <cell r="A2409">
            <v>43629</v>
          </cell>
          <cell r="E2409">
            <v>44.2</v>
          </cell>
        </row>
        <row r="2410">
          <cell r="A2410">
            <v>43630</v>
          </cell>
          <cell r="E2410">
            <v>39.49</v>
          </cell>
        </row>
        <row r="2411">
          <cell r="A2411">
            <v>43633</v>
          </cell>
          <cell r="E2411">
            <v>38.85</v>
          </cell>
        </row>
        <row r="2412">
          <cell r="A2412">
            <v>43634</v>
          </cell>
          <cell r="E2412">
            <v>39.090000000000003</v>
          </cell>
        </row>
        <row r="2413">
          <cell r="A2413">
            <v>43635</v>
          </cell>
          <cell r="E2413">
            <v>38.869999999999997</v>
          </cell>
        </row>
        <row r="2414">
          <cell r="A2414">
            <v>43636</v>
          </cell>
          <cell r="E2414">
            <v>38.82</v>
          </cell>
        </row>
        <row r="2415">
          <cell r="A2415">
            <v>43637</v>
          </cell>
          <cell r="E2415">
            <v>39.090000000000003</v>
          </cell>
        </row>
        <row r="2416">
          <cell r="A2416">
            <v>43640</v>
          </cell>
          <cell r="E2416">
            <v>40.409999999999997</v>
          </cell>
        </row>
        <row r="2417">
          <cell r="A2417">
            <v>43641</v>
          </cell>
          <cell r="E2417">
            <v>40.98</v>
          </cell>
        </row>
        <row r="2418">
          <cell r="A2418">
            <v>43642</v>
          </cell>
          <cell r="E2418">
            <v>40.78</v>
          </cell>
        </row>
        <row r="2419">
          <cell r="A2419">
            <v>43643</v>
          </cell>
          <cell r="E2419">
            <v>41.5</v>
          </cell>
        </row>
        <row r="2420">
          <cell r="A2420">
            <v>43644</v>
          </cell>
          <cell r="E2420">
            <v>40.22</v>
          </cell>
        </row>
        <row r="2421">
          <cell r="A2421">
            <v>43647</v>
          </cell>
          <cell r="E2421">
            <v>41.86</v>
          </cell>
        </row>
        <row r="2422">
          <cell r="A2422">
            <v>43648</v>
          </cell>
          <cell r="E2422">
            <v>41</v>
          </cell>
        </row>
        <row r="2423">
          <cell r="A2423">
            <v>43649</v>
          </cell>
          <cell r="E2423">
            <v>41.01</v>
          </cell>
        </row>
        <row r="2424">
          <cell r="A2424">
            <v>43651</v>
          </cell>
          <cell r="E2424">
            <v>40.869999999999997</v>
          </cell>
        </row>
        <row r="2425">
          <cell r="A2425">
            <v>43654</v>
          </cell>
          <cell r="E2425">
            <v>39.840000000000003</v>
          </cell>
        </row>
        <row r="2426">
          <cell r="A2426">
            <v>43655</v>
          </cell>
          <cell r="E2426">
            <v>39.590000000000003</v>
          </cell>
        </row>
        <row r="2427">
          <cell r="A2427">
            <v>43656</v>
          </cell>
          <cell r="E2427">
            <v>38.94</v>
          </cell>
        </row>
        <row r="2428">
          <cell r="A2428">
            <v>43657</v>
          </cell>
          <cell r="E2428">
            <v>38.200000000000003</v>
          </cell>
        </row>
        <row r="2429">
          <cell r="A2429">
            <v>43658</v>
          </cell>
          <cell r="E2429">
            <v>38.99</v>
          </cell>
        </row>
        <row r="2430">
          <cell r="A2430">
            <v>43661</v>
          </cell>
          <cell r="E2430">
            <v>38.72</v>
          </cell>
        </row>
        <row r="2431">
          <cell r="A2431">
            <v>43662</v>
          </cell>
          <cell r="E2431">
            <v>38.61</v>
          </cell>
        </row>
        <row r="2432">
          <cell r="A2432">
            <v>43663</v>
          </cell>
          <cell r="E2432">
            <v>38.130000000000003</v>
          </cell>
        </row>
        <row r="2433">
          <cell r="A2433">
            <v>43664</v>
          </cell>
          <cell r="E2433">
            <v>38</v>
          </cell>
        </row>
        <row r="2434">
          <cell r="A2434">
            <v>43665</v>
          </cell>
          <cell r="E2434">
            <v>37.909999999999997</v>
          </cell>
        </row>
        <row r="2435">
          <cell r="A2435">
            <v>43668</v>
          </cell>
          <cell r="E2435">
            <v>37.68</v>
          </cell>
        </row>
        <row r="2436">
          <cell r="A2436">
            <v>43669</v>
          </cell>
          <cell r="E2436">
            <v>38</v>
          </cell>
        </row>
        <row r="2437">
          <cell r="A2437">
            <v>43670</v>
          </cell>
          <cell r="E2437">
            <v>38.26</v>
          </cell>
        </row>
        <row r="2438">
          <cell r="A2438">
            <v>43671</v>
          </cell>
          <cell r="E2438">
            <v>38.21</v>
          </cell>
        </row>
        <row r="2439">
          <cell r="A2439">
            <v>43672</v>
          </cell>
          <cell r="E2439">
            <v>37.82</v>
          </cell>
        </row>
        <row r="2440">
          <cell r="A2440">
            <v>43675</v>
          </cell>
          <cell r="E2440">
            <v>37.28</v>
          </cell>
        </row>
        <row r="2441">
          <cell r="A2441">
            <v>43676</v>
          </cell>
          <cell r="E2441">
            <v>37.43</v>
          </cell>
        </row>
        <row r="2442">
          <cell r="A2442">
            <v>43677</v>
          </cell>
          <cell r="E2442">
            <v>36.840000000000003</v>
          </cell>
        </row>
        <row r="2443">
          <cell r="A2443">
            <v>43678</v>
          </cell>
          <cell r="E2443">
            <v>36.119999999999997</v>
          </cell>
        </row>
        <row r="2444">
          <cell r="A2444">
            <v>43679</v>
          </cell>
          <cell r="E2444">
            <v>35.56</v>
          </cell>
        </row>
        <row r="2445">
          <cell r="A2445">
            <v>43682</v>
          </cell>
          <cell r="E2445">
            <v>28</v>
          </cell>
        </row>
        <row r="2446">
          <cell r="A2446">
            <v>43683</v>
          </cell>
          <cell r="E2446">
            <v>27.21</v>
          </cell>
        </row>
        <row r="2447">
          <cell r="A2447">
            <v>43684</v>
          </cell>
          <cell r="E2447">
            <v>27.64</v>
          </cell>
        </row>
        <row r="2448">
          <cell r="A2448">
            <v>43685</v>
          </cell>
          <cell r="E2448">
            <v>28.37</v>
          </cell>
        </row>
        <row r="2449">
          <cell r="A2449">
            <v>43686</v>
          </cell>
          <cell r="E2449">
            <v>27.51</v>
          </cell>
        </row>
        <row r="2450">
          <cell r="A2450">
            <v>43689</v>
          </cell>
          <cell r="E2450">
            <v>26.14</v>
          </cell>
        </row>
        <row r="2451">
          <cell r="A2451">
            <v>43690</v>
          </cell>
          <cell r="E2451">
            <v>26.97</v>
          </cell>
        </row>
        <row r="2452">
          <cell r="A2452">
            <v>43691</v>
          </cell>
          <cell r="E2452">
            <v>26.08</v>
          </cell>
        </row>
        <row r="2453">
          <cell r="A2453">
            <v>43692</v>
          </cell>
          <cell r="E2453">
            <v>26.41</v>
          </cell>
        </row>
        <row r="2454">
          <cell r="A2454">
            <v>43693</v>
          </cell>
          <cell r="E2454">
            <v>26.5</v>
          </cell>
        </row>
        <row r="2455">
          <cell r="A2455">
            <v>43696</v>
          </cell>
          <cell r="E2455">
            <v>26.44</v>
          </cell>
        </row>
        <row r="2456">
          <cell r="A2456">
            <v>43697</v>
          </cell>
          <cell r="E2456">
            <v>26.75</v>
          </cell>
        </row>
        <row r="2457">
          <cell r="A2457">
            <v>43698</v>
          </cell>
          <cell r="E2457">
            <v>27.53</v>
          </cell>
        </row>
        <row r="2458">
          <cell r="A2458">
            <v>43699</v>
          </cell>
          <cell r="E2458">
            <v>27.78</v>
          </cell>
        </row>
        <row r="2459">
          <cell r="A2459">
            <v>43700</v>
          </cell>
          <cell r="E2459">
            <v>27.68</v>
          </cell>
        </row>
        <row r="2460">
          <cell r="A2460">
            <v>43703</v>
          </cell>
          <cell r="E2460">
            <v>27.53</v>
          </cell>
        </row>
        <row r="2461">
          <cell r="A2461">
            <v>43704</v>
          </cell>
          <cell r="E2461">
            <v>26.9</v>
          </cell>
        </row>
        <row r="2462">
          <cell r="A2462">
            <v>43705</v>
          </cell>
          <cell r="E2462">
            <v>27.28</v>
          </cell>
        </row>
        <row r="2463">
          <cell r="A2463">
            <v>43706</v>
          </cell>
          <cell r="E2463">
            <v>27.9</v>
          </cell>
        </row>
        <row r="2464">
          <cell r="A2464">
            <v>43707</v>
          </cell>
          <cell r="E2464">
            <v>27.51</v>
          </cell>
        </row>
        <row r="2465">
          <cell r="A2465">
            <v>43711</v>
          </cell>
          <cell r="E2465">
            <v>27.58</v>
          </cell>
        </row>
        <row r="2466">
          <cell r="A2466">
            <v>43712</v>
          </cell>
          <cell r="E2466">
            <v>27.5</v>
          </cell>
        </row>
        <row r="2467">
          <cell r="A2467">
            <v>43713</v>
          </cell>
          <cell r="E2467">
            <v>28.18</v>
          </cell>
        </row>
        <row r="2468">
          <cell r="A2468">
            <v>43714</v>
          </cell>
          <cell r="E2468">
            <v>27.56</v>
          </cell>
        </row>
        <row r="2469">
          <cell r="A2469">
            <v>43717</v>
          </cell>
          <cell r="E2469">
            <v>27.53</v>
          </cell>
        </row>
        <row r="2470">
          <cell r="A2470">
            <v>43718</v>
          </cell>
          <cell r="E2470">
            <v>28.37</v>
          </cell>
        </row>
        <row r="2471">
          <cell r="A2471">
            <v>43719</v>
          </cell>
          <cell r="E2471">
            <v>29.55</v>
          </cell>
        </row>
        <row r="2472">
          <cell r="A2472">
            <v>43720</v>
          </cell>
          <cell r="E2472">
            <v>29.82</v>
          </cell>
        </row>
        <row r="2473">
          <cell r="A2473">
            <v>43721</v>
          </cell>
          <cell r="E2473">
            <v>31.1</v>
          </cell>
        </row>
        <row r="2474">
          <cell r="A2474">
            <v>43724</v>
          </cell>
          <cell r="E2474">
            <v>31.21</v>
          </cell>
        </row>
        <row r="2475">
          <cell r="A2475">
            <v>43725</v>
          </cell>
          <cell r="E2475">
            <v>31.17</v>
          </cell>
        </row>
        <row r="2476">
          <cell r="A2476">
            <v>43726</v>
          </cell>
          <cell r="E2476">
            <v>32.270000000000003</v>
          </cell>
        </row>
        <row r="2477">
          <cell r="A2477">
            <v>43727</v>
          </cell>
          <cell r="E2477">
            <v>31.92</v>
          </cell>
        </row>
        <row r="2478">
          <cell r="A2478">
            <v>43728</v>
          </cell>
          <cell r="E2478">
            <v>31.19</v>
          </cell>
        </row>
        <row r="2479">
          <cell r="A2479">
            <v>43731</v>
          </cell>
          <cell r="E2479">
            <v>30.64</v>
          </cell>
        </row>
        <row r="2480">
          <cell r="A2480">
            <v>43732</v>
          </cell>
          <cell r="E2480">
            <v>30.05</v>
          </cell>
        </row>
        <row r="2481">
          <cell r="A2481">
            <v>43733</v>
          </cell>
          <cell r="E2481">
            <v>29.65</v>
          </cell>
        </row>
        <row r="2482">
          <cell r="A2482">
            <v>43734</v>
          </cell>
          <cell r="E2482">
            <v>28.9</v>
          </cell>
        </row>
        <row r="2483">
          <cell r="A2483">
            <v>43735</v>
          </cell>
          <cell r="E2483">
            <v>29</v>
          </cell>
        </row>
        <row r="2484">
          <cell r="A2484">
            <v>43738</v>
          </cell>
          <cell r="E2484">
            <v>29.38</v>
          </cell>
        </row>
        <row r="2485">
          <cell r="A2485">
            <v>43739</v>
          </cell>
          <cell r="E2485">
            <v>29.14</v>
          </cell>
        </row>
        <row r="2486">
          <cell r="A2486">
            <v>43740</v>
          </cell>
          <cell r="E2486">
            <v>28.3</v>
          </cell>
        </row>
        <row r="2487">
          <cell r="A2487">
            <v>43741</v>
          </cell>
          <cell r="E2487">
            <v>28.35</v>
          </cell>
        </row>
        <row r="2488">
          <cell r="A2488">
            <v>43742</v>
          </cell>
          <cell r="E2488">
            <v>29.41</v>
          </cell>
        </row>
        <row r="2489">
          <cell r="A2489">
            <v>43745</v>
          </cell>
          <cell r="E2489">
            <v>29.19</v>
          </cell>
        </row>
        <row r="2490">
          <cell r="A2490">
            <v>43746</v>
          </cell>
          <cell r="E2490">
            <v>28.5</v>
          </cell>
        </row>
        <row r="2491">
          <cell r="A2491">
            <v>43747</v>
          </cell>
          <cell r="E2491">
            <v>28.8</v>
          </cell>
        </row>
        <row r="2492">
          <cell r="A2492">
            <v>43748</v>
          </cell>
          <cell r="E2492">
            <v>28.94</v>
          </cell>
        </row>
        <row r="2493">
          <cell r="A2493">
            <v>43749</v>
          </cell>
          <cell r="E2493">
            <v>29.56</v>
          </cell>
        </row>
        <row r="2494">
          <cell r="A2494">
            <v>43752</v>
          </cell>
          <cell r="E2494">
            <v>29.41</v>
          </cell>
        </row>
        <row r="2495">
          <cell r="A2495">
            <v>43753</v>
          </cell>
          <cell r="E2495">
            <v>29.89</v>
          </cell>
        </row>
        <row r="2496">
          <cell r="A2496">
            <v>43754</v>
          </cell>
          <cell r="E2496">
            <v>30.33</v>
          </cell>
        </row>
        <row r="2497">
          <cell r="A2497">
            <v>43755</v>
          </cell>
          <cell r="E2497">
            <v>30.41</v>
          </cell>
        </row>
        <row r="2498">
          <cell r="A2498">
            <v>43756</v>
          </cell>
          <cell r="E2498">
            <v>29.43</v>
          </cell>
        </row>
        <row r="2499">
          <cell r="A2499">
            <v>43759</v>
          </cell>
          <cell r="E2499">
            <v>29.01</v>
          </cell>
        </row>
        <row r="2500">
          <cell r="A2500">
            <v>43760</v>
          </cell>
          <cell r="E2500">
            <v>29.06</v>
          </cell>
        </row>
        <row r="2501">
          <cell r="A2501">
            <v>43761</v>
          </cell>
          <cell r="E2501">
            <v>29.45</v>
          </cell>
        </row>
        <row r="2502">
          <cell r="A2502">
            <v>43762</v>
          </cell>
          <cell r="E2502">
            <v>29.66</v>
          </cell>
        </row>
        <row r="2503">
          <cell r="A2503">
            <v>43763</v>
          </cell>
          <cell r="E2503">
            <v>30.05</v>
          </cell>
        </row>
        <row r="2504">
          <cell r="A2504">
            <v>43766</v>
          </cell>
          <cell r="E2504">
            <v>29.39</v>
          </cell>
        </row>
        <row r="2505">
          <cell r="A2505">
            <v>43767</v>
          </cell>
          <cell r="E2505">
            <v>29.25</v>
          </cell>
        </row>
        <row r="2506">
          <cell r="A2506">
            <v>43768</v>
          </cell>
          <cell r="E2506">
            <v>28.53</v>
          </cell>
        </row>
        <row r="2507">
          <cell r="A2507">
            <v>43769</v>
          </cell>
          <cell r="E2507">
            <v>28.94</v>
          </cell>
        </row>
        <row r="2508">
          <cell r="A2508">
            <v>43770</v>
          </cell>
          <cell r="E2508">
            <v>31.15</v>
          </cell>
        </row>
        <row r="2509">
          <cell r="A2509">
            <v>43773</v>
          </cell>
          <cell r="E2509">
            <v>31.08</v>
          </cell>
        </row>
        <row r="2510">
          <cell r="A2510">
            <v>43774</v>
          </cell>
          <cell r="E2510">
            <v>31.5</v>
          </cell>
        </row>
        <row r="2511">
          <cell r="A2511">
            <v>43775</v>
          </cell>
          <cell r="E2511">
            <v>31.35</v>
          </cell>
        </row>
        <row r="2512">
          <cell r="A2512">
            <v>43776</v>
          </cell>
          <cell r="E2512">
            <v>30.91</v>
          </cell>
        </row>
        <row r="2513">
          <cell r="A2513">
            <v>43777</v>
          </cell>
          <cell r="E2513">
            <v>31.07</v>
          </cell>
        </row>
        <row r="2514">
          <cell r="A2514">
            <v>43780</v>
          </cell>
          <cell r="E2514">
            <v>31.12</v>
          </cell>
        </row>
        <row r="2515">
          <cell r="A2515">
            <v>43781</v>
          </cell>
          <cell r="E2515">
            <v>31.02</v>
          </cell>
        </row>
        <row r="2516">
          <cell r="A2516">
            <v>43782</v>
          </cell>
          <cell r="E2516">
            <v>29.83</v>
          </cell>
        </row>
        <row r="2517">
          <cell r="A2517">
            <v>43783</v>
          </cell>
          <cell r="E2517">
            <v>30.52</v>
          </cell>
        </row>
        <row r="2518">
          <cell r="A2518">
            <v>43784</v>
          </cell>
          <cell r="E2518">
            <v>30.67</v>
          </cell>
        </row>
        <row r="2519">
          <cell r="A2519">
            <v>43713</v>
          </cell>
          <cell r="E2519">
            <v>28.18</v>
          </cell>
        </row>
        <row r="2520">
          <cell r="A2520">
            <v>43714</v>
          </cell>
          <cell r="E2520">
            <v>27.56</v>
          </cell>
        </row>
        <row r="2521">
          <cell r="A2521">
            <v>43717</v>
          </cell>
          <cell r="E2521">
            <v>27.53</v>
          </cell>
        </row>
        <row r="2522">
          <cell r="A2522">
            <v>43718</v>
          </cell>
          <cell r="E2522">
            <v>28.37</v>
          </cell>
        </row>
        <row r="2523">
          <cell r="A2523">
            <v>43719</v>
          </cell>
          <cell r="E2523">
            <v>29.55</v>
          </cell>
        </row>
        <row r="2524">
          <cell r="A2524">
            <v>43720</v>
          </cell>
          <cell r="E2524">
            <v>29.82</v>
          </cell>
        </row>
        <row r="2525">
          <cell r="A2525">
            <v>43721</v>
          </cell>
          <cell r="E2525">
            <v>31.1</v>
          </cell>
        </row>
        <row r="2526">
          <cell r="A2526">
            <v>43724</v>
          </cell>
          <cell r="E2526">
            <v>31.21</v>
          </cell>
        </row>
        <row r="2527">
          <cell r="A2527">
            <v>43725</v>
          </cell>
          <cell r="E2527">
            <v>31.17</v>
          </cell>
        </row>
        <row r="2528">
          <cell r="A2528">
            <v>43726</v>
          </cell>
          <cell r="E2528">
            <v>32.270000000000003</v>
          </cell>
        </row>
        <row r="2529">
          <cell r="A2529">
            <v>43727</v>
          </cell>
          <cell r="E2529">
            <v>31.92</v>
          </cell>
        </row>
        <row r="2530">
          <cell r="A2530">
            <v>43728</v>
          </cell>
          <cell r="E2530">
            <v>31.19</v>
          </cell>
        </row>
        <row r="2531">
          <cell r="A2531">
            <v>43731</v>
          </cell>
          <cell r="E2531">
            <v>30.64</v>
          </cell>
        </row>
        <row r="2532">
          <cell r="A2532">
            <v>43732</v>
          </cell>
          <cell r="E2532">
            <v>30.05</v>
          </cell>
        </row>
        <row r="2533">
          <cell r="A2533">
            <v>43733</v>
          </cell>
          <cell r="E2533">
            <v>29.65</v>
          </cell>
        </row>
        <row r="2534">
          <cell r="A2534">
            <v>43734</v>
          </cell>
          <cell r="E2534">
            <v>28.9</v>
          </cell>
        </row>
        <row r="2535">
          <cell r="A2535">
            <v>43735</v>
          </cell>
          <cell r="E2535">
            <v>29</v>
          </cell>
        </row>
        <row r="2536">
          <cell r="A2536">
            <v>43738</v>
          </cell>
          <cell r="E2536">
            <v>29.38</v>
          </cell>
        </row>
        <row r="2537">
          <cell r="A2537">
            <v>43739</v>
          </cell>
          <cell r="E2537">
            <v>29.14</v>
          </cell>
        </row>
        <row r="2538">
          <cell r="A2538">
            <v>43740</v>
          </cell>
          <cell r="E2538">
            <v>28.3</v>
          </cell>
        </row>
        <row r="2539">
          <cell r="A2539">
            <v>43741</v>
          </cell>
          <cell r="E2539">
            <v>28.35</v>
          </cell>
        </row>
        <row r="2540">
          <cell r="A2540">
            <v>43742</v>
          </cell>
          <cell r="E2540">
            <v>29.41</v>
          </cell>
        </row>
        <row r="2541">
          <cell r="A2541">
            <v>43745</v>
          </cell>
          <cell r="E2541">
            <v>29.19</v>
          </cell>
        </row>
        <row r="2542">
          <cell r="A2542">
            <v>43746</v>
          </cell>
          <cell r="E2542">
            <v>28.5</v>
          </cell>
        </row>
        <row r="2543">
          <cell r="A2543">
            <v>43747</v>
          </cell>
          <cell r="E2543">
            <v>28.8</v>
          </cell>
        </row>
        <row r="2544">
          <cell r="A2544">
            <v>43748</v>
          </cell>
          <cell r="E2544">
            <v>28.94</v>
          </cell>
        </row>
        <row r="2545">
          <cell r="A2545">
            <v>43749</v>
          </cell>
          <cell r="E2545">
            <v>29.56</v>
          </cell>
        </row>
        <row r="2546">
          <cell r="A2546">
            <v>43752</v>
          </cell>
          <cell r="E2546">
            <v>29.41</v>
          </cell>
        </row>
        <row r="2547">
          <cell r="A2547">
            <v>43753</v>
          </cell>
          <cell r="E2547">
            <v>29.89</v>
          </cell>
        </row>
        <row r="2548">
          <cell r="A2548">
            <v>43754</v>
          </cell>
          <cell r="E2548">
            <v>30.33</v>
          </cell>
        </row>
        <row r="2549">
          <cell r="A2549">
            <v>43755</v>
          </cell>
          <cell r="E2549">
            <v>30.41</v>
          </cell>
        </row>
        <row r="2550">
          <cell r="A2550">
            <v>43756</v>
          </cell>
          <cell r="E2550">
            <v>29.43</v>
          </cell>
        </row>
        <row r="2551">
          <cell r="A2551">
            <v>43759</v>
          </cell>
          <cell r="E2551">
            <v>29.01</v>
          </cell>
        </row>
        <row r="2552">
          <cell r="A2552">
            <v>43760</v>
          </cell>
          <cell r="E2552">
            <v>29.06</v>
          </cell>
        </row>
        <row r="2553">
          <cell r="A2553">
            <v>43761</v>
          </cell>
          <cell r="E2553">
            <v>29.45</v>
          </cell>
        </row>
        <row r="2554">
          <cell r="A2554">
            <v>43762</v>
          </cell>
          <cell r="E2554">
            <v>29.66</v>
          </cell>
        </row>
        <row r="2555">
          <cell r="A2555">
            <v>43763</v>
          </cell>
          <cell r="E2555">
            <v>30.05</v>
          </cell>
        </row>
        <row r="2556">
          <cell r="A2556">
            <v>43766</v>
          </cell>
          <cell r="E2556">
            <v>29.39</v>
          </cell>
        </row>
        <row r="2557">
          <cell r="A2557">
            <v>43767</v>
          </cell>
          <cell r="E2557">
            <v>29.25</v>
          </cell>
        </row>
        <row r="2558">
          <cell r="A2558">
            <v>43768</v>
          </cell>
          <cell r="E2558">
            <v>28.53</v>
          </cell>
        </row>
        <row r="2559">
          <cell r="A2559">
            <v>43769</v>
          </cell>
          <cell r="E2559">
            <v>28.94</v>
          </cell>
        </row>
        <row r="2560">
          <cell r="A2560">
            <v>43770</v>
          </cell>
          <cell r="E2560">
            <v>31.15</v>
          </cell>
        </row>
        <row r="2561">
          <cell r="A2561">
            <v>43773</v>
          </cell>
          <cell r="E2561">
            <v>31.08</v>
          </cell>
        </row>
        <row r="2562">
          <cell r="A2562">
            <v>43774</v>
          </cell>
          <cell r="E2562">
            <v>31.5</v>
          </cell>
        </row>
        <row r="2563">
          <cell r="A2563">
            <v>43775</v>
          </cell>
          <cell r="E2563">
            <v>31.35</v>
          </cell>
        </row>
        <row r="2564">
          <cell r="A2564">
            <v>43776</v>
          </cell>
          <cell r="E2564">
            <v>30.91</v>
          </cell>
        </row>
        <row r="2565">
          <cell r="A2565">
            <v>43777</v>
          </cell>
          <cell r="E2565">
            <v>31.07</v>
          </cell>
        </row>
        <row r="2566">
          <cell r="A2566">
            <v>43780</v>
          </cell>
          <cell r="E2566">
            <v>31.12</v>
          </cell>
        </row>
        <row r="2567">
          <cell r="A2567">
            <v>43781</v>
          </cell>
          <cell r="E2567">
            <v>31.02</v>
          </cell>
        </row>
        <row r="2568">
          <cell r="A2568">
            <v>43782</v>
          </cell>
          <cell r="E2568">
            <v>29.83</v>
          </cell>
        </row>
        <row r="2569">
          <cell r="A2569">
            <v>43783</v>
          </cell>
          <cell r="E2569">
            <v>30.52</v>
          </cell>
        </row>
        <row r="2570">
          <cell r="A2570">
            <v>43784</v>
          </cell>
          <cell r="E2570">
            <v>30.67</v>
          </cell>
        </row>
      </sheetData>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5">
  <rv s="0">
    <v>https://www.bing.com/financeapi/forcetrigger?t=a21n3m&amp;q=XNAS%3aNXGN&amp;form=skydnc</v>
    <v>Learn more on Bing</v>
  </rv>
  <rv s="1">
    <v>en-US</v>
    <v>a21n3m</v>
    <v>268435456</v>
    <v>268435457</v>
    <v>1</v>
    <v>Powered by Refinitiv</v>
    <v>0</v>
    <v>NextGen Healthcare Inc (XNAS:NXGN)</v>
    <v>2</v>
    <v>3</v>
    <v>Finance</v>
    <v>4</v>
    <v>21.12</v>
    <v>5.0999999999999996</v>
    <v>1.0925</v>
    <v>-0.03</v>
    <v>0</v>
    <v>-2.6910000000000002E-3</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2660</v>
    <v>Nasdaq Stock Market</v>
    <v>XNAS</v>
    <v>XNAS</v>
    <v>18111 Von Karman Ave Ste 800, IRVINE, CA, 92612-7111 US</v>
    <v>11.53</v>
    <v>Software &amp; IT Services</v>
    <v>Stock</v>
    <v>43949.834484432809</v>
    <v>0</v>
    <v>10.81</v>
    <v>732569000</v>
    <v>NextGen Healthcare Inc</v>
    <v>NextGen Healthcare Inc</v>
    <v>11.48</v>
    <v>45.924500000000002</v>
    <v>11.15</v>
    <v>11.12</v>
    <v>11.12</v>
    <v>65701260</v>
    <v>NXGN</v>
    <v>NextGen Healthcare Inc (XNAS:NXGN)</v>
    <v>234462</v>
    <v>381751</v>
    <v>1974</v>
  </rv>
  <rv s="2">
    <v>1</v>
  </rv>
  <rv s="3">
    <v>en-US</v>
    <v>a21n3m</v>
    <v>268435456</v>
    <v>268435457</v>
    <v>1</v>
    <v>Powered by Refinitiv</v>
    <v>5</v>
    <v>NextGen Healthcare Inc (XNAS:NXGN)</v>
    <v>2</v>
    <v>6</v>
    <v>Finance</v>
    <v>7</v>
    <v>21.12</v>
    <v>5.0999999999999996</v>
    <v>1.0660000000000001</v>
    <v>0.38</v>
    <v>3.4173000000000002E-2</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2660</v>
    <v>Nasdaq Stock Market</v>
    <v>XNAS</v>
    <v>XNAS</v>
    <v>18111 Von Karman Ave Ste 800, IRVINE, CA, 92612-7111 US</v>
    <v>11.5</v>
    <v>Software &amp; IT Services</v>
    <v>Stock</v>
    <v>43950.566076388888</v>
    <v>0</v>
    <v>11.5</v>
    <v>732569000</v>
    <v>NextGen Healthcare Inc</v>
    <v>NextGen Healthcare Inc</v>
    <v>11.5</v>
    <v>45.800899999999999</v>
    <v>11.12</v>
    <v>11.5</v>
    <v>65701260</v>
    <v>NXGN</v>
    <v>NextGen Healthcare Inc (XNAS:NXGN)</v>
    <v>2852</v>
    <v>372339</v>
    <v>1974</v>
  </rv>
  <rv s="2">
    <v>3</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8">
    <spb s="0">
      <v>0</v>
    </spb>
    <spb s="1">
      <v>0</v>
      <v>0</v>
      <v>0</v>
    </spb>
    <spb s="2">
      <v>1</v>
      <v>1</v>
      <v>1</v>
    </spb>
    <spb s="3">
      <v>1</v>
      <v>2</v>
      <v>2</v>
      <v>1</v>
      <v>3</v>
      <v>1</v>
      <v>1</v>
      <v>1</v>
      <v>4</v>
      <v>4</v>
      <v>5</v>
      <v>6</v>
      <v>1</v>
      <v>1</v>
      <v>1</v>
      <v>4</v>
      <v>7</v>
      <v>8</v>
      <v>9</v>
      <v>10</v>
      <v>9</v>
      <v>4</v>
      <v>1</v>
      <v>1</v>
      <v>5</v>
    </spb>
    <spb s="4">
      <v>at close</v>
      <v>from previous close</v>
      <v>from previous close</v>
      <v>Source: Nasdaq</v>
      <v>GMT</v>
      <v>Delayed 15 minutes</v>
      <v>from close</v>
      <v>from close</v>
    </spb>
    <spb s="0">
      <v>1</v>
    </spb>
    <spb s="5">
      <v>1</v>
      <v>2</v>
      <v>2</v>
      <v>1</v>
      <v>3</v>
      <v>1</v>
      <v>1</v>
      <v>1</v>
      <v>4</v>
      <v>4</v>
      <v>5</v>
      <v>6</v>
      <v>1</v>
      <v>1</v>
      <v>1</v>
      <v>4</v>
      <v>7</v>
      <v>8</v>
      <v>9</v>
      <v>10</v>
      <v>9</v>
      <v>4</v>
    </spb>
    <spb s="6">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7">
  <s>
    <k n="^Order" t="spba"/>
  </s>
  <s>
    <k n="ShowInCardView" t="b"/>
    <k n="ShowInDotNotation" t="b"/>
    <k n="ShowInAutoComplete" t="b"/>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2" formatCode="0.00"/>
    </x:dxf>
    <x:dxf>
      <x:numFmt numFmtId="1" formatCode="0"/>
    </x:dxf>
  </dxfs>
  <richProperties>
    <rPr n="IsTitleField" t="b"/>
    <rPr n="ShouldShowInCell" t="b"/>
  </richProperties>
  <richStyles>
    <rSty dxfid="0"/>
    <rSty dxfid="1"/>
    <rSty>
      <rpv i="0">1</rpv>
    </rSty>
    <rSty dxfid="2"/>
    <rSty dxfid="3"/>
    <rSty dxfid="4"/>
    <rSty>
      <rpv i="1">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upport@canalyst.com?subject=Canalyst%20Support:%20NextGen%20Healthcare%20NXGN%20US&amp;body=Model%20Version:%20FY2019.20" TargetMode="External"/><Relationship Id="rId1" Type="http://schemas.openxmlformats.org/officeDocument/2006/relationships/hyperlink" Target="mailto:support@canalyst.com?subject=Canalyst%20Support:%20NextGen%20Healthcare%20NXGN%20US&amp;body=Model%20Version:%20Q3-2019.2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data.bls.gov/timeseries/CES6562100001?amp%253bdata_tool=XGtable&amp;output_view=data&amp;include_graphs=true" TargetMode="External"/><Relationship Id="rId7" Type="http://schemas.openxmlformats.org/officeDocument/2006/relationships/drawing" Target="../drawings/drawing2.xml"/><Relationship Id="rId2" Type="http://schemas.openxmlformats.org/officeDocument/2006/relationships/hyperlink" Target="http://medpac.gov/docs/default-source/reports/mar14_ch03.pdf?sfvrsn=0" TargetMode="External"/><Relationship Id="rId1" Type="http://schemas.openxmlformats.org/officeDocument/2006/relationships/hyperlink" Target="mailto:ashrivastava@325capital.com" TargetMode="External"/><Relationship Id="rId6" Type="http://schemas.openxmlformats.org/officeDocument/2006/relationships/printerSettings" Target="../printerSettings/printerSettings2.bin"/><Relationship Id="rId5" Type="http://schemas.openxmlformats.org/officeDocument/2006/relationships/hyperlink" Target="https://www.aha.org/data-and-insights/presentation-center" TargetMode="External"/><Relationship Id="rId4" Type="http://schemas.openxmlformats.org/officeDocument/2006/relationships/hyperlink" Target="https://www.forbes.com/sites/brucejapsen/2016/01/26/medical-office-demand-soars-thanks-to-obamacare-and-population-heal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http://investor.qsii.com/index.cfm"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8" Type="http://schemas.openxmlformats.org/officeDocument/2006/relationships/hyperlink" Target="http://investor.nextgen.com/news-releases/news-release-details/nextgen-healthcare-inc-reports-fiscal-2020-first-quarter-results" TargetMode="External"/><Relationship Id="rId13" Type="http://schemas.openxmlformats.org/officeDocument/2006/relationships/hyperlink" Target="http://investor.nextgen.com/news-releases/news-release-details/nextgen-healthcare-inc-reports-fiscal-2020-third-quarter" TargetMode="External"/><Relationship Id="rId18" Type="http://schemas.openxmlformats.org/officeDocument/2006/relationships/hyperlink" Target="http://investor.nextgen.com/news-releases/news-release-details/quality-systems-inc-reports-fiscal-2018-third-quarter-results?ReleaseID=1055365" TargetMode="External"/><Relationship Id="rId3" Type="http://schemas.openxmlformats.org/officeDocument/2006/relationships/hyperlink" Target="http://investor.nextgen.com/news-releases/news-release-details/nextgen-healthcare-inc-reports-fiscal-2019-second-quarter" TargetMode="External"/><Relationship Id="rId21" Type="http://schemas.openxmlformats.org/officeDocument/2006/relationships/comments" Target="../comments2.xml"/><Relationship Id="rId7" Type="http://schemas.openxmlformats.org/officeDocument/2006/relationships/hyperlink" Target="http://investor.nextgen.com/news-releases/news-release-details/nextgen-healthcare-inc-reports-fiscal-2020-first-quarter-results" TargetMode="External"/><Relationship Id="rId12" Type="http://schemas.openxmlformats.org/officeDocument/2006/relationships/hyperlink" Target="http://investor.nextgen.com/news-releases/news-release-details/nextgen-healthcare-inc-reports-fiscal-2020-third-quarter" TargetMode="External"/><Relationship Id="rId17" Type="http://schemas.openxmlformats.org/officeDocument/2006/relationships/hyperlink" Target="http://investor.nextgen.com/news-releases/news-release-details/quality-systems-inc-reports-fiscal-2018-fourth-quarter-and-0?ReleaseID=1068459" TargetMode="External"/><Relationship Id="rId2" Type="http://schemas.openxmlformats.org/officeDocument/2006/relationships/hyperlink" Target="http://investor.nextgen.com/node/17916/pdf" TargetMode="External"/><Relationship Id="rId16" Type="http://schemas.openxmlformats.org/officeDocument/2006/relationships/hyperlink" Target="http://investor.nextgen.com/news-releases/news-release-details/quality-systems-inc-reports-fiscal-2018-fourth-quarter-and-0?ReleaseID=1068459" TargetMode="External"/><Relationship Id="rId20" Type="http://schemas.openxmlformats.org/officeDocument/2006/relationships/vmlDrawing" Target="../drawings/vmlDrawing2.vml"/><Relationship Id="rId1" Type="http://schemas.openxmlformats.org/officeDocument/2006/relationships/hyperlink" Target="http://investor.nextgen.com/node/17916/pdf" TargetMode="External"/><Relationship Id="rId6" Type="http://schemas.openxmlformats.org/officeDocument/2006/relationships/hyperlink" Target="http://investor.nextgen.com/news-releases/news-release-details/nextgen-healthcare-inc-reports-fiscal-2019-fourth-quarter-and" TargetMode="External"/><Relationship Id="rId11" Type="http://schemas.openxmlformats.org/officeDocument/2006/relationships/hyperlink" Target="http://investor.nextgen.com/node/18466/pdf" TargetMode="External"/><Relationship Id="rId5" Type="http://schemas.openxmlformats.org/officeDocument/2006/relationships/hyperlink" Target="http://investor.nextgen.com/news-releases/news-release-details/nextgen-healthcare-inc-reports-fiscal-2019-fourth-quarter-and" TargetMode="External"/><Relationship Id="rId15" Type="http://schemas.openxmlformats.org/officeDocument/2006/relationships/hyperlink" Target="http://investor.nextgen.com/news-releases/news-release-details/quality-systems-inc-reports-fiscal-2019-first-quarter-results" TargetMode="External"/><Relationship Id="rId10" Type="http://schemas.openxmlformats.org/officeDocument/2006/relationships/hyperlink" Target="http://investor.nextgen.com/news-releases/news-release-details/nextgen-healthcare-inc-reports-fiscal-2020-first-quarter-results" TargetMode="External"/><Relationship Id="rId19" Type="http://schemas.openxmlformats.org/officeDocument/2006/relationships/hyperlink" Target="http://investor.nextgen.com/news-releases/news-release-details/quality-systems-inc-reports-fiscal-2018-third-quarter-results?ReleaseID=1055365" TargetMode="External"/><Relationship Id="rId4" Type="http://schemas.openxmlformats.org/officeDocument/2006/relationships/hyperlink" Target="http://investor.nextgen.com/news-releases/news-release-details/quality-systems-inc-reports-fiscal-2019-first-quarter-results" TargetMode="External"/><Relationship Id="rId9" Type="http://schemas.openxmlformats.org/officeDocument/2006/relationships/hyperlink" Target="http://investor.nextgen.com/news-releases/news-release-details/nextgen-healthcare-inc-reports-fiscal-2020-first-quarter-results" TargetMode="External"/><Relationship Id="rId14" Type="http://schemas.openxmlformats.org/officeDocument/2006/relationships/hyperlink" Target="http://investor.nextgen.com/news-releases/news-release-details/nextgen-healthcare-inc-reports-fiscal-2019-second-quart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investor.qsii.com/releasedetail.cfm?ReleaseID=1027132" TargetMode="External"/><Relationship Id="rId13" Type="http://schemas.openxmlformats.org/officeDocument/2006/relationships/hyperlink" Target="http://investor.nextgen.com/node/18466/pdf" TargetMode="External"/><Relationship Id="rId3" Type="http://schemas.openxmlformats.org/officeDocument/2006/relationships/hyperlink" Target="http://investor.qsii.com/news-releases/news-release-details/quality-systems-inc-reports-fiscal-2019-first-quarter-results" TargetMode="External"/><Relationship Id="rId7" Type="http://schemas.openxmlformats.org/officeDocument/2006/relationships/hyperlink" Target="http://investor.qsii.com/releasedetail.cfm?ReleaseID=1035241" TargetMode="External"/><Relationship Id="rId12" Type="http://schemas.openxmlformats.org/officeDocument/2006/relationships/hyperlink" Target="http://investor.nextgen.com/news-releases/news-release-details/nextgen-healthcare-inc-reports-fiscal-2020-first-quarter-results" TargetMode="External"/><Relationship Id="rId2" Type="http://schemas.openxmlformats.org/officeDocument/2006/relationships/hyperlink" Target="http://investor.nextgen.com/news-releases/news-release-details/nextgen-healthcare-inc-reports-fiscal-2019-second-quarter" TargetMode="External"/><Relationship Id="rId16" Type="http://schemas.openxmlformats.org/officeDocument/2006/relationships/drawing" Target="../drawings/drawing5.xml"/><Relationship Id="rId1" Type="http://schemas.openxmlformats.org/officeDocument/2006/relationships/hyperlink" Target="http://investor.nextgen.com/news-releases/news-release-details/nextgen-healthcare-inc-reports-fiscal-2019-third-quarter-results" TargetMode="External"/><Relationship Id="rId6" Type="http://schemas.openxmlformats.org/officeDocument/2006/relationships/hyperlink" Target="http://investor.qsii.com/releasedetail.cfm?ReleaseID=1045482" TargetMode="External"/><Relationship Id="rId11" Type="http://schemas.openxmlformats.org/officeDocument/2006/relationships/hyperlink" Target="http://investor.nextgen.com/news-releases/news-release-details/nextgen-healthcare-inc-reports-fiscal-2019-fourth-quarter-and" TargetMode="External"/><Relationship Id="rId5" Type="http://schemas.openxmlformats.org/officeDocument/2006/relationships/hyperlink" Target="http://investor.qsii.com/releasedetail.cfm?ReleaseID=1055365" TargetMode="External"/><Relationship Id="rId15" Type="http://schemas.openxmlformats.org/officeDocument/2006/relationships/printerSettings" Target="../printerSettings/printerSettings5.bin"/><Relationship Id="rId10" Type="http://schemas.openxmlformats.org/officeDocument/2006/relationships/hyperlink" Target="http://investor.qsii.com/releasedetail.cfm?ReleaseID=995773" TargetMode="External"/><Relationship Id="rId4" Type="http://schemas.openxmlformats.org/officeDocument/2006/relationships/hyperlink" Target="http://investor.qsii.com/releasedetail.cfm?ReleaseID=1068459" TargetMode="External"/><Relationship Id="rId9" Type="http://schemas.openxmlformats.org/officeDocument/2006/relationships/hyperlink" Target="http://investor.qsii.com/releasedetail.cfm?ReleaseID=1009154" TargetMode="External"/><Relationship Id="rId14" Type="http://schemas.openxmlformats.org/officeDocument/2006/relationships/hyperlink" Target="http://investor.nextgen.com/news-releases/news-release-details/nextgen-healthcare-inc-reports-fiscal-2020-third-qu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B2:W50"/>
  <sheetViews>
    <sheetView showGridLines="0" zoomScaleNormal="100" zoomScaleSheetLayoutView="100" zoomScalePageLayoutView="97" workbookViewId="0">
      <selection activeCell="F8" sqref="F8:K8"/>
    </sheetView>
  </sheetViews>
  <sheetFormatPr defaultColWidth="8.86328125" defaultRowHeight="14.25" x14ac:dyDescent="0.45"/>
  <cols>
    <col min="1" max="1" width="5.73046875" style="1" customWidth="1"/>
    <col min="2" max="2" width="7.86328125" style="1" customWidth="1"/>
    <col min="3" max="3" width="10.265625" style="1" customWidth="1"/>
    <col min="4" max="4" width="13.73046875" style="1" customWidth="1"/>
    <col min="5" max="5" width="5.3984375" style="1" customWidth="1"/>
    <col min="6" max="6" width="13.73046875" style="1" customWidth="1"/>
    <col min="7" max="7" width="6.86328125" style="1" customWidth="1"/>
    <col min="8" max="8" width="31.73046875" style="1" customWidth="1"/>
    <col min="9" max="15" width="8.86328125" style="1" customWidth="1"/>
    <col min="16" max="16" width="45.73046875" style="1" customWidth="1"/>
    <col min="17" max="20" width="8.86328125" style="1" customWidth="1"/>
    <col min="21" max="16384" width="8.86328125" style="1"/>
  </cols>
  <sheetData>
    <row r="2" spans="2:17" x14ac:dyDescent="0.45">
      <c r="B2" s="9"/>
      <c r="C2" s="9"/>
      <c r="D2" s="9"/>
      <c r="E2" s="9"/>
      <c r="F2" s="9"/>
      <c r="G2" s="9"/>
      <c r="H2" s="9"/>
      <c r="I2" s="9"/>
      <c r="J2" s="9"/>
      <c r="K2" s="9"/>
      <c r="L2" s="9"/>
      <c r="M2" s="9"/>
      <c r="N2" s="9"/>
      <c r="O2" s="9"/>
      <c r="P2" s="9"/>
      <c r="Q2" s="9"/>
    </row>
    <row r="3" spans="2:17" x14ac:dyDescent="0.45">
      <c r="B3" s="9"/>
      <c r="C3" s="9"/>
      <c r="D3" s="9"/>
      <c r="E3" s="9"/>
      <c r="F3" s="9"/>
      <c r="G3" s="9"/>
      <c r="H3" s="9"/>
      <c r="I3" s="9"/>
      <c r="J3" s="9"/>
      <c r="K3" s="9"/>
      <c r="L3" s="9"/>
      <c r="M3" s="9"/>
      <c r="N3" s="9"/>
      <c r="O3" s="9"/>
      <c r="P3" s="9"/>
      <c r="Q3" s="9"/>
    </row>
    <row r="4" spans="2:17" x14ac:dyDescent="0.45">
      <c r="B4" s="9"/>
      <c r="C4" s="9"/>
      <c r="D4" s="9"/>
      <c r="E4" s="9"/>
      <c r="F4" s="9"/>
      <c r="G4" s="9"/>
      <c r="H4" s="9"/>
      <c r="I4" s="9"/>
      <c r="J4" s="9"/>
      <c r="K4" s="9"/>
      <c r="L4" s="9"/>
      <c r="M4" s="9"/>
      <c r="N4" s="9"/>
      <c r="O4" s="9"/>
      <c r="P4" s="9"/>
      <c r="Q4" s="9"/>
    </row>
    <row r="5" spans="2:17" x14ac:dyDescent="0.45">
      <c r="B5" s="9"/>
      <c r="C5" s="9"/>
      <c r="D5" s="9"/>
      <c r="E5" s="9"/>
      <c r="F5" s="9"/>
      <c r="G5" s="9"/>
      <c r="H5" s="9"/>
      <c r="I5" s="9"/>
      <c r="J5" s="9"/>
      <c r="K5" s="9"/>
      <c r="L5" s="9"/>
      <c r="M5" s="9"/>
      <c r="N5" s="9"/>
      <c r="O5" s="9"/>
      <c r="P5" s="9"/>
      <c r="Q5" s="9"/>
    </row>
    <row r="6" spans="2:17" ht="18" x14ac:dyDescent="0.45">
      <c r="B6" s="9"/>
      <c r="C6" s="9"/>
      <c r="D6" s="9"/>
      <c r="E6" s="9"/>
      <c r="F6" s="9"/>
      <c r="G6" s="9"/>
      <c r="H6" s="9"/>
      <c r="I6" s="9"/>
      <c r="J6" s="9"/>
      <c r="K6" s="9"/>
      <c r="L6" s="9"/>
      <c r="M6" s="25" t="s">
        <v>0</v>
      </c>
      <c r="N6" s="9"/>
      <c r="O6" s="9"/>
      <c r="P6" s="9"/>
      <c r="Q6" s="9"/>
    </row>
    <row r="7" spans="2:17" ht="18" x14ac:dyDescent="0.55000000000000004">
      <c r="B7" s="9"/>
      <c r="C7" s="9"/>
      <c r="D7" s="9"/>
      <c r="E7" s="9"/>
      <c r="F7" s="9"/>
      <c r="G7" s="9"/>
      <c r="H7" s="9"/>
      <c r="I7" s="9"/>
      <c r="J7" s="9"/>
      <c r="K7" s="9"/>
      <c r="L7" s="9"/>
      <c r="M7" s="1222" t="s">
        <v>1</v>
      </c>
      <c r="N7" s="1222"/>
      <c r="O7" s="1222"/>
      <c r="P7" s="9"/>
      <c r="Q7" s="9"/>
    </row>
    <row r="8" spans="2:17" ht="28.5" x14ac:dyDescent="0.85">
      <c r="B8" s="9"/>
      <c r="C8" s="9"/>
      <c r="D8" s="9"/>
      <c r="E8" s="9"/>
      <c r="F8" s="1211"/>
      <c r="G8" s="1211"/>
      <c r="H8" s="1211"/>
      <c r="I8" s="1211"/>
      <c r="J8" s="1211"/>
      <c r="K8" s="1211"/>
      <c r="L8" s="9"/>
      <c r="M8" s="9"/>
      <c r="N8" s="9"/>
      <c r="O8" s="9"/>
      <c r="P8" s="9"/>
      <c r="Q8" s="9"/>
    </row>
    <row r="9" spans="2:17" ht="18" x14ac:dyDescent="0.45">
      <c r="B9" s="9"/>
      <c r="C9" s="16" t="s">
        <v>2</v>
      </c>
      <c r="D9" s="15"/>
      <c r="E9" s="15"/>
      <c r="F9" s="15"/>
      <c r="G9" s="15"/>
      <c r="H9" s="39" t="str">
        <f>Model!A1</f>
        <v>NextGen Healthcare</v>
      </c>
      <c r="I9" s="15"/>
      <c r="J9" s="15"/>
      <c r="K9" s="15"/>
      <c r="L9" s="15"/>
      <c r="M9" s="16" t="s">
        <v>3</v>
      </c>
      <c r="N9" s="15"/>
      <c r="O9" s="15"/>
      <c r="P9" s="1221"/>
      <c r="Q9" s="9"/>
    </row>
    <row r="10" spans="2:17" ht="18" x14ac:dyDescent="0.55000000000000004">
      <c r="B10" s="9"/>
      <c r="C10" s="13"/>
      <c r="D10" s="9"/>
      <c r="E10" s="9"/>
      <c r="F10" s="9"/>
      <c r="G10" s="9"/>
      <c r="H10" s="9"/>
      <c r="I10" s="9"/>
      <c r="J10" s="9"/>
      <c r="K10" s="9"/>
      <c r="L10" s="9"/>
      <c r="M10" s="9"/>
      <c r="N10" s="9"/>
      <c r="O10" s="9"/>
      <c r="P10" s="1221"/>
      <c r="Q10" s="9"/>
    </row>
    <row r="11" spans="2:17" ht="18" x14ac:dyDescent="0.45">
      <c r="B11" s="9"/>
      <c r="C11" s="16" t="s">
        <v>4</v>
      </c>
      <c r="D11" s="9"/>
      <c r="E11" s="9"/>
      <c r="F11" s="9"/>
      <c r="G11" s="9"/>
      <c r="H11" s="17">
        <f ca="1">OFFSET('Update Log'!$C$10,1,0,1,1)</f>
        <v>43854</v>
      </c>
      <c r="I11" s="9"/>
      <c r="J11" s="9"/>
      <c r="K11" s="9"/>
      <c r="L11" s="9"/>
      <c r="M11" s="9"/>
      <c r="N11" s="9"/>
      <c r="O11" s="9"/>
      <c r="P11" s="1221"/>
      <c r="Q11" s="9"/>
    </row>
    <row r="12" spans="2:17" ht="18" x14ac:dyDescent="0.55000000000000004">
      <c r="B12" s="9"/>
      <c r="C12" s="9"/>
      <c r="D12" s="9"/>
      <c r="E12" s="9"/>
      <c r="F12" s="9"/>
      <c r="G12" s="9"/>
      <c r="H12" s="18"/>
      <c r="I12" s="9"/>
      <c r="J12" s="9"/>
      <c r="K12" s="9"/>
      <c r="L12" s="9"/>
      <c r="M12" s="9"/>
      <c r="N12" s="9"/>
      <c r="O12" s="9"/>
      <c r="P12" s="1221"/>
      <c r="Q12" s="9"/>
    </row>
    <row r="13" spans="2:17" ht="18" x14ac:dyDescent="0.45">
      <c r="B13" s="9"/>
      <c r="C13" s="16" t="s">
        <v>5</v>
      </c>
      <c r="D13" s="9"/>
      <c r="E13" s="9"/>
      <c r="F13" s="9"/>
      <c r="G13" s="9"/>
      <c r="H13" s="40" t="str">
        <f ca="1">OFFSET('Update Log'!$E$10,1,0,1,1)</f>
        <v>Quarterly (Earnings Report)</v>
      </c>
      <c r="I13" s="9"/>
      <c r="J13" s="9"/>
      <c r="K13" s="9"/>
      <c r="L13" s="9"/>
      <c r="M13" s="9"/>
      <c r="N13" s="9"/>
      <c r="O13" s="9"/>
      <c r="P13" s="1221"/>
      <c r="Q13" s="9"/>
    </row>
    <row r="14" spans="2:17" x14ac:dyDescent="0.45">
      <c r="B14" s="9"/>
      <c r="C14" s="9"/>
      <c r="D14" s="9"/>
      <c r="E14" s="9"/>
      <c r="F14" s="9"/>
      <c r="G14" s="9"/>
      <c r="H14" s="9"/>
      <c r="I14" s="9"/>
      <c r="J14" s="9"/>
      <c r="K14" s="9"/>
      <c r="L14" s="9"/>
      <c r="M14" s="9"/>
      <c r="N14" s="9"/>
      <c r="O14" s="9"/>
      <c r="P14" s="1221"/>
      <c r="Q14" s="9"/>
    </row>
    <row r="15" spans="2:17" ht="18.75" customHeight="1" x14ac:dyDescent="0.45">
      <c r="B15" s="9"/>
      <c r="C15" s="16" t="s">
        <v>6</v>
      </c>
      <c r="D15" s="15"/>
      <c r="E15" s="15"/>
      <c r="F15" s="15"/>
      <c r="G15" s="15"/>
      <c r="H15" s="14" t="s">
        <v>7</v>
      </c>
      <c r="I15" s="9"/>
      <c r="J15" s="11"/>
      <c r="K15" s="9"/>
      <c r="L15" s="9"/>
      <c r="M15" s="10"/>
      <c r="N15" s="9"/>
      <c r="O15" s="9"/>
      <c r="P15" s="1221"/>
      <c r="Q15" s="9"/>
    </row>
    <row r="16" spans="2:17" ht="15" customHeight="1" x14ac:dyDescent="0.45">
      <c r="B16" s="9"/>
      <c r="C16" s="41"/>
      <c r="D16" s="10"/>
      <c r="E16" s="10"/>
      <c r="F16" s="10"/>
      <c r="G16" s="10"/>
      <c r="H16" s="118">
        <f>IF(FP.DataSourceName="Bloomberg",1,IF(FP.DataSourceName="Capital IQ",2,IF(FP.DataSourceName="FactSet",3,IF(FP.DataSourceName="Thomson",4))))</f>
        <v>1</v>
      </c>
      <c r="I16" s="12"/>
      <c r="J16" s="11"/>
      <c r="K16" s="9"/>
      <c r="L16" s="9"/>
      <c r="M16" s="10"/>
      <c r="N16" s="9"/>
      <c r="O16" s="9"/>
      <c r="P16" s="1221"/>
      <c r="Q16" s="9"/>
    </row>
    <row r="17" spans="2:23" s="101" customFormat="1" ht="18" x14ac:dyDescent="0.55000000000000004">
      <c r="B17" s="10"/>
      <c r="C17" s="13"/>
      <c r="D17" s="10"/>
      <c r="E17" s="10"/>
      <c r="F17" s="10"/>
      <c r="G17" s="10"/>
      <c r="H17" s="10"/>
      <c r="I17" s="12"/>
      <c r="J17" s="11"/>
      <c r="K17" s="9"/>
      <c r="L17" s="9"/>
      <c r="M17" s="9"/>
      <c r="N17" s="10"/>
      <c r="O17" s="10"/>
      <c r="P17" s="100"/>
      <c r="Q17" s="10"/>
      <c r="W17" s="1"/>
    </row>
    <row r="18" spans="2:23" s="101" customFormat="1" ht="18.75" customHeight="1" x14ac:dyDescent="0.45">
      <c r="B18" s="10"/>
      <c r="C18" s="16" t="s">
        <v>8</v>
      </c>
      <c r="D18" s="15"/>
      <c r="E18" s="15"/>
      <c r="F18" s="15"/>
      <c r="G18" s="15"/>
      <c r="H18" s="14" t="s">
        <v>390</v>
      </c>
      <c r="I18" s="42"/>
      <c r="J18" s="42"/>
      <c r="K18" s="9"/>
      <c r="L18" s="9"/>
      <c r="M18" s="9"/>
      <c r="N18" s="10"/>
      <c r="O18" s="10"/>
      <c r="P18" s="100"/>
      <c r="Q18" s="10"/>
      <c r="W18" s="1"/>
    </row>
    <row r="19" spans="2:23" s="101" customFormat="1" x14ac:dyDescent="0.45">
      <c r="B19" s="10"/>
      <c r="C19" s="41"/>
      <c r="D19" s="10"/>
      <c r="E19" s="10"/>
      <c r="F19" s="10"/>
      <c r="G19" s="10"/>
      <c r="H19" s="10"/>
      <c r="I19" s="12"/>
      <c r="J19" s="11"/>
      <c r="K19" s="9"/>
      <c r="L19" s="9"/>
      <c r="M19" s="9"/>
      <c r="N19" s="10"/>
      <c r="O19" s="10"/>
      <c r="P19" s="100"/>
      <c r="Q19" s="10"/>
      <c r="W19" s="1"/>
    </row>
    <row r="20" spans="2:23" s="101" customFormat="1" ht="18.75" customHeight="1" x14ac:dyDescent="0.55000000000000004">
      <c r="B20" s="10"/>
      <c r="C20" s="43" t="s">
        <v>9</v>
      </c>
      <c r="D20" s="10"/>
      <c r="E20" s="10"/>
      <c r="F20" s="181">
        <v>43937</v>
      </c>
      <c r="G20" s="10"/>
      <c r="H20" s="449">
        <v>10.1</v>
      </c>
      <c r="I20" s="12"/>
      <c r="J20" s="11"/>
      <c r="K20" s="9"/>
      <c r="L20" s="9"/>
      <c r="M20" s="9"/>
      <c r="N20" s="10"/>
      <c r="O20" s="10"/>
      <c r="P20" s="100"/>
      <c r="Q20" s="10"/>
      <c r="W20" s="1"/>
    </row>
    <row r="21" spans="2:23" s="101" customFormat="1" x14ac:dyDescent="0.45">
      <c r="B21" s="10"/>
      <c r="C21" s="10"/>
      <c r="D21" s="9"/>
      <c r="E21" s="9"/>
      <c r="F21" s="9"/>
      <c r="G21" s="9"/>
      <c r="H21" s="9"/>
      <c r="I21" s="9"/>
      <c r="J21" s="9"/>
      <c r="K21" s="9"/>
      <c r="L21" s="9"/>
      <c r="M21" s="9"/>
      <c r="N21" s="10"/>
      <c r="O21" s="10"/>
      <c r="P21" s="10"/>
      <c r="Q21" s="10"/>
    </row>
    <row r="22" spans="2:23" ht="15.95" customHeight="1" x14ac:dyDescent="0.45">
      <c r="B22" s="9"/>
      <c r="C22" s="1212" t="s">
        <v>352</v>
      </c>
      <c r="D22" s="1213"/>
      <c r="E22" s="1213"/>
      <c r="F22" s="1213"/>
      <c r="G22" s="1213"/>
      <c r="H22" s="1213"/>
      <c r="I22" s="1213"/>
      <c r="J22" s="1213"/>
      <c r="K22" s="1213"/>
      <c r="L22" s="1213"/>
      <c r="M22" s="1213"/>
      <c r="N22" s="1213"/>
      <c r="O22" s="1213"/>
      <c r="P22" s="1214"/>
      <c r="Q22" s="9"/>
    </row>
    <row r="23" spans="2:23" ht="15.95" customHeight="1" x14ac:dyDescent="0.45">
      <c r="B23" s="9"/>
      <c r="C23" s="1215"/>
      <c r="D23" s="1216"/>
      <c r="E23" s="1216"/>
      <c r="F23" s="1216"/>
      <c r="G23" s="1216"/>
      <c r="H23" s="1216"/>
      <c r="I23" s="1216"/>
      <c r="J23" s="1216"/>
      <c r="K23" s="1216"/>
      <c r="L23" s="1216"/>
      <c r="M23" s="1216"/>
      <c r="N23" s="1216"/>
      <c r="O23" s="1216"/>
      <c r="P23" s="1217"/>
      <c r="Q23" s="9"/>
    </row>
    <row r="24" spans="2:23" ht="15.95" customHeight="1" x14ac:dyDescent="0.45">
      <c r="B24" s="9"/>
      <c r="C24" s="1215"/>
      <c r="D24" s="1216"/>
      <c r="E24" s="1216"/>
      <c r="F24" s="1216"/>
      <c r="G24" s="1216"/>
      <c r="H24" s="1216"/>
      <c r="I24" s="1216"/>
      <c r="J24" s="1216"/>
      <c r="K24" s="1216"/>
      <c r="L24" s="1216"/>
      <c r="M24" s="1216"/>
      <c r="N24" s="1216"/>
      <c r="O24" s="1216"/>
      <c r="P24" s="1217"/>
      <c r="Q24" s="9"/>
    </row>
    <row r="25" spans="2:23" ht="15.95" customHeight="1" x14ac:dyDescent="0.45">
      <c r="B25" s="9"/>
      <c r="C25" s="1215"/>
      <c r="D25" s="1216"/>
      <c r="E25" s="1216"/>
      <c r="F25" s="1216"/>
      <c r="G25" s="1216"/>
      <c r="H25" s="1216"/>
      <c r="I25" s="1216"/>
      <c r="J25" s="1216"/>
      <c r="K25" s="1216"/>
      <c r="L25" s="1216"/>
      <c r="M25" s="1216"/>
      <c r="N25" s="1216"/>
      <c r="O25" s="1216"/>
      <c r="P25" s="1217"/>
      <c r="Q25" s="9"/>
    </row>
    <row r="26" spans="2:23" ht="15.95" customHeight="1" x14ac:dyDescent="0.45">
      <c r="B26" s="9"/>
      <c r="C26" s="1215"/>
      <c r="D26" s="1216"/>
      <c r="E26" s="1216"/>
      <c r="F26" s="1216"/>
      <c r="G26" s="1216"/>
      <c r="H26" s="1216"/>
      <c r="I26" s="1216"/>
      <c r="J26" s="1216"/>
      <c r="K26" s="1216"/>
      <c r="L26" s="1216"/>
      <c r="M26" s="1216"/>
      <c r="N26" s="1216"/>
      <c r="O26" s="1216"/>
      <c r="P26" s="1217"/>
      <c r="Q26" s="9"/>
    </row>
    <row r="27" spans="2:23" ht="15.95" customHeight="1" x14ac:dyDescent="0.45">
      <c r="B27" s="9"/>
      <c r="C27" s="1215"/>
      <c r="D27" s="1216"/>
      <c r="E27" s="1216"/>
      <c r="F27" s="1216"/>
      <c r="G27" s="1216"/>
      <c r="H27" s="1216"/>
      <c r="I27" s="1216"/>
      <c r="J27" s="1216"/>
      <c r="K27" s="1216"/>
      <c r="L27" s="1216"/>
      <c r="M27" s="1216"/>
      <c r="N27" s="1216"/>
      <c r="O27" s="1216"/>
      <c r="P27" s="1217"/>
      <c r="Q27" s="9"/>
    </row>
    <row r="28" spans="2:23" ht="15.95" customHeight="1" x14ac:dyDescent="0.45">
      <c r="B28" s="9"/>
      <c r="C28" s="1215"/>
      <c r="D28" s="1216"/>
      <c r="E28" s="1216"/>
      <c r="F28" s="1216"/>
      <c r="G28" s="1216"/>
      <c r="H28" s="1216"/>
      <c r="I28" s="1216"/>
      <c r="J28" s="1216"/>
      <c r="K28" s="1216"/>
      <c r="L28" s="1216"/>
      <c r="M28" s="1216"/>
      <c r="N28" s="1216"/>
      <c r="O28" s="1216"/>
      <c r="P28" s="1217"/>
      <c r="Q28" s="9"/>
    </row>
    <row r="29" spans="2:23" ht="15.95" customHeight="1" x14ac:dyDescent="0.45">
      <c r="B29" s="9"/>
      <c r="C29" s="1215"/>
      <c r="D29" s="1216"/>
      <c r="E29" s="1216"/>
      <c r="F29" s="1216"/>
      <c r="G29" s="1216"/>
      <c r="H29" s="1216"/>
      <c r="I29" s="1216"/>
      <c r="J29" s="1216"/>
      <c r="K29" s="1216"/>
      <c r="L29" s="1216"/>
      <c r="M29" s="1216"/>
      <c r="N29" s="1216"/>
      <c r="O29" s="1216"/>
      <c r="P29" s="1217"/>
      <c r="Q29" s="9"/>
    </row>
    <row r="30" spans="2:23" ht="15.95" customHeight="1" x14ac:dyDescent="0.45">
      <c r="B30" s="9"/>
      <c r="C30" s="1215"/>
      <c r="D30" s="1216"/>
      <c r="E30" s="1216"/>
      <c r="F30" s="1216"/>
      <c r="G30" s="1216"/>
      <c r="H30" s="1216"/>
      <c r="I30" s="1216"/>
      <c r="J30" s="1216"/>
      <c r="K30" s="1216"/>
      <c r="L30" s="1216"/>
      <c r="M30" s="1216"/>
      <c r="N30" s="1216"/>
      <c r="O30" s="1216"/>
      <c r="P30" s="1217"/>
      <c r="Q30" s="9"/>
    </row>
    <row r="31" spans="2:23" ht="15.95" customHeight="1" x14ac:dyDescent="0.45">
      <c r="B31" s="9"/>
      <c r="C31" s="1215"/>
      <c r="D31" s="1216"/>
      <c r="E31" s="1216"/>
      <c r="F31" s="1216"/>
      <c r="G31" s="1216"/>
      <c r="H31" s="1216"/>
      <c r="I31" s="1216"/>
      <c r="J31" s="1216"/>
      <c r="K31" s="1216"/>
      <c r="L31" s="1216"/>
      <c r="M31" s="1216"/>
      <c r="N31" s="1216"/>
      <c r="O31" s="1216"/>
      <c r="P31" s="1217"/>
      <c r="Q31" s="9"/>
    </row>
    <row r="32" spans="2:23" ht="15.95" customHeight="1" x14ac:dyDescent="0.45">
      <c r="B32" s="9"/>
      <c r="C32" s="1215"/>
      <c r="D32" s="1216"/>
      <c r="E32" s="1216"/>
      <c r="F32" s="1216"/>
      <c r="G32" s="1216"/>
      <c r="H32" s="1216"/>
      <c r="I32" s="1216"/>
      <c r="J32" s="1216"/>
      <c r="K32" s="1216"/>
      <c r="L32" s="1216"/>
      <c r="M32" s="1216"/>
      <c r="N32" s="1216"/>
      <c r="O32" s="1216"/>
      <c r="P32" s="1217"/>
      <c r="Q32" s="9"/>
    </row>
    <row r="33" spans="2:17" ht="15.95" customHeight="1" x14ac:dyDescent="0.45">
      <c r="B33" s="9"/>
      <c r="C33" s="1215"/>
      <c r="D33" s="1216"/>
      <c r="E33" s="1216"/>
      <c r="F33" s="1216"/>
      <c r="G33" s="1216"/>
      <c r="H33" s="1216"/>
      <c r="I33" s="1216"/>
      <c r="J33" s="1216"/>
      <c r="K33" s="1216"/>
      <c r="L33" s="1216"/>
      <c r="M33" s="1216"/>
      <c r="N33" s="1216"/>
      <c r="O33" s="1216"/>
      <c r="P33" s="1217"/>
      <c r="Q33" s="9"/>
    </row>
    <row r="34" spans="2:17" ht="15.95" customHeight="1" x14ac:dyDescent="0.45">
      <c r="B34" s="9"/>
      <c r="C34" s="1218"/>
      <c r="D34" s="1219"/>
      <c r="E34" s="1219"/>
      <c r="F34" s="1219"/>
      <c r="G34" s="1219"/>
      <c r="H34" s="1219"/>
      <c r="I34" s="1219"/>
      <c r="J34" s="1219"/>
      <c r="K34" s="1219"/>
      <c r="L34" s="1219"/>
      <c r="M34" s="1219"/>
      <c r="N34" s="1219"/>
      <c r="O34" s="1219"/>
      <c r="P34" s="1220"/>
      <c r="Q34" s="9"/>
    </row>
    <row r="35" spans="2:17" x14ac:dyDescent="0.45">
      <c r="B35" s="9"/>
      <c r="C35" s="9"/>
      <c r="D35" s="9"/>
      <c r="E35" s="9"/>
      <c r="F35" s="9"/>
      <c r="G35" s="9"/>
      <c r="H35" s="9"/>
      <c r="I35" s="9"/>
      <c r="J35" s="9"/>
      <c r="K35" s="9"/>
      <c r="L35" s="9"/>
      <c r="M35" s="9"/>
      <c r="N35" s="9"/>
      <c r="O35" s="9"/>
      <c r="P35" s="9"/>
      <c r="Q35" s="9"/>
    </row>
    <row r="36" spans="2:17" x14ac:dyDescent="0.45">
      <c r="B36" s="8"/>
      <c r="C36" s="8"/>
      <c r="D36" s="8"/>
      <c r="E36" s="8"/>
      <c r="F36" s="8"/>
      <c r="G36" s="8"/>
      <c r="H36" s="8"/>
      <c r="I36" s="8"/>
      <c r="J36" s="8"/>
      <c r="K36" s="8"/>
      <c r="L36" s="8"/>
      <c r="M36" s="8"/>
      <c r="N36" s="8"/>
      <c r="O36" s="8"/>
    </row>
    <row r="37" spans="2:17" x14ac:dyDescent="0.45">
      <c r="B37" s="8"/>
      <c r="C37" s="8"/>
      <c r="D37" s="8"/>
      <c r="E37" s="8"/>
      <c r="F37" s="8"/>
      <c r="G37" s="8"/>
      <c r="H37" s="8"/>
      <c r="I37" s="8"/>
      <c r="J37" s="8"/>
      <c r="K37" s="8"/>
      <c r="L37" s="8"/>
      <c r="M37" s="8"/>
      <c r="N37" s="8"/>
      <c r="O37" s="8"/>
    </row>
    <row r="38" spans="2:17" x14ac:dyDescent="0.45">
      <c r="B38" s="8"/>
      <c r="C38" s="8"/>
      <c r="D38" s="8"/>
      <c r="E38" s="8"/>
      <c r="F38" s="8"/>
      <c r="G38" s="8"/>
      <c r="H38" s="8"/>
      <c r="I38" s="8"/>
      <c r="J38" s="8"/>
      <c r="K38" s="8"/>
      <c r="L38" s="8"/>
      <c r="M38" s="8"/>
      <c r="N38" s="8"/>
      <c r="O38" s="8"/>
    </row>
    <row r="39" spans="2:17" x14ac:dyDescent="0.45">
      <c r="B39" s="8"/>
      <c r="C39" s="8"/>
      <c r="D39" s="8"/>
      <c r="E39" s="8"/>
      <c r="F39" s="8"/>
      <c r="G39" s="8"/>
      <c r="H39" s="8"/>
      <c r="I39" s="8"/>
      <c r="J39" s="8"/>
      <c r="K39" s="8"/>
      <c r="L39" s="8"/>
      <c r="M39" s="8"/>
      <c r="N39" s="8"/>
      <c r="O39" s="8"/>
    </row>
    <row r="40" spans="2:17" x14ac:dyDescent="0.45">
      <c r="B40" s="8"/>
      <c r="C40" s="8"/>
      <c r="D40" s="8"/>
      <c r="E40" s="8"/>
      <c r="F40" s="8"/>
      <c r="G40" s="8"/>
      <c r="H40" s="8"/>
      <c r="I40" s="8"/>
      <c r="J40" s="8"/>
      <c r="K40" s="8"/>
      <c r="L40" s="8"/>
      <c r="M40" s="8"/>
      <c r="N40" s="8"/>
      <c r="O40" s="8"/>
    </row>
    <row r="41" spans="2:17" x14ac:dyDescent="0.45">
      <c r="B41" s="8"/>
      <c r="C41" s="8"/>
      <c r="D41" s="8"/>
      <c r="E41" s="8"/>
      <c r="F41" s="8"/>
      <c r="G41" s="8"/>
      <c r="H41" s="8"/>
      <c r="I41" s="8"/>
      <c r="J41" s="8"/>
      <c r="K41" s="8"/>
      <c r="L41" s="8"/>
      <c r="M41" s="8"/>
      <c r="N41" s="8"/>
      <c r="O41" s="8"/>
    </row>
    <row r="42" spans="2:17" x14ac:dyDescent="0.45">
      <c r="B42" s="8"/>
      <c r="C42" s="8"/>
      <c r="D42" s="8"/>
      <c r="E42" s="8"/>
      <c r="F42" s="8"/>
      <c r="G42" s="8"/>
      <c r="H42" s="8"/>
      <c r="I42" s="8"/>
      <c r="J42" s="8"/>
      <c r="K42" s="8"/>
      <c r="L42" s="8"/>
      <c r="M42" s="8"/>
      <c r="N42" s="8"/>
      <c r="O42" s="8"/>
    </row>
    <row r="43" spans="2:17" x14ac:dyDescent="0.45">
      <c r="B43" s="8"/>
      <c r="C43" s="8"/>
      <c r="D43" s="8"/>
      <c r="E43" s="8"/>
      <c r="F43" s="8"/>
      <c r="G43" s="8"/>
      <c r="H43" s="8"/>
      <c r="I43" s="8"/>
      <c r="J43" s="8"/>
      <c r="K43" s="8"/>
      <c r="L43" s="8"/>
      <c r="M43" s="8"/>
      <c r="N43" s="8"/>
      <c r="O43" s="8"/>
    </row>
    <row r="44" spans="2:17" x14ac:dyDescent="0.45">
      <c r="B44" s="8"/>
      <c r="C44" s="8"/>
      <c r="D44" s="8"/>
      <c r="E44" s="8"/>
      <c r="F44" s="8"/>
      <c r="G44" s="8"/>
      <c r="H44" s="8"/>
      <c r="I44" s="8"/>
      <c r="J44" s="8"/>
      <c r="K44" s="8"/>
      <c r="L44" s="8"/>
      <c r="M44" s="8"/>
      <c r="N44" s="8"/>
      <c r="O44" s="8"/>
    </row>
    <row r="45" spans="2:17" x14ac:dyDescent="0.45">
      <c r="B45" s="8"/>
      <c r="C45" s="8"/>
      <c r="D45" s="8"/>
      <c r="E45" s="8"/>
      <c r="F45" s="8"/>
      <c r="G45" s="8"/>
      <c r="H45" s="8"/>
      <c r="I45" s="8"/>
      <c r="J45" s="8"/>
      <c r="K45" s="8"/>
      <c r="L45" s="8"/>
      <c r="M45" s="8"/>
      <c r="N45" s="8"/>
      <c r="O45" s="8"/>
    </row>
    <row r="46" spans="2:17" x14ac:dyDescent="0.45">
      <c r="B46" s="8"/>
      <c r="C46" s="8"/>
      <c r="D46" s="8"/>
      <c r="E46" s="8"/>
      <c r="F46" s="8"/>
      <c r="G46" s="8"/>
      <c r="H46" s="8"/>
      <c r="I46" s="8"/>
      <c r="J46" s="8"/>
      <c r="K46" s="8"/>
      <c r="L46" s="8"/>
      <c r="M46" s="8"/>
      <c r="N46" s="8"/>
      <c r="O46" s="8"/>
    </row>
    <row r="47" spans="2:17" x14ac:dyDescent="0.45">
      <c r="B47" s="8"/>
      <c r="C47" s="8"/>
      <c r="D47" s="8"/>
      <c r="E47" s="8"/>
      <c r="F47" s="8"/>
      <c r="G47" s="8"/>
      <c r="H47" s="8"/>
      <c r="I47" s="8"/>
      <c r="J47" s="8"/>
      <c r="K47" s="8"/>
      <c r="L47" s="8"/>
      <c r="M47" s="8"/>
      <c r="N47" s="8"/>
      <c r="O47" s="8"/>
    </row>
    <row r="48" spans="2:17" x14ac:dyDescent="0.45">
      <c r="B48" s="8"/>
      <c r="C48" s="8"/>
      <c r="D48" s="8"/>
      <c r="E48" s="8"/>
      <c r="F48" s="8"/>
      <c r="G48" s="8"/>
      <c r="H48" s="8"/>
      <c r="I48" s="8"/>
      <c r="J48" s="8"/>
      <c r="K48" s="8"/>
      <c r="L48" s="8"/>
      <c r="M48" s="8"/>
      <c r="N48" s="8"/>
      <c r="O48" s="8"/>
    </row>
    <row r="49" spans="2:15" x14ac:dyDescent="0.45">
      <c r="B49" s="8"/>
      <c r="C49" s="8"/>
      <c r="D49" s="8"/>
      <c r="E49" s="8"/>
      <c r="F49" s="8"/>
      <c r="G49" s="8"/>
      <c r="H49" s="8"/>
      <c r="I49" s="8"/>
      <c r="J49" s="8"/>
      <c r="K49" s="8"/>
      <c r="L49" s="8"/>
      <c r="M49" s="8"/>
      <c r="N49" s="8"/>
      <c r="O49" s="8"/>
    </row>
    <row r="50" spans="2:15" x14ac:dyDescent="0.45">
      <c r="B50" s="8"/>
      <c r="C50" s="8"/>
      <c r="D50" s="8"/>
      <c r="E50" s="8"/>
      <c r="F50" s="8"/>
      <c r="G50" s="8"/>
      <c r="H50" s="8"/>
      <c r="I50" s="8"/>
      <c r="J50" s="8"/>
      <c r="K50" s="8"/>
      <c r="L50" s="8"/>
      <c r="M50" s="8"/>
      <c r="N50" s="8"/>
      <c r="O50" s="8"/>
    </row>
  </sheetData>
  <mergeCells count="4">
    <mergeCell ref="F8:K8"/>
    <mergeCell ref="C22:P34"/>
    <mergeCell ref="P9:P16"/>
    <mergeCell ref="M7:O7"/>
  </mergeCells>
  <dataValidations count="3">
    <dataValidation type="list" allowBlank="1" showInputMessage="1" showErrorMessage="1" sqref="H18" xr:uid="{00000000-0002-0000-0000-000000000000}">
      <formula1>"ON, OFF"</formula1>
    </dataValidation>
    <dataValidation type="list" allowBlank="1" showInputMessage="1" showErrorMessage="1" sqref="H15" xr:uid="{00000000-0002-0000-0000-000001000000}">
      <formula1>"Bloomberg, Capital IQ, FactSet, Thomson"</formula1>
    </dataValidation>
    <dataValidation allowBlank="1" showInputMessage="1" showErrorMessage="1" sqref="H16" xr:uid="{00000000-0002-0000-0000-000002000000}"/>
  </dataValidations>
  <hyperlinks>
    <hyperlink ref="M7" r:id="rId1" tooltip="Click to directly email Canalyst support" xr:uid="{00000000-0004-0000-0000-000000000000}"/>
    <hyperlink ref="M7:O7" r:id="rId2" tooltip="Click to directly email Canalyst support" display="support@canalyst.com" xr:uid="{00000000-0004-0000-0000-000001000000}"/>
  </hyperlinks>
  <pageMargins left="0.7" right="0.7" top="0.75" bottom="0.75" header="0.3" footer="0.3"/>
  <pageSetup scale="45"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1" stopIfTrue="1" id="{00000000-000E-0000-0000-000001000000}">
            <xm:f>AND($H$18="ON",Model!$B$4="ON")</xm:f>
            <x14:dxf>
              <font>
                <color rgb="FFF2F2F2"/>
              </font>
              <fill>
                <patternFill>
                  <bgColor rgb="FFF2F2F2"/>
                </patternFill>
              </fill>
            </x14:dxf>
          </x14:cfRule>
          <xm:sqref>C20:H20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51F3E-2513-4808-9720-0F48F0DF1D1E}">
  <sheetPr>
    <pageSetUpPr fitToPage="1"/>
  </sheetPr>
  <dimension ref="A1:AK281"/>
  <sheetViews>
    <sheetView topLeftCell="A67" zoomScale="85" zoomScaleNormal="85" zoomScalePageLayoutView="85" workbookViewId="0">
      <selection activeCell="G37" sqref="G37"/>
    </sheetView>
  </sheetViews>
  <sheetFormatPr defaultColWidth="9.1328125" defaultRowHeight="15" x14ac:dyDescent="0.5"/>
  <cols>
    <col min="1" max="1" width="12.265625" style="991" customWidth="1"/>
    <col min="2" max="2" width="17.1328125" style="991" customWidth="1"/>
    <col min="3" max="3" width="8.73046875" style="991" customWidth="1"/>
    <col min="4" max="4" width="11.59765625" style="991" customWidth="1"/>
    <col min="5" max="22" width="8.73046875" style="991" customWidth="1"/>
    <col min="23" max="31" width="12.86328125" style="991" bestFit="1" customWidth="1"/>
    <col min="32" max="41" width="14.265625" style="991" bestFit="1" customWidth="1"/>
    <col min="42" max="42" width="9.3984375" style="991" bestFit="1" customWidth="1"/>
    <col min="43" max="16384" width="9.1328125" style="991"/>
  </cols>
  <sheetData>
    <row r="1" spans="1:20" x14ac:dyDescent="0.5">
      <c r="A1" s="991" t="s">
        <v>609</v>
      </c>
    </row>
    <row r="2" spans="1:20" x14ac:dyDescent="0.5">
      <c r="A2" s="992" t="s">
        <v>610</v>
      </c>
    </row>
    <row r="3" spans="1:20" x14ac:dyDescent="0.5">
      <c r="A3" s="991" t="s">
        <v>611</v>
      </c>
      <c r="B3" s="993">
        <f ca="1">NOW()</f>
        <v>44035.613314930553</v>
      </c>
    </row>
    <row r="4" spans="1:20" x14ac:dyDescent="0.5">
      <c r="A4" s="991" t="s">
        <v>612</v>
      </c>
      <c r="B4" s="993">
        <v>43872.436643518522</v>
      </c>
    </row>
    <row r="5" spans="1:20" x14ac:dyDescent="0.5">
      <c r="A5" s="991" t="s">
        <v>613</v>
      </c>
      <c r="B5" s="994">
        <v>43785.551174884262</v>
      </c>
    </row>
    <row r="6" spans="1:20" x14ac:dyDescent="0.5">
      <c r="B6" s="994"/>
      <c r="F6" s="995" t="e" vm="1">
        <v>#VALUE!</v>
      </c>
    </row>
    <row r="7" spans="1:20" x14ac:dyDescent="0.5">
      <c r="A7" s="991" t="s">
        <v>614</v>
      </c>
      <c r="B7" s="991" t="str">
        <f ca="1">CELL("filename")</f>
        <v>https://325capitalcom.sharepoint.com/sites/325Research22/Shared Documents/NXGN/Models/[NextGen Healthcare NXGN US.xlsx]IR and Writeup</v>
      </c>
    </row>
    <row r="9" spans="1:20" x14ac:dyDescent="0.5">
      <c r="A9" s="996" t="s">
        <v>615</v>
      </c>
      <c r="B9" s="997" t="s">
        <v>616</v>
      </c>
      <c r="C9" s="997"/>
      <c r="D9" s="997"/>
      <c r="F9" s="997" t="s">
        <v>617</v>
      </c>
      <c r="G9" s="997"/>
      <c r="H9" s="997"/>
      <c r="I9" s="997"/>
      <c r="K9" s="997" t="s">
        <v>618</v>
      </c>
      <c r="L9" s="997"/>
      <c r="M9" s="997"/>
      <c r="O9"/>
      <c r="P9"/>
      <c r="Q9"/>
      <c r="R9"/>
      <c r="S9"/>
      <c r="T9"/>
    </row>
    <row r="10" spans="1:20" x14ac:dyDescent="0.5">
      <c r="B10" s="998" t="s">
        <v>619</v>
      </c>
      <c r="C10" s="999" cm="1">
        <f t="array" ref="C10">_FV(F6,"price")</f>
        <v>11.12</v>
      </c>
      <c r="D10" s="1000">
        <f ca="1">TODAY()</f>
        <v>44035</v>
      </c>
      <c r="F10" s="998" t="s">
        <v>620</v>
      </c>
      <c r="G10" s="998"/>
      <c r="H10" s="1001">
        <f>C10*M11</f>
        <v>720.30911999999989</v>
      </c>
      <c r="I10" s="1002"/>
      <c r="K10" s="998" t="s">
        <v>621</v>
      </c>
      <c r="M10" s="1003">
        <f>INDEX(MO_CFSum_Dividend,0,_xlfn.XMATCH("Q3-2019",MO_Common_ColumnHeader))/C10</f>
        <v>0</v>
      </c>
      <c r="O10"/>
      <c r="P10"/>
      <c r="Q10"/>
      <c r="R10"/>
      <c r="S10"/>
      <c r="T10"/>
    </row>
    <row r="11" spans="1:20" x14ac:dyDescent="0.5">
      <c r="B11" s="998" t="s">
        <v>622</v>
      </c>
      <c r="C11" s="999">
        <f ca="1">INDEX(MO_VA_StockPrice_High,0,_xlfn.XMATCH("Q3-2019",MO_Common_ColumnHeader))</f>
        <v>20.260000000000002</v>
      </c>
      <c r="D11" s="1004">
        <f ca="1">C10/C11-1</f>
        <v>-0.45113524185587373</v>
      </c>
      <c r="F11" s="998" t="s">
        <v>623</v>
      </c>
      <c r="G11" s="998"/>
      <c r="H11" s="1005">
        <f>INDEX(MO_BSS_Debt,0,_xlfn.XMATCH("Q3-2019",MO_Common_ColumnHeader))</f>
        <v>27</v>
      </c>
      <c r="I11" s="1002"/>
      <c r="K11" s="998" t="s">
        <v>624</v>
      </c>
      <c r="M11" s="1003">
        <f>INDEX(MO_RIS_ShareCount_WAD,0,_xlfn.XMATCH("Q3-2019",MO_Common_ColumnHeader))</f>
        <v>64.775999999999996</v>
      </c>
      <c r="O11"/>
      <c r="P11"/>
      <c r="Q11"/>
      <c r="R11"/>
      <c r="S11"/>
      <c r="T11"/>
    </row>
    <row r="12" spans="1:20" x14ac:dyDescent="0.5">
      <c r="B12" s="998" t="s">
        <v>625</v>
      </c>
      <c r="C12" s="999">
        <f ca="1">INDEX(MO_VA_StockPrice_Low,0,_xlfn.XMATCH("Q3-2019",MO_Common_ColumnHeader))</f>
        <v>14.58</v>
      </c>
      <c r="D12" s="1004">
        <f ca="1">C10/C12-1</f>
        <v>-0.23731138545953367</v>
      </c>
      <c r="F12" s="998"/>
      <c r="G12" s="998"/>
      <c r="H12" s="1006"/>
      <c r="I12" s="1002"/>
      <c r="K12" s="998" t="s">
        <v>626</v>
      </c>
      <c r="M12" s="1007">
        <v>0</v>
      </c>
      <c r="O12"/>
      <c r="P12"/>
      <c r="Q12"/>
      <c r="R12"/>
      <c r="S12"/>
      <c r="T12"/>
    </row>
    <row r="13" spans="1:20" x14ac:dyDescent="0.5">
      <c r="F13" s="998" t="s">
        <v>102</v>
      </c>
      <c r="G13" s="998"/>
      <c r="H13" s="1005">
        <f>INDEX(MO_BSS_Cash,0,_xlfn.XMATCH("Q3-2019",MO_Common_ColumnHeader))</f>
        <v>30.053999999999998</v>
      </c>
      <c r="I13" s="1008" t="s">
        <v>627</v>
      </c>
      <c r="K13" s="998" t="s">
        <v>628</v>
      </c>
      <c r="M13" s="1009">
        <v>0</v>
      </c>
      <c r="O13"/>
      <c r="P13"/>
      <c r="Q13"/>
      <c r="R13"/>
      <c r="S13"/>
      <c r="T13"/>
    </row>
    <row r="14" spans="1:20" x14ac:dyDescent="0.5">
      <c r="B14" s="1010" t="s">
        <v>629</v>
      </c>
      <c r="C14" s="997"/>
      <c r="D14" s="997"/>
      <c r="F14" s="998" t="s">
        <v>630</v>
      </c>
      <c r="G14" s="998"/>
      <c r="H14" s="1011">
        <f>H11-H13</f>
        <v>-3.0539999999999985</v>
      </c>
      <c r="I14" s="1012">
        <f>H14/H18</f>
        <v>-4.4870853045752362E-2</v>
      </c>
    </row>
    <row r="15" spans="1:20" x14ac:dyDescent="0.5">
      <c r="B15" s="991" t="s">
        <v>631</v>
      </c>
      <c r="D15" s="1013">
        <f ca="1">'Earnings Power'!M4</f>
        <v>40.38215787135853</v>
      </c>
      <c r="F15" s="998" t="s">
        <v>632</v>
      </c>
      <c r="G15" s="998"/>
      <c r="H15" s="1014">
        <f>H10+H14</f>
        <v>717.25511999999992</v>
      </c>
      <c r="I15" s="1002"/>
    </row>
    <row r="16" spans="1:20" x14ac:dyDescent="0.5">
      <c r="B16" s="991" t="s">
        <v>633</v>
      </c>
      <c r="D16" s="1013">
        <f>'Earnings Power'!M5</f>
        <v>11.5</v>
      </c>
      <c r="F16" s="998"/>
      <c r="G16" s="998"/>
      <c r="H16" s="1002"/>
      <c r="I16" s="998"/>
    </row>
    <row r="17" spans="1:25" x14ac:dyDescent="0.5">
      <c r="B17" s="991" t="s">
        <v>634</v>
      </c>
      <c r="D17" s="1013">
        <f ca="1">'Earnings Power'!M6</f>
        <v>25.074142893467606</v>
      </c>
      <c r="F17" s="998" t="s">
        <v>635</v>
      </c>
      <c r="G17" s="998"/>
      <c r="H17" s="1005">
        <f>INDEX(MO_RIS_REV,0,_xlfn.XMATCH("Q3-2019",MO_Common_ColumnHeader))+INDEX(MO_RIS_REV,0,_xlfn.XMATCH("Q2-2019",MO_Common_ColumnHeader))+INDEX(MO_RIS_REV,0,_xlfn.XMATCH("Q1-2019",MO_Common_ColumnHeader))+INDEX(MO_RIS_REV,0,_xlfn.XMATCH("Q4-2018",MO_Common_ColumnHeader))</f>
        <v>530.16300000000001</v>
      </c>
    </row>
    <row r="18" spans="1:25" x14ac:dyDescent="0.5">
      <c r="B18" s="991" t="s">
        <v>636</v>
      </c>
      <c r="D18" s="1015">
        <f ca="1">'Earnings Power'!M7</f>
        <v>0.28557771765818152</v>
      </c>
      <c r="F18" s="998" t="s">
        <v>295</v>
      </c>
      <c r="G18" s="998"/>
      <c r="H18" s="1005">
        <f>INDEX(MO_RIS_EBITDA_Adj,0,_xlfn.XMATCH("Q3-2019",MO_Common_ColumnHeader))+INDEX(MO_RIS_EBITDA_Adj,0,_xlfn.XMATCH("Q2-2019",MO_Common_ColumnHeader))+INDEX(MO_RIS_EBITDA_Adj,0,_xlfn.XMATCH("Q1-2019",MO_Common_ColumnHeader))+INDEX(MO_RIS_EBITDA_Adj,0,_xlfn.XMATCH("Q4-2018",MO_Common_ColumnHeader))</f>
        <v>68.062000000000026</v>
      </c>
      <c r="I18" s="1012">
        <f>H15/H18</f>
        <v>10.538260997325962</v>
      </c>
    </row>
    <row r="19" spans="1:25" x14ac:dyDescent="0.5">
      <c r="D19" s="1016"/>
      <c r="F19" s="998" t="s">
        <v>637</v>
      </c>
      <c r="G19" s="998"/>
      <c r="H19" s="1005">
        <f ca="1">INDEX(MO_RIS_EBITDA_Adj,0,_xlfn.XMATCH("FY"&amp;YEAR(B3),MO_Common_ColumnHeader))</f>
        <v>90.373966900000013</v>
      </c>
      <c r="I19" s="1012">
        <f ca="1">IF(H19="NA","NA",H15/H19)</f>
        <v>7.9365235875244045</v>
      </c>
    </row>
    <row r="20" spans="1:25" x14ac:dyDescent="0.5">
      <c r="B20" s="991" t="s">
        <v>638</v>
      </c>
      <c r="D20" s="1017">
        <f ca="1">'Earnings Power'!M9</f>
        <v>12.75926110542656</v>
      </c>
      <c r="F20" s="1018" t="s">
        <v>639</v>
      </c>
      <c r="G20" s="998"/>
      <c r="H20" s="1019"/>
      <c r="I20" s="1012">
        <f ca="1">MEDIAN(H29:L29)</f>
        <v>12.376989849178756</v>
      </c>
    </row>
    <row r="21" spans="1:25" x14ac:dyDescent="0.5">
      <c r="B21" s="991" t="s">
        <v>640</v>
      </c>
      <c r="D21" s="1017">
        <f ca="1">'Earnings Power'!M10</f>
        <v>7.8820908976238639</v>
      </c>
    </row>
    <row r="22" spans="1:25" x14ac:dyDescent="0.5">
      <c r="B22" s="991" t="s">
        <v>641</v>
      </c>
      <c r="D22" s="1017">
        <f ca="1">'Earnings Power'!M11</f>
        <v>6.794703576128688</v>
      </c>
      <c r="K22"/>
      <c r="L22"/>
      <c r="M22"/>
    </row>
    <row r="23" spans="1:25" x14ac:dyDescent="0.5">
      <c r="D23"/>
      <c r="K23"/>
      <c r="L23"/>
      <c r="M23"/>
      <c r="P23" s="1020"/>
      <c r="Q23" s="1020"/>
      <c r="R23" s="1020"/>
      <c r="S23" s="1020"/>
      <c r="T23" s="1020"/>
      <c r="U23" s="1020"/>
      <c r="V23" s="1020"/>
      <c r="W23" s="1020"/>
      <c r="X23" s="1020"/>
      <c r="Y23" s="1020"/>
    </row>
    <row r="24" spans="1:25" x14ac:dyDescent="0.5">
      <c r="L24" s="991" t="s">
        <v>928</v>
      </c>
      <c r="M24">
        <f>(M26/J26)^(1/3)-1</f>
        <v>2.106307077770464E-2</v>
      </c>
      <c r="P24" s="1020"/>
      <c r="Q24" s="1020"/>
      <c r="R24" s="1020"/>
      <c r="S24" s="1020"/>
      <c r="T24" s="1020"/>
      <c r="U24" s="1020"/>
      <c r="V24" s="1020"/>
      <c r="W24" s="1020"/>
      <c r="X24" s="1020"/>
      <c r="Y24" s="1020"/>
    </row>
    <row r="25" spans="1:25" x14ac:dyDescent="0.5">
      <c r="A25" s="996" t="s">
        <v>642</v>
      </c>
      <c r="C25" s="1021" t="s">
        <v>643</v>
      </c>
      <c r="D25" s="1022">
        <f t="shared" ref="D25:V25" si="0">C25+1</f>
        <v>11</v>
      </c>
      <c r="E25" s="1022">
        <f t="shared" si="0"/>
        <v>12</v>
      </c>
      <c r="F25" s="1022">
        <f t="shared" si="0"/>
        <v>13</v>
      </c>
      <c r="G25" s="1022">
        <f t="shared" si="0"/>
        <v>14</v>
      </c>
      <c r="H25" s="1022">
        <f t="shared" si="0"/>
        <v>15</v>
      </c>
      <c r="I25" s="1022">
        <f t="shared" si="0"/>
        <v>16</v>
      </c>
      <c r="J25" s="1022">
        <f t="shared" si="0"/>
        <v>17</v>
      </c>
      <c r="K25" s="1022">
        <f t="shared" si="0"/>
        <v>18</v>
      </c>
      <c r="L25" s="1022">
        <f t="shared" si="0"/>
        <v>19</v>
      </c>
      <c r="M25" s="1022">
        <f t="shared" si="0"/>
        <v>20</v>
      </c>
      <c r="N25" s="1022">
        <f t="shared" si="0"/>
        <v>21</v>
      </c>
      <c r="O25" s="1022">
        <f t="shared" si="0"/>
        <v>22</v>
      </c>
      <c r="P25" s="1022">
        <f t="shared" si="0"/>
        <v>23</v>
      </c>
      <c r="Q25" s="1022">
        <f t="shared" si="0"/>
        <v>24</v>
      </c>
      <c r="R25" s="1022">
        <f t="shared" si="0"/>
        <v>25</v>
      </c>
      <c r="S25" s="1022">
        <f t="shared" si="0"/>
        <v>26</v>
      </c>
      <c r="T25" s="1022">
        <f t="shared" si="0"/>
        <v>27</v>
      </c>
      <c r="U25" s="1022">
        <f t="shared" si="0"/>
        <v>28</v>
      </c>
      <c r="V25" s="1022">
        <f t="shared" si="0"/>
        <v>29</v>
      </c>
      <c r="W25" s="1020"/>
      <c r="X25" s="1020"/>
      <c r="Y25" s="1020"/>
    </row>
    <row r="26" spans="1:25" x14ac:dyDescent="0.5">
      <c r="B26" s="991" t="s">
        <v>644</v>
      </c>
      <c r="C26" s="1020">
        <f t="shared" ref="C26:M26" si="1">INDEX(MO_RIS_REV,0,_xlfn.XMATCH("FY20"&amp;C$25,MO_Common_ColumnHeader))</f>
        <v>291.81100000000004</v>
      </c>
      <c r="D26" s="1020">
        <f t="shared" si="1"/>
        <v>353.363</v>
      </c>
      <c r="E26" s="1020">
        <f t="shared" si="1"/>
        <v>429.83500000000004</v>
      </c>
      <c r="F26" s="1020">
        <f t="shared" si="1"/>
        <v>460.22899999999993</v>
      </c>
      <c r="G26" s="1020">
        <f t="shared" si="1"/>
        <v>444.66700000000003</v>
      </c>
      <c r="H26" s="1020">
        <f t="shared" si="1"/>
        <v>490.22499999999997</v>
      </c>
      <c r="I26" s="1020">
        <f t="shared" si="1"/>
        <v>492.47699999999998</v>
      </c>
      <c r="J26" s="1020">
        <f t="shared" si="1"/>
        <v>509.62400000000002</v>
      </c>
      <c r="K26" s="1020">
        <f t="shared" si="1"/>
        <v>531.01900000000001</v>
      </c>
      <c r="L26" s="1020">
        <f t="shared" si="1"/>
        <v>529.173</v>
      </c>
      <c r="M26" s="1020">
        <f t="shared" si="1"/>
        <v>542.50978999999995</v>
      </c>
      <c r="N26" s="1013">
        <v>0</v>
      </c>
      <c r="O26" s="1013">
        <v>0</v>
      </c>
      <c r="P26" s="1013">
        <v>0</v>
      </c>
      <c r="Q26" s="1013">
        <v>0</v>
      </c>
      <c r="R26" s="1013">
        <v>0</v>
      </c>
      <c r="S26" s="1013">
        <v>0</v>
      </c>
      <c r="T26" s="1013">
        <v>0</v>
      </c>
      <c r="U26" s="1013">
        <v>0</v>
      </c>
      <c r="V26" s="1013">
        <v>0</v>
      </c>
      <c r="W26" s="1020"/>
      <c r="X26" s="1020"/>
      <c r="Y26" s="1020"/>
    </row>
    <row r="27" spans="1:25" x14ac:dyDescent="0.5">
      <c r="B27" s="991" t="s">
        <v>64</v>
      </c>
      <c r="C27" s="1020">
        <f t="shared" ref="C27:L27" si="2">INDEX(MO_RIS_EBITDA_Adj,0,_xlfn.XMATCH("FY20"&amp;C$25,MO_Common_ColumnHeader))</f>
        <v>89.170000000000016</v>
      </c>
      <c r="D27" s="1020">
        <f t="shared" si="2"/>
        <v>112.49000000000001</v>
      </c>
      <c r="E27" s="1020">
        <f t="shared" si="2"/>
        <v>137.47</v>
      </c>
      <c r="F27" s="1020">
        <f t="shared" si="2"/>
        <v>112.98199999999994</v>
      </c>
      <c r="G27" s="1020">
        <f t="shared" si="2"/>
        <v>60.188000000000017</v>
      </c>
      <c r="H27" s="1020">
        <f t="shared" si="2"/>
        <v>68.694999999999965</v>
      </c>
      <c r="I27" s="1020">
        <f t="shared" si="2"/>
        <v>72.632999999999981</v>
      </c>
      <c r="J27" s="1020">
        <f t="shared" si="2"/>
        <v>82.123000000000076</v>
      </c>
      <c r="K27" s="1020">
        <f t="shared" si="2"/>
        <v>59.781999999999954</v>
      </c>
      <c r="L27" s="1020">
        <f t="shared" si="2"/>
        <v>91.493000000000052</v>
      </c>
      <c r="M27" s="1013">
        <v>0</v>
      </c>
      <c r="N27" s="1013">
        <v>0</v>
      </c>
      <c r="O27" s="1013">
        <v>0</v>
      </c>
      <c r="P27" s="1013">
        <v>0</v>
      </c>
      <c r="Q27" s="1013">
        <v>0</v>
      </c>
      <c r="R27" s="1013">
        <v>0</v>
      </c>
      <c r="S27" s="1013">
        <v>0</v>
      </c>
      <c r="T27" s="1013">
        <v>0</v>
      </c>
      <c r="U27" s="1013">
        <v>0</v>
      </c>
      <c r="V27" s="1013">
        <v>0</v>
      </c>
      <c r="W27" s="1020"/>
      <c r="X27" s="1020"/>
      <c r="Y27" s="1020"/>
    </row>
    <row r="28" spans="1:25" x14ac:dyDescent="0.5">
      <c r="B28" s="991" t="s">
        <v>645</v>
      </c>
      <c r="C28" s="1023">
        <f t="shared" ref="C28:V28" si="3">C27/C26</f>
        <v>0.30557449856242569</v>
      </c>
      <c r="D28" s="1023">
        <f t="shared" si="3"/>
        <v>0.31834119588072324</v>
      </c>
      <c r="E28" s="1023">
        <f t="shared" si="3"/>
        <v>0.31982039619854125</v>
      </c>
      <c r="F28" s="1023">
        <f t="shared" si="3"/>
        <v>0.2454908317381129</v>
      </c>
      <c r="G28" s="1023">
        <f t="shared" si="3"/>
        <v>0.1353552208731478</v>
      </c>
      <c r="H28" s="1023">
        <f t="shared" si="3"/>
        <v>0.14012953235759085</v>
      </c>
      <c r="I28" s="1023">
        <f t="shared" si="3"/>
        <v>0.14748506021601004</v>
      </c>
      <c r="J28" s="1023">
        <f t="shared" si="3"/>
        <v>0.16114429461720811</v>
      </c>
      <c r="K28" s="1023">
        <f t="shared" si="3"/>
        <v>0.11257977586489364</v>
      </c>
      <c r="L28" s="1023">
        <f t="shared" si="3"/>
        <v>0.17289808814886634</v>
      </c>
      <c r="M28" s="1023">
        <f t="shared" si="3"/>
        <v>0</v>
      </c>
      <c r="N28" s="1024" t="e">
        <f t="shared" si="3"/>
        <v>#DIV/0!</v>
      </c>
      <c r="O28" s="1023" t="e">
        <f t="shared" si="3"/>
        <v>#DIV/0!</v>
      </c>
      <c r="P28" s="1023" t="e">
        <f t="shared" si="3"/>
        <v>#DIV/0!</v>
      </c>
      <c r="Q28" s="1023" t="e">
        <f t="shared" si="3"/>
        <v>#DIV/0!</v>
      </c>
      <c r="R28" s="1023" t="e">
        <f t="shared" si="3"/>
        <v>#DIV/0!</v>
      </c>
      <c r="S28" s="1023" t="e">
        <f t="shared" si="3"/>
        <v>#DIV/0!</v>
      </c>
      <c r="T28" s="1023" t="e">
        <f t="shared" si="3"/>
        <v>#DIV/0!</v>
      </c>
      <c r="U28" s="1023" t="e">
        <f t="shared" si="3"/>
        <v>#DIV/0!</v>
      </c>
      <c r="V28" s="1023" t="e">
        <f t="shared" si="3"/>
        <v>#DIV/0!</v>
      </c>
      <c r="W28" s="1020"/>
      <c r="X28" s="1020"/>
      <c r="Y28" s="1020"/>
    </row>
    <row r="29" spans="1:25" x14ac:dyDescent="0.5">
      <c r="B29" s="991" t="s">
        <v>646</v>
      </c>
      <c r="C29" s="1020">
        <f t="shared" ref="C29:L29" ca="1" si="4">C30/C27</f>
        <v>17.699798306605359</v>
      </c>
      <c r="D29" s="1020">
        <f t="shared" ca="1" si="4"/>
        <v>15.9772518890568</v>
      </c>
      <c r="E29" s="1020">
        <f t="shared" ca="1" si="4"/>
        <v>16.98887184476613</v>
      </c>
      <c r="F29" s="1020">
        <f t="shared" ca="1" si="4"/>
        <v>11.103721079463993</v>
      </c>
      <c r="G29" s="1020">
        <f t="shared" ca="1" si="4"/>
        <v>18.151243437230008</v>
      </c>
      <c r="H29" s="1020">
        <f t="shared" ca="1" si="4"/>
        <v>12.091142241065585</v>
      </c>
      <c r="I29" s="1020">
        <f t="shared" ca="1" si="4"/>
        <v>13.716678248867598</v>
      </c>
      <c r="J29" s="1020">
        <f t="shared" ca="1" si="4"/>
        <v>9.5721347856264298</v>
      </c>
      <c r="K29" s="1020">
        <f t="shared" ca="1" si="4"/>
        <v>15.888436318624347</v>
      </c>
      <c r="L29" s="1020">
        <f t="shared" ca="1" si="4"/>
        <v>12.376989849178756</v>
      </c>
      <c r="M29" s="1020">
        <f t="shared" ref="M29:V29" ca="1" si="5">$D$20</f>
        <v>12.75926110542656</v>
      </c>
      <c r="N29" s="1025">
        <f t="shared" ca="1" si="5"/>
        <v>12.75926110542656</v>
      </c>
      <c r="O29" s="1020">
        <f t="shared" ca="1" si="5"/>
        <v>12.75926110542656</v>
      </c>
      <c r="P29" s="1020">
        <f t="shared" ca="1" si="5"/>
        <v>12.75926110542656</v>
      </c>
      <c r="Q29" s="1020">
        <f t="shared" ca="1" si="5"/>
        <v>12.75926110542656</v>
      </c>
      <c r="R29" s="1020">
        <f t="shared" ca="1" si="5"/>
        <v>12.75926110542656</v>
      </c>
      <c r="S29" s="1020">
        <f t="shared" ca="1" si="5"/>
        <v>12.75926110542656</v>
      </c>
      <c r="T29" s="1020">
        <f t="shared" ca="1" si="5"/>
        <v>12.75926110542656</v>
      </c>
      <c r="U29" s="1020">
        <f t="shared" ca="1" si="5"/>
        <v>12.75926110542656</v>
      </c>
      <c r="V29" s="1020">
        <f t="shared" ca="1" si="5"/>
        <v>12.75926110542656</v>
      </c>
      <c r="W29" s="1020"/>
      <c r="X29" s="1020"/>
      <c r="Y29" s="1020"/>
    </row>
    <row r="30" spans="1:25" x14ac:dyDescent="0.5">
      <c r="B30" s="991" t="s">
        <v>647</v>
      </c>
      <c r="C30" s="1205">
        <f t="shared" ref="C30:L30" ca="1" si="6">INDEX(MO_VA_EV,0,_xlfn.XMATCH("FY20"&amp;C$25,MO_Common_ColumnHeader))</f>
        <v>1578.291015</v>
      </c>
      <c r="D30" s="1205">
        <f t="shared" ca="1" si="6"/>
        <v>1797.2810649999997</v>
      </c>
      <c r="E30" s="1205">
        <f t="shared" ca="1" si="6"/>
        <v>2335.4602125000001</v>
      </c>
      <c r="F30" s="1205">
        <f t="shared" ca="1" si="6"/>
        <v>1254.5206150000001</v>
      </c>
      <c r="G30" s="1205">
        <f t="shared" ca="1" si="6"/>
        <v>1092.48704</v>
      </c>
      <c r="H30" s="1205">
        <f t="shared" ca="1" si="6"/>
        <v>830.60101624999993</v>
      </c>
      <c r="I30" s="1205">
        <f t="shared" ca="1" si="6"/>
        <v>996.28349125</v>
      </c>
      <c r="J30" s="1205">
        <f t="shared" ca="1" si="6"/>
        <v>786.09242500000005</v>
      </c>
      <c r="K30" s="1205">
        <f t="shared" ca="1" si="6"/>
        <v>949.84249999999997</v>
      </c>
      <c r="L30" s="1205">
        <f t="shared" ca="1" si="6"/>
        <v>1132.4079322709126</v>
      </c>
      <c r="M30" s="1026">
        <f t="shared" ref="M30:V30" ca="1" si="7">M29*M27</f>
        <v>0</v>
      </c>
      <c r="N30" s="1027">
        <f t="shared" ca="1" si="7"/>
        <v>0</v>
      </c>
      <c r="O30" s="1026">
        <f t="shared" ca="1" si="7"/>
        <v>0</v>
      </c>
      <c r="P30" s="1026">
        <f t="shared" ca="1" si="7"/>
        <v>0</v>
      </c>
      <c r="Q30" s="1026">
        <f t="shared" ca="1" si="7"/>
        <v>0</v>
      </c>
      <c r="R30" s="1026">
        <f t="shared" ca="1" si="7"/>
        <v>0</v>
      </c>
      <c r="S30" s="1026">
        <f t="shared" ca="1" si="7"/>
        <v>0</v>
      </c>
      <c r="T30" s="1026">
        <f t="shared" ca="1" si="7"/>
        <v>0</v>
      </c>
      <c r="U30" s="1026">
        <f t="shared" ca="1" si="7"/>
        <v>0</v>
      </c>
      <c r="V30" s="1026">
        <f t="shared" ca="1" si="7"/>
        <v>0</v>
      </c>
      <c r="W30" s="1020"/>
      <c r="X30" s="1020"/>
      <c r="Y30" s="1020"/>
    </row>
    <row r="31" spans="1:25" x14ac:dyDescent="0.5">
      <c r="B31" s="991" t="s">
        <v>648</v>
      </c>
      <c r="C31" s="1020">
        <f t="shared" ref="C31:L31" ca="1" si="8">INDEX(MO_VA_StockPrice,0,_xlfn.XMATCH("FY20"&amp;C$25,MO_Common_ColumnHeader))</f>
        <v>28.998125000000002</v>
      </c>
      <c r="D31" s="1020">
        <f t="shared" ca="1" si="8"/>
        <v>32.883749999999999</v>
      </c>
      <c r="E31" s="1020">
        <f t="shared" ca="1" si="8"/>
        <v>41.912500000000001</v>
      </c>
      <c r="F31" s="1020">
        <f t="shared" ca="1" si="8"/>
        <v>23.0825</v>
      </c>
      <c r="G31" s="1020">
        <f t="shared" ca="1" si="8"/>
        <v>20.059999999999999</v>
      </c>
      <c r="H31" s="1020">
        <f t="shared" ca="1" si="8"/>
        <v>15.796250000000001</v>
      </c>
      <c r="I31" s="1020">
        <f t="shared" ca="1" si="8"/>
        <v>15.151249999999999</v>
      </c>
      <c r="J31" s="1020">
        <f t="shared" ca="1" si="8"/>
        <v>13.0425</v>
      </c>
      <c r="K31" s="1020">
        <f t="shared" ca="1" si="8"/>
        <v>14.84375</v>
      </c>
      <c r="L31" s="1020">
        <f t="shared" ca="1" si="8"/>
        <v>17.8713147410358</v>
      </c>
      <c r="M31"/>
      <c r="P31" s="1020"/>
      <c r="Q31" s="1020"/>
      <c r="R31" s="1020"/>
      <c r="S31" s="1020"/>
      <c r="T31" s="1020"/>
      <c r="U31" s="1020"/>
      <c r="V31" s="1020"/>
      <c r="W31" s="1020"/>
      <c r="X31" s="1020"/>
      <c r="Y31" s="1020"/>
    </row>
    <row r="32" spans="1:25" x14ac:dyDescent="0.5">
      <c r="D32"/>
      <c r="K32"/>
      <c r="L32"/>
      <c r="M32"/>
      <c r="P32" s="1020"/>
      <c r="Q32" s="1020"/>
      <c r="R32" s="1020"/>
      <c r="S32" s="1020"/>
      <c r="T32" s="1020"/>
      <c r="U32" s="1020"/>
      <c r="V32" s="1020"/>
      <c r="W32" s="1020"/>
      <c r="X32" s="1020"/>
      <c r="Y32" s="1020"/>
    </row>
    <row r="33" spans="1:36" x14ac:dyDescent="0.5">
      <c r="D33"/>
      <c r="K33"/>
      <c r="L33"/>
      <c r="M33"/>
      <c r="P33" s="1020"/>
      <c r="Q33" s="1020"/>
      <c r="R33" s="1020"/>
      <c r="S33" s="1020"/>
      <c r="T33" s="1020"/>
      <c r="U33" s="1020"/>
      <c r="V33" s="1020"/>
      <c r="W33" s="1020"/>
      <c r="X33" s="1020"/>
      <c r="Y33" s="1020"/>
    </row>
    <row r="34" spans="1:36" x14ac:dyDescent="0.5">
      <c r="A34" s="996" t="s">
        <v>649</v>
      </c>
      <c r="C34" s="997" t="s">
        <v>650</v>
      </c>
      <c r="D34" s="997" t="s">
        <v>651</v>
      </c>
      <c r="E34" s="1028" t="s">
        <v>652</v>
      </c>
      <c r="J34" s="1029"/>
      <c r="L34" s="1030" t="s">
        <v>653</v>
      </c>
      <c r="M34"/>
      <c r="P34" s="1020"/>
      <c r="Q34" s="1020"/>
      <c r="R34" s="1020"/>
      <c r="S34" s="1020"/>
      <c r="T34" s="1020"/>
      <c r="U34" s="1020"/>
      <c r="V34" s="1020"/>
      <c r="W34" s="1020"/>
      <c r="X34" s="1020"/>
      <c r="Y34" s="1020"/>
    </row>
    <row r="35" spans="1:36" x14ac:dyDescent="0.5">
      <c r="B35" s="991" t="str">
        <f>B26</f>
        <v>Revenues</v>
      </c>
      <c r="C35" s="1031">
        <f>(L26/C26)^(1/10)-1</f>
        <v>6.1327950790719621E-2</v>
      </c>
      <c r="D35" s="1031">
        <f>(L26/G26)^(1/5)-1</f>
        <v>3.5410477404430596E-2</v>
      </c>
      <c r="E35" s="1031">
        <f>(N26/K26)^(1/2)-1</f>
        <v>-1</v>
      </c>
      <c r="G35" s="991" t="s">
        <v>654</v>
      </c>
      <c r="H35" s="991" t="s">
        <v>655</v>
      </c>
      <c r="I35" s="1032">
        <f ca="1">(L27-G27)*G29</f>
        <v>568.22467580248599</v>
      </c>
      <c r="J35" s="1031">
        <f ca="1">I35/I37</f>
        <v>14.233766919496151</v>
      </c>
      <c r="L35" t="s">
        <v>656</v>
      </c>
      <c r="M35" s="1033"/>
      <c r="N35" s="1034"/>
      <c r="P35" s="1020"/>
      <c r="Q35" s="1020"/>
      <c r="R35" s="1020"/>
      <c r="S35" s="1020"/>
      <c r="T35" s="1020"/>
      <c r="U35" s="1020"/>
      <c r="V35" s="1020"/>
      <c r="W35" s="1020"/>
      <c r="X35" s="1020"/>
      <c r="Y35" s="1020"/>
    </row>
    <row r="36" spans="1:36" x14ac:dyDescent="0.5">
      <c r="B36" s="991" t="str">
        <f>B27</f>
        <v>EBITDA</v>
      </c>
      <c r="C36" s="1031">
        <f>(L27/C27)^(1/10)-1</f>
        <v>2.5750905122532419E-3</v>
      </c>
      <c r="D36" s="1031">
        <f>(L27/G27)^(1/5)-1</f>
        <v>8.736560414158312E-2</v>
      </c>
      <c r="E36" s="1031">
        <f>(N27/K27)^(1/2)-1</f>
        <v>-1</v>
      </c>
      <c r="H36" s="991" t="s">
        <v>657</v>
      </c>
      <c r="I36" s="1035">
        <f ca="1">(L29-G29)*L27</f>
        <v>-528.30378353157346</v>
      </c>
      <c r="J36" s="1036">
        <f ca="1">I36/I37</f>
        <v>-13.233766919496153</v>
      </c>
      <c r="L36" t="s">
        <v>64</v>
      </c>
      <c r="M36" s="1033"/>
      <c r="N36" s="1034"/>
      <c r="P36" s="1020"/>
      <c r="Q36" s="1020"/>
      <c r="R36" s="1020"/>
      <c r="S36" s="1020"/>
      <c r="T36" s="1020"/>
      <c r="U36" s="1020"/>
      <c r="V36" s="1020"/>
      <c r="W36" s="1020"/>
      <c r="X36" s="1020"/>
      <c r="Y36" s="1020"/>
    </row>
    <row r="37" spans="1:36" x14ac:dyDescent="0.5">
      <c r="B37" s="1037" t="str">
        <f>B28</f>
        <v>%</v>
      </c>
      <c r="C37" s="1038">
        <f>(L28-C28)</f>
        <v>-0.13267641041355935</v>
      </c>
      <c r="D37" s="1038">
        <f>(L28-G28)</f>
        <v>3.7542867275718539E-2</v>
      </c>
      <c r="E37" s="1038" t="e">
        <f>(N28-L28)</f>
        <v>#DIV/0!</v>
      </c>
      <c r="H37" s="991" t="s">
        <v>658</v>
      </c>
      <c r="I37" s="1039">
        <f ca="1">L30-G30</f>
        <v>39.920892270912645</v>
      </c>
      <c r="J37" s="1038">
        <f ca="1">SUM(J35:J36)</f>
        <v>0.99999999999999822</v>
      </c>
      <c r="L37"/>
      <c r="M37"/>
      <c r="P37" s="1020"/>
      <c r="Q37" s="1020"/>
      <c r="R37" s="1020"/>
      <c r="S37" s="1020"/>
      <c r="T37" s="1020"/>
      <c r="U37" s="1020"/>
      <c r="V37" s="1020"/>
      <c r="W37" s="1020"/>
      <c r="X37" s="1020"/>
      <c r="Y37" s="1020"/>
    </row>
    <row r="38" spans="1:36" x14ac:dyDescent="0.5">
      <c r="B38" s="1037" t="str">
        <f>B29</f>
        <v>TEV/EBITDA</v>
      </c>
      <c r="C38" s="1040">
        <f ca="1">L29-C29</f>
        <v>-5.3228084574266035</v>
      </c>
      <c r="D38" s="1039">
        <f ca="1">L29-G29</f>
        <v>-5.774253588051252</v>
      </c>
      <c r="K38"/>
      <c r="L38"/>
      <c r="M38"/>
      <c r="P38" s="1020"/>
      <c r="Q38" s="1020"/>
      <c r="R38" s="1020"/>
      <c r="S38" s="1020"/>
      <c r="T38" s="1020"/>
      <c r="U38" s="1020"/>
      <c r="V38" s="1020"/>
      <c r="W38" s="1020"/>
      <c r="X38" s="1020"/>
      <c r="Y38" s="1020"/>
    </row>
    <row r="39" spans="1:36" x14ac:dyDescent="0.5">
      <c r="B39" s="991" t="str">
        <f>B30</f>
        <v>TEV</v>
      </c>
      <c r="C39" s="1031">
        <f ca="1">(L30/C30)^(1/10)-1</f>
        <v>-3.2654575354799098E-2</v>
      </c>
      <c r="D39" s="1031">
        <f ca="1">(L30/G30)^(1/5)-1</f>
        <v>7.2037216320892661E-3</v>
      </c>
      <c r="E39" s="1031"/>
      <c r="K39"/>
      <c r="L39"/>
      <c r="M39"/>
      <c r="P39" s="1020"/>
      <c r="Q39" s="1020"/>
      <c r="R39" s="1020"/>
      <c r="S39" s="1020"/>
      <c r="T39" s="1020"/>
      <c r="U39" s="1020"/>
      <c r="V39" s="1020"/>
      <c r="W39" s="1020"/>
      <c r="X39" s="1020"/>
      <c r="Y39" s="1020"/>
    </row>
    <row r="40" spans="1:36" x14ac:dyDescent="0.5">
      <c r="K40"/>
      <c r="L40"/>
      <c r="M40"/>
      <c r="P40" s="1020"/>
      <c r="Q40" s="1020"/>
      <c r="R40" s="1020"/>
      <c r="S40" s="1020"/>
      <c r="T40" s="1020"/>
      <c r="U40" s="1020"/>
      <c r="V40" s="1020"/>
      <c r="W40" s="1020"/>
      <c r="X40" s="1020"/>
      <c r="Y40" s="1020"/>
    </row>
    <row r="41" spans="1:36" x14ac:dyDescent="0.5">
      <c r="AJ41"/>
    </row>
    <row r="42" spans="1:36" x14ac:dyDescent="0.5">
      <c r="AJ42"/>
    </row>
    <row r="43" spans="1:36" x14ac:dyDescent="0.5">
      <c r="AJ43"/>
    </row>
    <row r="44" spans="1:36" x14ac:dyDescent="0.5">
      <c r="AJ44"/>
    </row>
    <row r="45" spans="1:36" x14ac:dyDescent="0.5">
      <c r="AJ45" s="1041"/>
    </row>
    <row r="49" spans="15:37" x14ac:dyDescent="0.5">
      <c r="O49"/>
      <c r="P49"/>
      <c r="Q49"/>
      <c r="R49"/>
      <c r="S49"/>
      <c r="T49"/>
      <c r="U49"/>
      <c r="V49"/>
      <c r="W49"/>
      <c r="X49"/>
      <c r="Y49"/>
      <c r="Z49"/>
      <c r="AA49"/>
      <c r="AB49"/>
      <c r="AC49"/>
      <c r="AD49"/>
      <c r="AE49"/>
      <c r="AF49"/>
      <c r="AG49"/>
      <c r="AH49"/>
      <c r="AI49"/>
      <c r="AJ49"/>
      <c r="AK49"/>
    </row>
    <row r="50" spans="15:37" x14ac:dyDescent="0.5">
      <c r="O50"/>
      <c r="P50"/>
      <c r="Q50"/>
      <c r="R50"/>
      <c r="S50"/>
      <c r="T50"/>
      <c r="U50"/>
      <c r="V50"/>
      <c r="W50"/>
      <c r="X50"/>
      <c r="Y50"/>
      <c r="Z50"/>
      <c r="AA50"/>
      <c r="AB50"/>
      <c r="AC50"/>
      <c r="AD50"/>
      <c r="AE50"/>
      <c r="AF50"/>
      <c r="AG50"/>
      <c r="AH50"/>
      <c r="AI50"/>
      <c r="AJ50"/>
      <c r="AK50"/>
    </row>
    <row r="51" spans="15:37" x14ac:dyDescent="0.5">
      <c r="O51"/>
      <c r="P51"/>
      <c r="Q51"/>
      <c r="R51"/>
      <c r="S51"/>
      <c r="T51"/>
      <c r="U51"/>
      <c r="V51"/>
      <c r="W51"/>
      <c r="X51"/>
      <c r="Y51"/>
      <c r="Z51"/>
      <c r="AA51"/>
      <c r="AB51"/>
      <c r="AC51"/>
      <c r="AD51"/>
      <c r="AE51"/>
      <c r="AF51"/>
      <c r="AG51"/>
      <c r="AH51"/>
      <c r="AI51"/>
      <c r="AJ51"/>
      <c r="AK51"/>
    </row>
    <row r="52" spans="15:37" x14ac:dyDescent="0.5">
      <c r="O52"/>
      <c r="P52"/>
      <c r="Q52"/>
      <c r="R52"/>
      <c r="S52"/>
      <c r="T52"/>
      <c r="U52"/>
      <c r="V52"/>
      <c r="W52"/>
      <c r="X52"/>
      <c r="Y52"/>
      <c r="Z52"/>
      <c r="AA52"/>
      <c r="AB52"/>
      <c r="AC52"/>
      <c r="AD52"/>
      <c r="AE52"/>
      <c r="AF52"/>
      <c r="AG52"/>
      <c r="AH52"/>
      <c r="AI52"/>
      <c r="AJ52"/>
      <c r="AK52"/>
    </row>
    <row r="53" spans="15:37" x14ac:dyDescent="0.5">
      <c r="O53"/>
      <c r="P53"/>
      <c r="Q53"/>
      <c r="R53"/>
      <c r="S53"/>
      <c r="T53"/>
      <c r="U53"/>
      <c r="V53"/>
      <c r="W53"/>
      <c r="X53"/>
      <c r="Y53"/>
      <c r="Z53"/>
      <c r="AA53"/>
      <c r="AB53"/>
      <c r="AC53"/>
      <c r="AD53"/>
      <c r="AE53"/>
      <c r="AF53"/>
      <c r="AG53"/>
      <c r="AH53"/>
      <c r="AI53"/>
      <c r="AJ53"/>
      <c r="AK53"/>
    </row>
    <row r="54" spans="15:37" x14ac:dyDescent="0.5">
      <c r="O54"/>
      <c r="P54"/>
      <c r="Q54"/>
      <c r="R54"/>
      <c r="S54"/>
      <c r="T54"/>
      <c r="U54"/>
      <c r="V54"/>
      <c r="W54"/>
      <c r="X54"/>
      <c r="Y54"/>
      <c r="Z54"/>
      <c r="AA54"/>
      <c r="AB54"/>
      <c r="AC54"/>
      <c r="AD54"/>
      <c r="AE54"/>
      <c r="AF54"/>
      <c r="AG54"/>
      <c r="AH54"/>
      <c r="AI54"/>
      <c r="AJ54"/>
      <c r="AK54"/>
    </row>
    <row r="55" spans="15:37" x14ac:dyDescent="0.5">
      <c r="O55"/>
      <c r="P55"/>
      <c r="Q55"/>
      <c r="R55"/>
      <c r="S55"/>
      <c r="T55"/>
      <c r="U55"/>
      <c r="V55"/>
      <c r="W55"/>
      <c r="X55"/>
      <c r="Y55"/>
      <c r="Z55"/>
      <c r="AA55"/>
      <c r="AB55"/>
      <c r="AC55"/>
      <c r="AD55"/>
      <c r="AE55"/>
      <c r="AF55"/>
      <c r="AG55"/>
      <c r="AH55"/>
      <c r="AI55"/>
      <c r="AJ55"/>
      <c r="AK55"/>
    </row>
    <row r="56" spans="15:37" x14ac:dyDescent="0.5">
      <c r="O56"/>
      <c r="P56"/>
      <c r="Q56"/>
      <c r="R56"/>
      <c r="S56"/>
      <c r="T56"/>
      <c r="U56"/>
      <c r="V56"/>
      <c r="W56"/>
      <c r="X56"/>
      <c r="Y56"/>
      <c r="Z56"/>
      <c r="AA56"/>
      <c r="AB56"/>
      <c r="AC56"/>
      <c r="AD56"/>
      <c r="AE56"/>
      <c r="AF56"/>
      <c r="AG56"/>
      <c r="AH56"/>
      <c r="AI56"/>
      <c r="AJ56"/>
      <c r="AK56"/>
    </row>
    <row r="57" spans="15:37" x14ac:dyDescent="0.5">
      <c r="O57"/>
      <c r="P57"/>
      <c r="Q57"/>
      <c r="R57"/>
      <c r="S57"/>
      <c r="T57"/>
      <c r="U57"/>
      <c r="V57"/>
      <c r="W57"/>
      <c r="X57"/>
      <c r="Y57"/>
      <c r="Z57"/>
      <c r="AA57"/>
      <c r="AB57"/>
      <c r="AC57"/>
      <c r="AD57"/>
      <c r="AE57"/>
      <c r="AF57"/>
      <c r="AG57"/>
      <c r="AH57"/>
      <c r="AI57"/>
      <c r="AJ57"/>
      <c r="AK57"/>
    </row>
    <row r="58" spans="15:37" x14ac:dyDescent="0.5">
      <c r="O58"/>
      <c r="P58"/>
      <c r="Q58"/>
      <c r="R58"/>
      <c r="S58"/>
      <c r="T58"/>
      <c r="U58"/>
      <c r="V58"/>
      <c r="W58"/>
      <c r="X58"/>
      <c r="Y58"/>
      <c r="Z58"/>
      <c r="AA58"/>
      <c r="AB58"/>
      <c r="AC58"/>
      <c r="AD58"/>
      <c r="AE58"/>
      <c r="AF58"/>
      <c r="AG58"/>
      <c r="AH58"/>
      <c r="AI58"/>
      <c r="AJ58"/>
      <c r="AK58"/>
    </row>
    <row r="59" spans="15:37" x14ac:dyDescent="0.5">
      <c r="O59"/>
      <c r="P59"/>
      <c r="Q59"/>
      <c r="R59"/>
      <c r="S59"/>
      <c r="T59"/>
      <c r="U59"/>
      <c r="V59"/>
      <c r="W59"/>
      <c r="X59"/>
      <c r="Y59"/>
      <c r="Z59"/>
      <c r="AA59"/>
      <c r="AB59"/>
      <c r="AC59"/>
      <c r="AD59"/>
      <c r="AE59"/>
      <c r="AF59"/>
      <c r="AG59"/>
      <c r="AH59"/>
      <c r="AI59"/>
      <c r="AJ59"/>
      <c r="AK59"/>
    </row>
    <row r="60" spans="15:37" x14ac:dyDescent="0.5">
      <c r="O60"/>
      <c r="P60"/>
      <c r="Q60"/>
      <c r="R60"/>
      <c r="S60"/>
      <c r="T60"/>
      <c r="U60"/>
      <c r="V60"/>
      <c r="W60"/>
      <c r="X60"/>
      <c r="Y60"/>
      <c r="Z60"/>
      <c r="AA60"/>
      <c r="AB60"/>
      <c r="AC60"/>
      <c r="AD60"/>
      <c r="AE60"/>
      <c r="AF60"/>
      <c r="AG60"/>
      <c r="AH60"/>
      <c r="AI60"/>
      <c r="AJ60"/>
      <c r="AK60"/>
    </row>
    <row r="61" spans="15:37" x14ac:dyDescent="0.5">
      <c r="O61"/>
      <c r="P61"/>
      <c r="Q61"/>
      <c r="R61"/>
      <c r="S61"/>
      <c r="T61"/>
      <c r="U61"/>
      <c r="V61"/>
      <c r="W61"/>
      <c r="X61"/>
      <c r="Y61"/>
      <c r="Z61"/>
      <c r="AA61"/>
      <c r="AB61"/>
      <c r="AC61"/>
      <c r="AD61"/>
      <c r="AE61"/>
      <c r="AF61"/>
      <c r="AG61"/>
      <c r="AH61"/>
      <c r="AI61"/>
      <c r="AJ61"/>
      <c r="AK61"/>
    </row>
    <row r="62" spans="15:37" x14ac:dyDescent="0.5">
      <c r="O62"/>
      <c r="P62"/>
      <c r="Q62"/>
      <c r="R62"/>
      <c r="S62"/>
      <c r="T62"/>
      <c r="U62"/>
      <c r="V62"/>
      <c r="W62"/>
      <c r="X62"/>
      <c r="Y62"/>
      <c r="Z62"/>
      <c r="AA62"/>
      <c r="AB62"/>
      <c r="AC62"/>
      <c r="AD62"/>
      <c r="AE62"/>
      <c r="AF62"/>
      <c r="AG62"/>
      <c r="AH62"/>
      <c r="AI62"/>
      <c r="AJ62"/>
      <c r="AK62"/>
    </row>
    <row r="63" spans="15:37" x14ac:dyDescent="0.5">
      <c r="O63"/>
      <c r="P63"/>
      <c r="Q63"/>
      <c r="R63"/>
      <c r="S63"/>
      <c r="T63"/>
      <c r="U63"/>
      <c r="V63"/>
      <c r="W63"/>
      <c r="X63"/>
      <c r="Y63"/>
      <c r="Z63"/>
      <c r="AA63"/>
      <c r="AB63"/>
      <c r="AC63"/>
      <c r="AD63"/>
      <c r="AE63"/>
      <c r="AF63"/>
      <c r="AG63"/>
      <c r="AH63"/>
      <c r="AI63"/>
      <c r="AJ63"/>
      <c r="AK63"/>
    </row>
    <row r="64" spans="15:37" x14ac:dyDescent="0.5">
      <c r="O64"/>
      <c r="P64"/>
      <c r="Q64"/>
      <c r="R64"/>
      <c r="S64"/>
      <c r="T64"/>
      <c r="U64"/>
      <c r="V64"/>
      <c r="W64"/>
      <c r="X64"/>
      <c r="Y64"/>
      <c r="Z64"/>
      <c r="AA64"/>
      <c r="AB64"/>
      <c r="AC64"/>
      <c r="AD64"/>
      <c r="AE64"/>
      <c r="AF64"/>
      <c r="AG64"/>
      <c r="AH64"/>
      <c r="AI64"/>
      <c r="AJ64"/>
      <c r="AK64"/>
    </row>
    <row r="65" spans="1:37" x14ac:dyDescent="0.5">
      <c r="O65"/>
      <c r="P65"/>
      <c r="Q65"/>
      <c r="R65"/>
      <c r="S65"/>
      <c r="T65"/>
      <c r="U65"/>
      <c r="V65"/>
      <c r="W65"/>
      <c r="X65"/>
      <c r="Y65"/>
      <c r="Z65"/>
      <c r="AA65"/>
      <c r="AB65"/>
      <c r="AC65"/>
      <c r="AD65"/>
      <c r="AE65"/>
      <c r="AF65"/>
      <c r="AG65"/>
      <c r="AH65"/>
      <c r="AI65"/>
      <c r="AJ65"/>
      <c r="AK65"/>
    </row>
    <row r="66" spans="1:37" x14ac:dyDescent="0.5">
      <c r="O66"/>
      <c r="P66"/>
      <c r="Q66"/>
      <c r="R66"/>
      <c r="S66"/>
      <c r="T66"/>
      <c r="U66"/>
      <c r="V66"/>
      <c r="W66"/>
      <c r="X66"/>
      <c r="Y66"/>
      <c r="Z66"/>
      <c r="AA66"/>
      <c r="AB66"/>
      <c r="AC66"/>
      <c r="AD66"/>
      <c r="AE66"/>
      <c r="AF66"/>
      <c r="AG66"/>
      <c r="AH66"/>
      <c r="AI66"/>
      <c r="AJ66"/>
      <c r="AK66"/>
    </row>
    <row r="67" spans="1:37" x14ac:dyDescent="0.5">
      <c r="O67"/>
      <c r="P67"/>
      <c r="Q67"/>
      <c r="R67"/>
      <c r="S67"/>
      <c r="T67"/>
      <c r="U67"/>
      <c r="V67"/>
      <c r="W67"/>
      <c r="X67"/>
      <c r="Y67"/>
      <c r="Z67"/>
      <c r="AA67"/>
      <c r="AB67"/>
      <c r="AC67"/>
      <c r="AD67"/>
      <c r="AE67"/>
      <c r="AF67"/>
      <c r="AG67"/>
      <c r="AH67"/>
      <c r="AI67"/>
      <c r="AJ67"/>
      <c r="AK67"/>
    </row>
    <row r="68" spans="1:37" x14ac:dyDescent="0.5">
      <c r="A68" s="996" t="s">
        <v>659</v>
      </c>
      <c r="B68" s="997" t="s">
        <v>660</v>
      </c>
      <c r="C68" s="997"/>
      <c r="D68" s="997"/>
      <c r="E68" s="997"/>
      <c r="G68" s="997" t="s">
        <v>661</v>
      </c>
      <c r="H68" s="997"/>
      <c r="I68" s="997"/>
      <c r="J68" s="997"/>
      <c r="O68"/>
      <c r="P68"/>
      <c r="Q68"/>
      <c r="R68"/>
      <c r="S68"/>
      <c r="T68"/>
      <c r="U68"/>
      <c r="V68"/>
      <c r="W68"/>
      <c r="X68"/>
      <c r="Y68"/>
      <c r="Z68"/>
      <c r="AA68"/>
      <c r="AB68"/>
      <c r="AC68"/>
      <c r="AD68"/>
      <c r="AE68"/>
      <c r="AF68"/>
      <c r="AG68"/>
      <c r="AH68"/>
      <c r="AI68"/>
      <c r="AJ68"/>
      <c r="AK68"/>
    </row>
    <row r="69" spans="1:37" x14ac:dyDescent="0.5">
      <c r="A69" s="996" t="s">
        <v>662</v>
      </c>
      <c r="B69" s="991" t="s">
        <v>663</v>
      </c>
      <c r="E69" s="991" t="s">
        <v>645</v>
      </c>
      <c r="G69" s="991" t="s">
        <v>663</v>
      </c>
      <c r="H69" s="991" t="s">
        <v>664</v>
      </c>
      <c r="I69" s="991" t="s">
        <v>665</v>
      </c>
      <c r="J69" s="991" t="s">
        <v>666</v>
      </c>
      <c r="O69"/>
      <c r="P69"/>
      <c r="Q69"/>
      <c r="R69"/>
      <c r="S69"/>
      <c r="T69"/>
      <c r="U69"/>
      <c r="V69"/>
      <c r="W69"/>
      <c r="X69"/>
      <c r="Y69"/>
      <c r="Z69"/>
      <c r="AA69"/>
      <c r="AB69"/>
      <c r="AC69"/>
      <c r="AD69"/>
      <c r="AE69"/>
      <c r="AF69"/>
      <c r="AG69"/>
      <c r="AH69"/>
      <c r="AI69"/>
      <c r="AJ69"/>
      <c r="AK69"/>
    </row>
    <row r="70" spans="1:37" x14ac:dyDescent="0.5">
      <c r="B70" s="1200" t="s">
        <v>891</v>
      </c>
      <c r="C70" s="1200"/>
      <c r="D70" s="1201"/>
      <c r="E70" s="1202" t="s">
        <v>892</v>
      </c>
      <c r="O70"/>
      <c r="P70"/>
      <c r="Q70"/>
      <c r="R70"/>
      <c r="S70"/>
      <c r="T70"/>
      <c r="U70"/>
      <c r="V70"/>
      <c r="W70"/>
      <c r="X70"/>
      <c r="Y70"/>
      <c r="Z70"/>
      <c r="AA70"/>
      <c r="AB70"/>
      <c r="AC70"/>
      <c r="AD70"/>
      <c r="AE70"/>
      <c r="AF70"/>
      <c r="AG70"/>
      <c r="AH70"/>
      <c r="AI70"/>
      <c r="AJ70"/>
      <c r="AK70"/>
    </row>
    <row r="71" spans="1:37" x14ac:dyDescent="0.5">
      <c r="B71" s="1200" t="s">
        <v>667</v>
      </c>
      <c r="C71" s="1200"/>
      <c r="D71" s="1201"/>
      <c r="E71" s="1202" t="s">
        <v>893</v>
      </c>
      <c r="O71"/>
      <c r="P71"/>
      <c r="Q71"/>
      <c r="R71"/>
      <c r="S71"/>
      <c r="T71"/>
      <c r="U71"/>
      <c r="V71"/>
      <c r="W71"/>
      <c r="X71"/>
      <c r="Y71"/>
      <c r="Z71"/>
      <c r="AA71"/>
      <c r="AB71"/>
      <c r="AC71"/>
      <c r="AD71"/>
      <c r="AE71"/>
      <c r="AF71"/>
      <c r="AG71"/>
      <c r="AH71"/>
      <c r="AI71"/>
      <c r="AJ71"/>
      <c r="AK71"/>
    </row>
    <row r="72" spans="1:37" x14ac:dyDescent="0.5">
      <c r="B72" s="1200" t="s">
        <v>668</v>
      </c>
      <c r="C72" s="1200"/>
      <c r="D72" s="1201"/>
      <c r="E72" s="1202" t="s">
        <v>894</v>
      </c>
      <c r="O72"/>
      <c r="P72"/>
      <c r="Q72"/>
      <c r="R72"/>
      <c r="S72"/>
      <c r="T72"/>
      <c r="U72"/>
      <c r="V72"/>
      <c r="W72"/>
      <c r="X72"/>
      <c r="Y72"/>
      <c r="Z72"/>
      <c r="AA72"/>
      <c r="AB72"/>
      <c r="AC72"/>
      <c r="AD72"/>
      <c r="AE72"/>
      <c r="AF72"/>
      <c r="AG72"/>
      <c r="AH72"/>
      <c r="AI72"/>
      <c r="AJ72"/>
      <c r="AK72"/>
    </row>
    <row r="73" spans="1:37" x14ac:dyDescent="0.5">
      <c r="B73" s="1200" t="s">
        <v>670</v>
      </c>
      <c r="C73" s="1200"/>
      <c r="D73" s="1201"/>
      <c r="E73" s="1202" t="s">
        <v>895</v>
      </c>
      <c r="O73"/>
      <c r="P73"/>
      <c r="Q73"/>
      <c r="R73"/>
      <c r="S73"/>
      <c r="T73"/>
      <c r="U73"/>
      <c r="V73"/>
      <c r="W73"/>
      <c r="X73"/>
      <c r="Y73"/>
      <c r="Z73"/>
      <c r="AA73"/>
      <c r="AB73"/>
      <c r="AC73"/>
      <c r="AD73"/>
      <c r="AE73"/>
      <c r="AF73"/>
      <c r="AG73"/>
      <c r="AH73"/>
      <c r="AI73"/>
      <c r="AJ73"/>
      <c r="AK73"/>
    </row>
    <row r="74" spans="1:37" x14ac:dyDescent="0.5">
      <c r="B74" s="1200" t="s">
        <v>896</v>
      </c>
      <c r="C74" s="1200"/>
      <c r="D74" s="1201"/>
      <c r="E74" s="1202" t="s">
        <v>897</v>
      </c>
      <c r="O74"/>
      <c r="P74"/>
      <c r="Q74"/>
      <c r="R74"/>
      <c r="S74"/>
      <c r="T74"/>
      <c r="U74"/>
      <c r="V74"/>
      <c r="W74"/>
      <c r="X74"/>
      <c r="Y74"/>
      <c r="Z74"/>
      <c r="AA74"/>
      <c r="AB74"/>
      <c r="AC74"/>
      <c r="AD74"/>
      <c r="AE74"/>
      <c r="AF74"/>
      <c r="AG74"/>
      <c r="AH74"/>
      <c r="AI74"/>
      <c r="AJ74"/>
      <c r="AK74"/>
    </row>
    <row r="75" spans="1:37" x14ac:dyDescent="0.5">
      <c r="B75" s="1200" t="s">
        <v>898</v>
      </c>
      <c r="C75" s="1200"/>
      <c r="D75" s="1201"/>
      <c r="E75" s="1202" t="s">
        <v>899</v>
      </c>
      <c r="O75"/>
      <c r="P75"/>
      <c r="Q75"/>
      <c r="R75"/>
      <c r="S75"/>
      <c r="T75"/>
      <c r="U75"/>
      <c r="V75"/>
      <c r="W75"/>
      <c r="X75"/>
      <c r="Y75"/>
      <c r="Z75"/>
      <c r="AA75"/>
      <c r="AB75"/>
      <c r="AC75"/>
      <c r="AD75"/>
      <c r="AE75"/>
      <c r="AF75"/>
      <c r="AG75"/>
      <c r="AH75"/>
      <c r="AI75"/>
      <c r="AJ75"/>
      <c r="AK75"/>
    </row>
    <row r="76" spans="1:37" x14ac:dyDescent="0.5">
      <c r="B76" s="1200" t="s">
        <v>669</v>
      </c>
      <c r="C76" s="1200"/>
      <c r="D76" s="1201"/>
      <c r="E76" s="1202" t="s">
        <v>900</v>
      </c>
      <c r="O76"/>
      <c r="P76"/>
      <c r="Q76"/>
      <c r="R76"/>
      <c r="S76"/>
      <c r="T76"/>
      <c r="U76"/>
      <c r="V76"/>
      <c r="W76"/>
      <c r="X76"/>
      <c r="Y76"/>
      <c r="Z76"/>
      <c r="AA76"/>
      <c r="AB76"/>
      <c r="AC76"/>
      <c r="AD76"/>
      <c r="AE76"/>
      <c r="AF76"/>
      <c r="AG76"/>
      <c r="AH76"/>
      <c r="AI76"/>
      <c r="AJ76"/>
      <c r="AK76"/>
    </row>
    <row r="77" spans="1:37" x14ac:dyDescent="0.5">
      <c r="B77" s="1200" t="s">
        <v>901</v>
      </c>
      <c r="C77" s="1200"/>
      <c r="D77" s="1201"/>
      <c r="E77" s="1202" t="s">
        <v>902</v>
      </c>
      <c r="O77"/>
      <c r="P77"/>
      <c r="Q77"/>
      <c r="R77"/>
      <c r="S77"/>
      <c r="T77"/>
      <c r="U77"/>
      <c r="V77"/>
      <c r="W77"/>
      <c r="X77"/>
      <c r="Y77"/>
      <c r="Z77"/>
      <c r="AA77"/>
      <c r="AB77"/>
      <c r="AC77"/>
      <c r="AD77"/>
      <c r="AE77"/>
      <c r="AF77"/>
      <c r="AG77"/>
      <c r="AH77"/>
      <c r="AI77"/>
      <c r="AJ77"/>
      <c r="AK77"/>
    </row>
    <row r="78" spans="1:37" x14ac:dyDescent="0.5">
      <c r="B78" s="1200" t="s">
        <v>903</v>
      </c>
      <c r="C78" s="1200"/>
      <c r="D78" s="1201"/>
      <c r="E78" s="1202" t="s">
        <v>904</v>
      </c>
      <c r="O78"/>
      <c r="P78"/>
      <c r="Q78"/>
      <c r="R78"/>
      <c r="S78"/>
      <c r="T78"/>
      <c r="U78"/>
      <c r="V78"/>
      <c r="W78"/>
      <c r="X78"/>
      <c r="Y78"/>
      <c r="Z78"/>
      <c r="AA78"/>
      <c r="AB78"/>
      <c r="AC78"/>
      <c r="AD78"/>
      <c r="AE78"/>
      <c r="AF78"/>
      <c r="AG78"/>
      <c r="AH78"/>
      <c r="AI78"/>
      <c r="AJ78"/>
      <c r="AK78"/>
    </row>
    <row r="79" spans="1:37" ht="15.4" thickBot="1" x14ac:dyDescent="0.55000000000000004">
      <c r="B79" s="1200" t="s">
        <v>905</v>
      </c>
      <c r="C79" s="1200"/>
      <c r="D79" s="1201"/>
      <c r="E79" s="1203" t="s">
        <v>906</v>
      </c>
      <c r="O79"/>
      <c r="P79"/>
      <c r="Q79"/>
      <c r="R79"/>
      <c r="S79"/>
      <c r="T79"/>
      <c r="U79"/>
      <c r="V79"/>
      <c r="W79"/>
      <c r="X79"/>
      <c r="Y79"/>
      <c r="Z79"/>
      <c r="AA79"/>
      <c r="AB79"/>
      <c r="AC79"/>
      <c r="AD79"/>
      <c r="AE79"/>
      <c r="AF79"/>
      <c r="AG79"/>
      <c r="AH79"/>
      <c r="AI79"/>
      <c r="AJ79"/>
      <c r="AK79"/>
    </row>
    <row r="80" spans="1:37" ht="15.4" thickTop="1" x14ac:dyDescent="0.5">
      <c r="E80" s="1031">
        <f>SUM(E70:E79)</f>
        <v>0</v>
      </c>
      <c r="O80"/>
      <c r="P80"/>
      <c r="Q80"/>
      <c r="R80"/>
      <c r="S80"/>
      <c r="T80"/>
      <c r="U80"/>
      <c r="V80"/>
      <c r="W80"/>
      <c r="X80"/>
      <c r="Y80"/>
      <c r="Z80"/>
      <c r="AA80"/>
      <c r="AB80"/>
      <c r="AC80"/>
      <c r="AD80"/>
      <c r="AE80"/>
      <c r="AF80"/>
      <c r="AG80"/>
      <c r="AH80"/>
      <c r="AI80"/>
      <c r="AJ80"/>
      <c r="AK80"/>
    </row>
    <row r="81" spans="1:37" x14ac:dyDescent="0.5">
      <c r="B81" s="997" t="s">
        <v>671</v>
      </c>
      <c r="C81" s="997"/>
      <c r="D81" s="997"/>
      <c r="E81" s="997"/>
      <c r="O81"/>
      <c r="P81"/>
      <c r="Q81"/>
      <c r="R81"/>
      <c r="S81"/>
      <c r="T81"/>
      <c r="U81"/>
      <c r="V81"/>
      <c r="W81"/>
      <c r="X81"/>
      <c r="Y81"/>
      <c r="Z81"/>
      <c r="AA81"/>
      <c r="AB81"/>
      <c r="AC81"/>
      <c r="AD81"/>
      <c r="AE81"/>
      <c r="AF81"/>
      <c r="AG81"/>
      <c r="AH81"/>
      <c r="AI81"/>
      <c r="AJ81"/>
      <c r="AK81"/>
    </row>
    <row r="82" spans="1:37" x14ac:dyDescent="0.5">
      <c r="B82" s="1200" t="s">
        <v>907</v>
      </c>
      <c r="C82" s="1200"/>
      <c r="D82" s="1200" t="s">
        <v>908</v>
      </c>
      <c r="E82" s="1201"/>
      <c r="O82"/>
      <c r="P82"/>
      <c r="Q82"/>
      <c r="R82"/>
      <c r="S82"/>
      <c r="T82"/>
      <c r="U82"/>
      <c r="V82"/>
      <c r="W82"/>
      <c r="X82"/>
      <c r="Y82"/>
      <c r="Z82"/>
      <c r="AA82"/>
      <c r="AB82"/>
      <c r="AC82"/>
      <c r="AD82"/>
      <c r="AE82"/>
      <c r="AF82"/>
      <c r="AG82"/>
      <c r="AH82"/>
      <c r="AI82"/>
      <c r="AJ82"/>
      <c r="AK82"/>
    </row>
    <row r="83" spans="1:37" x14ac:dyDescent="0.5">
      <c r="B83" s="1200" t="s">
        <v>909</v>
      </c>
      <c r="C83" s="1200"/>
      <c r="D83" s="1200" t="s">
        <v>910</v>
      </c>
      <c r="E83" s="1201"/>
      <c r="O83"/>
      <c r="P83"/>
      <c r="Q83"/>
      <c r="R83"/>
      <c r="S83"/>
      <c r="T83"/>
      <c r="U83"/>
      <c r="V83"/>
      <c r="W83"/>
      <c r="X83"/>
      <c r="Y83"/>
      <c r="Z83"/>
      <c r="AA83"/>
      <c r="AB83"/>
      <c r="AC83"/>
      <c r="AD83"/>
      <c r="AE83"/>
      <c r="AF83"/>
      <c r="AG83"/>
      <c r="AH83"/>
      <c r="AI83"/>
      <c r="AJ83"/>
      <c r="AK83"/>
    </row>
    <row r="84" spans="1:37" x14ac:dyDescent="0.5">
      <c r="B84" s="1200" t="s">
        <v>911</v>
      </c>
      <c r="C84" s="1200"/>
      <c r="D84" s="1200" t="s">
        <v>912</v>
      </c>
      <c r="E84" s="1201"/>
      <c r="O84"/>
      <c r="P84"/>
      <c r="Q84"/>
      <c r="R84"/>
      <c r="S84"/>
      <c r="T84"/>
      <c r="U84"/>
      <c r="V84"/>
      <c r="W84"/>
      <c r="X84"/>
      <c r="Y84"/>
      <c r="Z84"/>
      <c r="AA84"/>
      <c r="AB84"/>
      <c r="AC84"/>
      <c r="AD84"/>
      <c r="AE84"/>
      <c r="AF84"/>
      <c r="AG84"/>
      <c r="AH84"/>
      <c r="AI84"/>
      <c r="AJ84"/>
      <c r="AK84"/>
    </row>
    <row r="85" spans="1:37" x14ac:dyDescent="0.5">
      <c r="B85" s="1200" t="s">
        <v>913</v>
      </c>
      <c r="C85" s="1200"/>
      <c r="D85" s="1200" t="s">
        <v>914</v>
      </c>
      <c r="E85" s="1201"/>
      <c r="O85"/>
      <c r="P85"/>
      <c r="Q85"/>
      <c r="R85"/>
      <c r="S85"/>
      <c r="T85"/>
      <c r="U85"/>
      <c r="V85"/>
      <c r="W85"/>
      <c r="X85"/>
      <c r="Y85"/>
      <c r="Z85"/>
      <c r="AA85"/>
      <c r="AB85"/>
      <c r="AC85"/>
      <c r="AD85"/>
      <c r="AE85"/>
      <c r="AF85"/>
      <c r="AG85"/>
      <c r="AH85"/>
      <c r="AI85"/>
      <c r="AJ85"/>
      <c r="AK85"/>
    </row>
    <row r="86" spans="1:37" x14ac:dyDescent="0.5">
      <c r="O86"/>
      <c r="P86"/>
      <c r="Q86"/>
      <c r="R86"/>
      <c r="S86"/>
      <c r="T86"/>
      <c r="U86"/>
      <c r="V86"/>
      <c r="W86"/>
      <c r="X86"/>
      <c r="Y86"/>
      <c r="Z86"/>
      <c r="AA86"/>
      <c r="AB86"/>
      <c r="AC86"/>
      <c r="AD86"/>
      <c r="AE86"/>
      <c r="AF86"/>
      <c r="AG86"/>
      <c r="AH86"/>
      <c r="AI86"/>
      <c r="AJ86"/>
      <c r="AK86"/>
    </row>
    <row r="87" spans="1:37" x14ac:dyDescent="0.5">
      <c r="O87"/>
      <c r="P87"/>
      <c r="Q87"/>
      <c r="R87"/>
      <c r="S87"/>
      <c r="T87"/>
      <c r="U87"/>
      <c r="V87"/>
      <c r="W87"/>
      <c r="X87"/>
      <c r="Y87"/>
      <c r="Z87"/>
      <c r="AA87"/>
      <c r="AB87"/>
      <c r="AC87"/>
      <c r="AD87"/>
      <c r="AE87"/>
      <c r="AF87"/>
      <c r="AG87"/>
      <c r="AH87"/>
      <c r="AI87"/>
      <c r="AJ87"/>
      <c r="AK87"/>
    </row>
    <row r="88" spans="1:37" x14ac:dyDescent="0.5">
      <c r="O88"/>
      <c r="P88"/>
      <c r="Q88"/>
      <c r="R88"/>
      <c r="S88"/>
      <c r="T88"/>
      <c r="U88"/>
      <c r="V88"/>
      <c r="W88"/>
      <c r="X88"/>
      <c r="Y88"/>
      <c r="Z88"/>
      <c r="AA88"/>
      <c r="AB88"/>
      <c r="AC88"/>
      <c r="AD88"/>
      <c r="AE88"/>
      <c r="AF88"/>
      <c r="AG88"/>
      <c r="AH88"/>
      <c r="AI88"/>
      <c r="AJ88"/>
      <c r="AK88"/>
    </row>
    <row r="89" spans="1:37" x14ac:dyDescent="0.5">
      <c r="A89" s="996" t="s">
        <v>672</v>
      </c>
      <c r="B89" s="1034" t="s">
        <v>673</v>
      </c>
      <c r="O89"/>
      <c r="P89"/>
      <c r="Q89"/>
      <c r="R89"/>
      <c r="S89"/>
      <c r="T89"/>
      <c r="U89"/>
      <c r="V89"/>
      <c r="W89"/>
      <c r="X89"/>
      <c r="Y89"/>
      <c r="Z89"/>
      <c r="AA89"/>
      <c r="AB89"/>
      <c r="AC89"/>
      <c r="AD89"/>
      <c r="AE89"/>
      <c r="AF89"/>
      <c r="AG89"/>
      <c r="AH89"/>
      <c r="AI89"/>
      <c r="AJ89"/>
      <c r="AK89"/>
    </row>
    <row r="90" spans="1:37" x14ac:dyDescent="0.5">
      <c r="A90" s="996" t="s">
        <v>674</v>
      </c>
      <c r="B90" s="1034" t="s">
        <v>675</v>
      </c>
      <c r="O90"/>
      <c r="P90"/>
      <c r="Q90"/>
      <c r="R90"/>
      <c r="S90"/>
      <c r="T90"/>
      <c r="U90"/>
      <c r="V90"/>
      <c r="W90"/>
      <c r="X90"/>
      <c r="Y90"/>
      <c r="Z90"/>
      <c r="AA90"/>
      <c r="AB90"/>
      <c r="AC90"/>
      <c r="AD90"/>
      <c r="AE90"/>
      <c r="AF90"/>
      <c r="AG90"/>
      <c r="AH90"/>
      <c r="AI90"/>
      <c r="AJ90"/>
      <c r="AK90"/>
    </row>
    <row r="91" spans="1:37" customFormat="1" x14ac:dyDescent="0.5">
      <c r="C91" s="991"/>
    </row>
    <row r="92" spans="1:37" customFormat="1" x14ac:dyDescent="0.5">
      <c r="B92" s="1206" t="s">
        <v>915</v>
      </c>
      <c r="C92" s="991"/>
      <c r="N92" t="s">
        <v>916</v>
      </c>
    </row>
    <row r="93" spans="1:37" customFormat="1" x14ac:dyDescent="0.5">
      <c r="B93" s="1206" t="s">
        <v>917</v>
      </c>
      <c r="C93" s="991"/>
      <c r="M93" t="s">
        <v>918</v>
      </c>
    </row>
    <row r="94" spans="1:37" customFormat="1" x14ac:dyDescent="0.5">
      <c r="B94" s="1206" t="s">
        <v>919</v>
      </c>
      <c r="C94" s="991"/>
      <c r="M94" t="s">
        <v>920</v>
      </c>
    </row>
    <row r="95" spans="1:37" customFormat="1" x14ac:dyDescent="0.5">
      <c r="B95" s="1206" t="s">
        <v>921</v>
      </c>
      <c r="C95" s="991"/>
      <c r="M95" t="s">
        <v>922</v>
      </c>
    </row>
    <row r="96" spans="1:37" customFormat="1" x14ac:dyDescent="0.5">
      <c r="C96" s="991"/>
      <c r="M96" t="s">
        <v>923</v>
      </c>
    </row>
    <row r="97" spans="1:15" customFormat="1" x14ac:dyDescent="0.5">
      <c r="C97" s="991"/>
      <c r="M97" t="s">
        <v>924</v>
      </c>
    </row>
    <row r="98" spans="1:15" customFormat="1" x14ac:dyDescent="0.5">
      <c r="C98" s="991"/>
    </row>
    <row r="99" spans="1:15" customFormat="1" x14ac:dyDescent="0.5">
      <c r="C99" s="991"/>
    </row>
    <row r="100" spans="1:15" customFormat="1" x14ac:dyDescent="0.5">
      <c r="C100" s="991"/>
    </row>
    <row r="101" spans="1:15" customFormat="1" x14ac:dyDescent="0.5">
      <c r="C101" s="991"/>
    </row>
    <row r="102" spans="1:15" customFormat="1" x14ac:dyDescent="0.5">
      <c r="C102" s="991"/>
    </row>
    <row r="103" spans="1:15" customFormat="1" x14ac:dyDescent="0.5">
      <c r="C103" s="991"/>
    </row>
    <row r="104" spans="1:15" customFormat="1" x14ac:dyDescent="0.5">
      <c r="C104" s="991"/>
    </row>
    <row r="105" spans="1:15" customFormat="1" x14ac:dyDescent="0.5">
      <c r="C105" s="991"/>
    </row>
    <row r="106" spans="1:15" customFormat="1" x14ac:dyDescent="0.5">
      <c r="C106" s="991"/>
    </row>
    <row r="107" spans="1:15" x14ac:dyDescent="0.5">
      <c r="A107" s="996" t="s">
        <v>676</v>
      </c>
      <c r="B107" s="1034" t="s">
        <v>677</v>
      </c>
      <c r="O107" s="1042"/>
    </row>
    <row r="108" spans="1:15" x14ac:dyDescent="0.5">
      <c r="A108" s="996" t="s">
        <v>678</v>
      </c>
      <c r="B108" s="1034" t="s">
        <v>679</v>
      </c>
      <c r="O108" s="1042"/>
    </row>
    <row r="109" spans="1:15" customFormat="1" ht="14.25" x14ac:dyDescent="0.45"/>
    <row r="110" spans="1:15" customFormat="1" ht="14.25" x14ac:dyDescent="0.45"/>
    <row r="111" spans="1:15" customFormat="1" ht="14.25" x14ac:dyDescent="0.45"/>
    <row r="112" spans="1:15" customFormat="1" ht="14.25" x14ac:dyDescent="0.45"/>
    <row r="113" spans="1:10" customFormat="1" ht="14.25" x14ac:dyDescent="0.45">
      <c r="D113">
        <v>2020</v>
      </c>
      <c r="E113">
        <v>21</v>
      </c>
      <c r="F113">
        <v>22</v>
      </c>
      <c r="G113">
        <v>23</v>
      </c>
      <c r="H113">
        <v>24</v>
      </c>
      <c r="I113">
        <v>25</v>
      </c>
    </row>
    <row r="114" spans="1:10" customFormat="1" ht="14.25" x14ac:dyDescent="0.45">
      <c r="B114" s="1198"/>
      <c r="C114" s="1198"/>
      <c r="D114" s="1198" t="s">
        <v>887</v>
      </c>
      <c r="E114" s="1209">
        <v>5.3999999999999999E-2</v>
      </c>
      <c r="F114" s="1209">
        <v>5.3999999999999999E-2</v>
      </c>
      <c r="G114" s="1209">
        <v>5.3999999999999999E-2</v>
      </c>
      <c r="H114" s="1209">
        <v>0.03</v>
      </c>
      <c r="I114" s="1209">
        <v>0.03</v>
      </c>
      <c r="J114" s="1198"/>
    </row>
    <row r="115" spans="1:10" customFormat="1" ht="14.25" x14ac:dyDescent="0.45">
      <c r="B115" s="1198"/>
      <c r="C115" s="1198"/>
      <c r="D115" s="1198"/>
      <c r="E115" s="1198">
        <v>2020</v>
      </c>
      <c r="F115" s="1198">
        <f>E115+1</f>
        <v>2021</v>
      </c>
      <c r="G115" s="1198">
        <f>F115+1</f>
        <v>2022</v>
      </c>
      <c r="H115" s="1198">
        <f>G115+1</f>
        <v>2023</v>
      </c>
      <c r="I115" s="1198">
        <f>H115+1</f>
        <v>2024</v>
      </c>
      <c r="J115" s="1198"/>
    </row>
    <row r="116" spans="1:10" customFormat="1" ht="14.25" x14ac:dyDescent="0.45">
      <c r="B116" s="1198" t="s">
        <v>888</v>
      </c>
      <c r="C116" s="1198"/>
      <c r="D116" s="1198"/>
      <c r="E116" s="1209">
        <v>5.5E-2</v>
      </c>
      <c r="F116" s="1209">
        <v>7.4999999999999997E-2</v>
      </c>
      <c r="G116" s="1209">
        <v>7.4999999999999997E-2</v>
      </c>
      <c r="H116" s="1209">
        <v>7.4999999999999997E-2</v>
      </c>
      <c r="I116" s="1209">
        <v>0.05</v>
      </c>
      <c r="J116" s="1198"/>
    </row>
    <row r="117" spans="1:10" customFormat="1" ht="14.25" x14ac:dyDescent="0.45">
      <c r="B117" s="1199">
        <f>'Earnings Power'!P27</f>
        <v>1</v>
      </c>
      <c r="C117" s="1198"/>
      <c r="D117" s="1198" t="s">
        <v>889</v>
      </c>
      <c r="E117" s="1209">
        <f>IF($B$117=1,E116,E114)</f>
        <v>5.5E-2</v>
      </c>
      <c r="F117" s="1209">
        <f t="shared" ref="F117:I117" si="9">IF($B$117=1,F116,F114)</f>
        <v>7.4999999999999997E-2</v>
      </c>
      <c r="G117" s="1209">
        <f t="shared" si="9"/>
        <v>7.4999999999999997E-2</v>
      </c>
      <c r="H117" s="1209">
        <f t="shared" si="9"/>
        <v>7.4999999999999997E-2</v>
      </c>
      <c r="I117" s="1209">
        <f t="shared" si="9"/>
        <v>0.05</v>
      </c>
      <c r="J117" s="1198"/>
    </row>
    <row r="118" spans="1:10" customFormat="1" ht="14.25" x14ac:dyDescent="0.45">
      <c r="B118" s="1199"/>
      <c r="C118" s="1199"/>
      <c r="D118" s="1199"/>
      <c r="E118" s="1199"/>
      <c r="F118" s="1199"/>
      <c r="G118" s="1199"/>
      <c r="H118" s="1199"/>
      <c r="I118" s="1199"/>
      <c r="J118" s="1199"/>
    </row>
    <row r="119" spans="1:10" customFormat="1" ht="14.25" x14ac:dyDescent="0.45">
      <c r="B119" s="1199"/>
      <c r="C119" s="1199"/>
      <c r="D119" s="1199"/>
      <c r="E119" s="1199"/>
      <c r="F119" s="1199"/>
      <c r="G119" s="1199"/>
      <c r="H119" s="1199"/>
      <c r="I119" s="1199"/>
      <c r="J119" s="1199"/>
    </row>
    <row r="120" spans="1:10" customFormat="1" ht="14.25" x14ac:dyDescent="0.45">
      <c r="B120" s="1198" t="s">
        <v>890</v>
      </c>
      <c r="C120" s="1198"/>
      <c r="D120" s="1198">
        <v>600</v>
      </c>
      <c r="E120" s="1209">
        <v>0.05</v>
      </c>
      <c r="F120" s="1209">
        <v>0.35</v>
      </c>
      <c r="G120" s="1209">
        <v>0.5</v>
      </c>
      <c r="H120" s="1209">
        <v>0.5</v>
      </c>
      <c r="I120" s="1209">
        <v>0.5</v>
      </c>
      <c r="J120" s="1198"/>
    </row>
    <row r="121" spans="1:10" customFormat="1" ht="14.25" x14ac:dyDescent="0.45">
      <c r="B121" s="1199">
        <f>'Earnings Power'!P28</f>
        <v>1</v>
      </c>
      <c r="C121" s="1199"/>
      <c r="D121" s="1199" t="s">
        <v>889</v>
      </c>
      <c r="E121" s="1204">
        <f>IF($B$121=1,E120,0)</f>
        <v>0.05</v>
      </c>
      <c r="F121" s="1204">
        <f t="shared" ref="F121:I121" si="10">IF($B$121=1,F120,0)</f>
        <v>0.35</v>
      </c>
      <c r="G121" s="1204">
        <f t="shared" si="10"/>
        <v>0.5</v>
      </c>
      <c r="H121" s="1204">
        <f t="shared" si="10"/>
        <v>0.5</v>
      </c>
      <c r="I121" s="1204">
        <f t="shared" si="10"/>
        <v>0.5</v>
      </c>
      <c r="J121" s="1199"/>
    </row>
    <row r="122" spans="1:10" customFormat="1" ht="14.25" x14ac:dyDescent="0.45">
      <c r="B122" s="1199"/>
      <c r="C122" s="1199"/>
      <c r="D122" s="1199"/>
      <c r="E122" s="1199"/>
      <c r="F122" s="1199"/>
      <c r="G122" s="1199"/>
      <c r="H122" s="1199"/>
      <c r="I122" s="1199"/>
      <c r="J122" s="1199"/>
    </row>
    <row r="123" spans="1:10" customFormat="1" x14ac:dyDescent="0.5">
      <c r="B123" s="991"/>
      <c r="C123" s="1199"/>
      <c r="D123" s="1199"/>
      <c r="E123" s="1199"/>
      <c r="F123" s="1199"/>
      <c r="G123" s="1199"/>
      <c r="H123" s="1199"/>
      <c r="I123" s="1199"/>
      <c r="J123" s="1199"/>
    </row>
    <row r="124" spans="1:10" customFormat="1" x14ac:dyDescent="0.5">
      <c r="A124" t="s">
        <v>925</v>
      </c>
      <c r="B124" s="991"/>
      <c r="C124" s="1199">
        <v>2019</v>
      </c>
      <c r="D124" s="1199">
        <v>2020</v>
      </c>
      <c r="E124" s="1199">
        <v>2021</v>
      </c>
      <c r="F124" s="1199">
        <f>E124+1</f>
        <v>2022</v>
      </c>
      <c r="G124" s="1199">
        <f t="shared" ref="G124:I124" si="11">F124+1</f>
        <v>2023</v>
      </c>
      <c r="H124" s="1199">
        <f t="shared" si="11"/>
        <v>2024</v>
      </c>
      <c r="I124" s="1199">
        <f t="shared" si="11"/>
        <v>2025</v>
      </c>
      <c r="J124" s="1199"/>
    </row>
    <row r="125" spans="1:10" customFormat="1" ht="14.25" x14ac:dyDescent="0.45">
      <c r="B125" s="1199" t="s">
        <v>644</v>
      </c>
      <c r="C125" s="1207">
        <f>INDEX(MO_RIS_REV,0,_xlfn.XMATCH("FY"&amp;C$124,MO_Common_ColumnHeader))</f>
        <v>529.173</v>
      </c>
      <c r="D125" s="1207">
        <f>INDEX(MO_RIS_REV,0,_xlfn.XMATCH("FY"&amp;D$124,MO_Common_ColumnHeader))</f>
        <v>542.50978999999995</v>
      </c>
      <c r="E125" s="1204">
        <f>D125*(1+E117)</f>
        <v>572.34782844999995</v>
      </c>
      <c r="F125" s="1204">
        <f t="shared" ref="F125:I125" si="12">E125*(1+F117)</f>
        <v>615.27391558374995</v>
      </c>
      <c r="G125" s="1204">
        <f t="shared" si="12"/>
        <v>661.41945925253117</v>
      </c>
      <c r="H125" s="1204">
        <f t="shared" si="12"/>
        <v>711.02591869647097</v>
      </c>
      <c r="I125" s="1204">
        <f t="shared" si="12"/>
        <v>746.57721463129451</v>
      </c>
      <c r="J125" s="1199"/>
    </row>
    <row r="126" spans="1:10" customFormat="1" ht="14.25" x14ac:dyDescent="0.45">
      <c r="B126" s="1199"/>
      <c r="C126" s="1199"/>
      <c r="D126" s="1199"/>
      <c r="E126" s="1199"/>
      <c r="F126" s="1199"/>
      <c r="G126" s="1199"/>
      <c r="H126" s="1199"/>
      <c r="I126" s="1199"/>
      <c r="J126" s="1199"/>
    </row>
    <row r="127" spans="1:10" customFormat="1" ht="14.25" x14ac:dyDescent="0.45">
      <c r="B127" t="s">
        <v>64</v>
      </c>
      <c r="C127" s="1207">
        <f>INDEX(MO_RIS_EBITDA_Adj,0,_xlfn.XMATCH("FY"&amp;C$124,MO_Common_ColumnHeader))</f>
        <v>91.493000000000052</v>
      </c>
      <c r="D127" s="1207">
        <f>INDEX(MO_RIS_EBITDA_Adj,0,_xlfn.XMATCH("FY"&amp;D$124,MO_Common_ColumnHeader))</f>
        <v>90.373966900000013</v>
      </c>
      <c r="E127" s="1207">
        <f>E128*E125</f>
        <v>97.061578564850009</v>
      </c>
      <c r="F127" s="1207">
        <f t="shared" ref="F127:I127" si="13">F128*F125</f>
        <v>117.26194918447251</v>
      </c>
      <c r="G127" s="1207">
        <f t="shared" si="13"/>
        <v>145.89917915088387</v>
      </c>
      <c r="H127" s="1207">
        <f t="shared" si="13"/>
        <v>178.1723951480943</v>
      </c>
      <c r="I127" s="1207">
        <f t="shared" si="13"/>
        <v>209.47833134443781</v>
      </c>
    </row>
    <row r="128" spans="1:10" customFormat="1" ht="14.25" x14ac:dyDescent="0.45">
      <c r="B128" t="s">
        <v>926</v>
      </c>
      <c r="C128" s="1208">
        <f>C127/C125</f>
        <v>0.17289808814886634</v>
      </c>
      <c r="D128" s="1208">
        <f>D127/D125</f>
        <v>0.16658495121350717</v>
      </c>
      <c r="E128" s="1208">
        <f>D128+($D$120/10000*E121)</f>
        <v>0.16958495121350717</v>
      </c>
      <c r="F128" s="1208">
        <f t="shared" ref="F128:I128" si="14">E128+($D$120/10000*F121)</f>
        <v>0.19058495121350716</v>
      </c>
      <c r="G128" s="1208">
        <f t="shared" si="14"/>
        <v>0.22058495121350716</v>
      </c>
      <c r="H128" s="1208">
        <f t="shared" si="14"/>
        <v>0.25058495121350716</v>
      </c>
      <c r="I128" s="1208">
        <f t="shared" si="14"/>
        <v>0.28058495121350713</v>
      </c>
    </row>
    <row r="129" customFormat="1" ht="14.25" x14ac:dyDescent="0.45"/>
    <row r="130" customFormat="1" ht="14.25" x14ac:dyDescent="0.45"/>
    <row r="131" customFormat="1" ht="14.25" x14ac:dyDescent="0.45"/>
    <row r="132" customFormat="1" ht="14.25" x14ac:dyDescent="0.45"/>
    <row r="133" customFormat="1" ht="14.25" x14ac:dyDescent="0.45"/>
    <row r="134" customFormat="1" ht="14.25" x14ac:dyDescent="0.45"/>
    <row r="135" customFormat="1" ht="14.25" x14ac:dyDescent="0.45"/>
    <row r="136" customFormat="1" ht="14.25" x14ac:dyDescent="0.45"/>
    <row r="137" customFormat="1" ht="14.25" x14ac:dyDescent="0.45"/>
    <row r="138" customFormat="1" ht="14.25" x14ac:dyDescent="0.45"/>
    <row r="139" customFormat="1" ht="14.25" x14ac:dyDescent="0.45"/>
    <row r="140" customFormat="1" ht="14.25" x14ac:dyDescent="0.45"/>
    <row r="141" customFormat="1" ht="14.25" x14ac:dyDescent="0.45"/>
    <row r="142" customFormat="1" ht="14.25" x14ac:dyDescent="0.45"/>
    <row r="143" customFormat="1" ht="14.25" x14ac:dyDescent="0.45"/>
    <row r="144" customFormat="1" ht="14.25" x14ac:dyDescent="0.45"/>
    <row r="145" customFormat="1" ht="14.25" x14ac:dyDescent="0.45"/>
    <row r="146" customFormat="1" ht="14.25" x14ac:dyDescent="0.45"/>
    <row r="147" customFormat="1" ht="14.25" x14ac:dyDescent="0.45"/>
    <row r="148" customFormat="1" ht="14.25" x14ac:dyDescent="0.45"/>
    <row r="149" customFormat="1" ht="14.25" x14ac:dyDescent="0.45"/>
    <row r="150" customFormat="1" ht="14.25" x14ac:dyDescent="0.45"/>
    <row r="151" customFormat="1" ht="14.25" x14ac:dyDescent="0.45"/>
    <row r="152" customFormat="1" ht="14.25" x14ac:dyDescent="0.45"/>
    <row r="153" customFormat="1" ht="14.25" x14ac:dyDescent="0.45"/>
    <row r="154" customFormat="1" ht="14.25" x14ac:dyDescent="0.45"/>
    <row r="155" customFormat="1" ht="14.25" x14ac:dyDescent="0.45"/>
    <row r="156" customFormat="1" ht="14.25" x14ac:dyDescent="0.45"/>
    <row r="157" customFormat="1" ht="14.25" x14ac:dyDescent="0.45"/>
    <row r="158" customFormat="1" ht="14.25" x14ac:dyDescent="0.45"/>
    <row r="159" customFormat="1" ht="14.25" x14ac:dyDescent="0.45"/>
    <row r="160" customFormat="1" ht="14.25" x14ac:dyDescent="0.45"/>
    <row r="161" customFormat="1" ht="14.25" x14ac:dyDescent="0.45"/>
    <row r="162" customFormat="1" ht="14.25" x14ac:dyDescent="0.45"/>
    <row r="163" customFormat="1" ht="14.25" x14ac:dyDescent="0.45"/>
    <row r="164" customFormat="1" ht="14.25" x14ac:dyDescent="0.45"/>
    <row r="165" customFormat="1" ht="14.25" x14ac:dyDescent="0.45"/>
    <row r="166" customFormat="1" ht="14.25" x14ac:dyDescent="0.45"/>
    <row r="167" customFormat="1" ht="14.25" x14ac:dyDescent="0.45"/>
    <row r="168" customFormat="1" ht="14.25" x14ac:dyDescent="0.45"/>
    <row r="169" customFormat="1" ht="14.25" x14ac:dyDescent="0.45"/>
    <row r="170" customFormat="1" ht="14.25" x14ac:dyDescent="0.45"/>
    <row r="171" customFormat="1" ht="14.25" x14ac:dyDescent="0.45"/>
    <row r="172" customFormat="1" ht="14.25" x14ac:dyDescent="0.45"/>
    <row r="173" customFormat="1" ht="14.25" x14ac:dyDescent="0.45"/>
    <row r="174" customFormat="1" ht="14.25" x14ac:dyDescent="0.45"/>
    <row r="175" customFormat="1" ht="14.25" x14ac:dyDescent="0.45"/>
    <row r="176" customFormat="1" ht="14.25" x14ac:dyDescent="0.45"/>
    <row r="177" customFormat="1" ht="14.25" x14ac:dyDescent="0.45"/>
    <row r="178" customFormat="1" ht="14.25" x14ac:dyDescent="0.45"/>
    <row r="179" customFormat="1" ht="14.25" x14ac:dyDescent="0.45"/>
    <row r="180" customFormat="1" ht="14.25" x14ac:dyDescent="0.45"/>
    <row r="181" customFormat="1" ht="14.25" x14ac:dyDescent="0.45"/>
    <row r="182" customFormat="1" ht="14.25" x14ac:dyDescent="0.45"/>
    <row r="183" customFormat="1" ht="14.25" x14ac:dyDescent="0.45"/>
    <row r="184" customFormat="1" ht="14.25" x14ac:dyDescent="0.45"/>
    <row r="185" customFormat="1" ht="14.25" x14ac:dyDescent="0.45"/>
    <row r="186" customFormat="1" ht="14.25" x14ac:dyDescent="0.45"/>
    <row r="187" customFormat="1" ht="14.25" x14ac:dyDescent="0.45"/>
    <row r="188" customFormat="1" ht="14.25" x14ac:dyDescent="0.45"/>
    <row r="189" customFormat="1" ht="14.25" x14ac:dyDescent="0.45"/>
    <row r="190" customFormat="1" ht="14.25" x14ac:dyDescent="0.45"/>
    <row r="191" customFormat="1" ht="14.25" x14ac:dyDescent="0.45"/>
    <row r="192" customFormat="1" ht="14.25" x14ac:dyDescent="0.45"/>
    <row r="193" customFormat="1" ht="14.25" x14ac:dyDescent="0.45"/>
    <row r="194" customFormat="1" ht="14.25" x14ac:dyDescent="0.45"/>
    <row r="195" customFormat="1" ht="14.25" x14ac:dyDescent="0.45"/>
    <row r="196" customFormat="1" ht="14.25" x14ac:dyDescent="0.45"/>
    <row r="197" customFormat="1" ht="14.25" x14ac:dyDescent="0.45"/>
    <row r="198" customFormat="1" ht="14.25" x14ac:dyDescent="0.45"/>
    <row r="199" customFormat="1" ht="14.25" x14ac:dyDescent="0.45"/>
    <row r="200" customFormat="1" ht="14.25" x14ac:dyDescent="0.45"/>
    <row r="201" customFormat="1" ht="14.25" x14ac:dyDescent="0.45"/>
    <row r="202" customFormat="1" ht="14.25" x14ac:dyDescent="0.45"/>
    <row r="203" customFormat="1" ht="14.25" x14ac:dyDescent="0.45"/>
    <row r="204" customFormat="1" ht="14.25" x14ac:dyDescent="0.45"/>
    <row r="205" customFormat="1" ht="14.25" x14ac:dyDescent="0.45"/>
    <row r="206" customFormat="1" ht="14.25" x14ac:dyDescent="0.45"/>
    <row r="207" customFormat="1" ht="14.25" x14ac:dyDescent="0.45"/>
    <row r="208" customFormat="1" ht="14.25" x14ac:dyDescent="0.45"/>
    <row r="209" spans="15:25" customFormat="1" ht="14.25" x14ac:dyDescent="0.45"/>
    <row r="210" spans="15:25" customFormat="1" ht="14.25" x14ac:dyDescent="0.45"/>
    <row r="211" spans="15:25" customFormat="1" ht="14.25" x14ac:dyDescent="0.45"/>
    <row r="212" spans="15:25" customFormat="1" ht="14.25" x14ac:dyDescent="0.45"/>
    <row r="213" spans="15:25" customFormat="1" ht="14.25" x14ac:dyDescent="0.45"/>
    <row r="214" spans="15:25" customFormat="1" ht="14.25" x14ac:dyDescent="0.45"/>
    <row r="215" spans="15:25" customFormat="1" ht="14.25" x14ac:dyDescent="0.45"/>
    <row r="216" spans="15:25" customFormat="1" ht="14.25" x14ac:dyDescent="0.45"/>
    <row r="217" spans="15:25" customFormat="1" ht="14.25" x14ac:dyDescent="0.45"/>
    <row r="218" spans="15:25" customFormat="1" ht="14.25" x14ac:dyDescent="0.45"/>
    <row r="219" spans="15:25" customFormat="1" ht="14.25" x14ac:dyDescent="0.45"/>
    <row r="220" spans="15:25" customFormat="1" ht="14.25" x14ac:dyDescent="0.45"/>
    <row r="221" spans="15:25" customFormat="1" ht="14.25" x14ac:dyDescent="0.45"/>
    <row r="222" spans="15:25" x14ac:dyDescent="0.5">
      <c r="O222" s="991" t="s">
        <v>680</v>
      </c>
      <c r="P222" s="991">
        <v>1647.0588235294099</v>
      </c>
      <c r="Q222" s="991">
        <v>1411.76470588235</v>
      </c>
      <c r="R222" s="991">
        <v>1294.11764705882</v>
      </c>
      <c r="S222" s="991">
        <v>1176.4705882352901</v>
      </c>
      <c r="T222" s="991">
        <v>1176.4705882352901</v>
      </c>
      <c r="U222" s="991">
        <v>1176.4705882352901</v>
      </c>
      <c r="V222" s="991">
        <v>1058.8235294117601</v>
      </c>
      <c r="W222" s="991">
        <v>1000</v>
      </c>
      <c r="X222" s="991">
        <v>941.17647058823502</v>
      </c>
      <c r="Y222" s="991">
        <v>-6.756139939941197E-2</v>
      </c>
    </row>
    <row r="223" spans="15:25" x14ac:dyDescent="0.5">
      <c r="O223" s="991" t="s">
        <v>681</v>
      </c>
      <c r="P223" s="991">
        <v>529.41176470588198</v>
      </c>
      <c r="Q223" s="991">
        <v>352.941176470588</v>
      </c>
      <c r="R223" s="991">
        <v>352.941176470588</v>
      </c>
      <c r="S223" s="991">
        <v>352.941176470588</v>
      </c>
      <c r="T223" s="991">
        <v>352.941176470588</v>
      </c>
      <c r="U223" s="991">
        <v>235.29411764705901</v>
      </c>
      <c r="V223" s="991">
        <v>235.29411764705901</v>
      </c>
      <c r="W223" s="991">
        <v>823.52941176470597</v>
      </c>
      <c r="X223" s="991">
        <v>235.29411764705901</v>
      </c>
      <c r="Y223" s="991">
        <v>-9.6397996390155005E-2</v>
      </c>
    </row>
    <row r="224" spans="15:25" x14ac:dyDescent="0.5">
      <c r="O224" s="991" t="s">
        <v>682</v>
      </c>
      <c r="P224" s="991">
        <v>823.52941176470597</v>
      </c>
      <c r="Q224" s="991">
        <v>5294.1176470588198</v>
      </c>
      <c r="R224" s="991">
        <v>6000</v>
      </c>
      <c r="S224" s="991">
        <v>6117.6470588235297</v>
      </c>
      <c r="T224" s="991">
        <v>7235.2941176470604</v>
      </c>
      <c r="U224" s="991">
        <v>7764.7058823529396</v>
      </c>
      <c r="V224" s="991">
        <v>8235.2941176470595</v>
      </c>
      <c r="W224" s="991">
        <v>8588.2352941176505</v>
      </c>
      <c r="X224" s="991">
        <v>8823.5294117647099</v>
      </c>
      <c r="Y224" s="991">
        <v>0.34507159962670042</v>
      </c>
    </row>
    <row r="225" spans="5:25" x14ac:dyDescent="0.5">
      <c r="O225" s="991" t="s">
        <v>683</v>
      </c>
      <c r="P225" s="991">
        <v>1235.2941176470599</v>
      </c>
      <c r="Q225" s="991">
        <v>1882.35294117647</v>
      </c>
      <c r="R225" s="991">
        <v>2352.9411764705901</v>
      </c>
      <c r="S225" s="991">
        <v>2941.1764705882401</v>
      </c>
      <c r="T225" s="991">
        <v>3529.4117647058802</v>
      </c>
      <c r="U225" s="991">
        <v>4235.2941176470604</v>
      </c>
      <c r="V225" s="991">
        <v>5000</v>
      </c>
      <c r="W225" s="991">
        <v>5647.0588235294099</v>
      </c>
      <c r="X225" s="991">
        <v>6470.5882352941198</v>
      </c>
      <c r="Y225" s="991">
        <v>0.22997610333002405</v>
      </c>
    </row>
    <row r="226" spans="5:25" x14ac:dyDescent="0.5">
      <c r="O226" s="991" t="s">
        <v>684</v>
      </c>
      <c r="P226" s="991">
        <v>117.64705882352899</v>
      </c>
      <c r="Q226" s="991">
        <v>235.29411764705901</v>
      </c>
      <c r="R226" s="991">
        <v>588.23529411764696</v>
      </c>
      <c r="S226" s="991">
        <v>764.70588235294099</v>
      </c>
      <c r="T226" s="991">
        <v>941.17647058823502</v>
      </c>
      <c r="U226" s="991">
        <v>1294.11764705882</v>
      </c>
      <c r="V226" s="991">
        <v>1411.76470588235</v>
      </c>
      <c r="W226" s="991">
        <v>1764.7058823529401</v>
      </c>
      <c r="X226" s="991">
        <v>2000</v>
      </c>
      <c r="Y226" s="991">
        <v>0.42497129264730549</v>
      </c>
    </row>
    <row r="228" spans="5:25" ht="15.4" thickBot="1" x14ac:dyDescent="0.55000000000000004"/>
    <row r="229" spans="5:25" ht="15.4" thickBot="1" x14ac:dyDescent="0.55000000000000004">
      <c r="O229" s="1043"/>
      <c r="P229" s="1043"/>
      <c r="Q229" s="991" t="s">
        <v>685</v>
      </c>
      <c r="R229" s="991" t="s">
        <v>686</v>
      </c>
      <c r="S229" s="991" t="s">
        <v>685</v>
      </c>
      <c r="T229" s="991" t="s">
        <v>686</v>
      </c>
      <c r="V229" s="991" t="s">
        <v>685</v>
      </c>
      <c r="W229" s="991" t="s">
        <v>686</v>
      </c>
    </row>
    <row r="230" spans="5:25" x14ac:dyDescent="0.5">
      <c r="O230" s="991" t="s">
        <v>687</v>
      </c>
      <c r="Q230" s="991">
        <v>167187.5</v>
      </c>
      <c r="R230" s="991">
        <v>409557.46111111098</v>
      </c>
      <c r="S230" s="991">
        <v>284220.816666667</v>
      </c>
      <c r="T230" s="991">
        <v>119875.2</v>
      </c>
      <c r="V230" s="991">
        <v>0.45140831666666698</v>
      </c>
      <c r="W230" s="991">
        <v>0.52943266111111098</v>
      </c>
      <c r="X230" s="1044"/>
      <c r="Y230" s="991">
        <v>0.98084097777777801</v>
      </c>
    </row>
    <row r="231" spans="5:25" x14ac:dyDescent="0.5">
      <c r="O231" s="991" t="s">
        <v>688</v>
      </c>
      <c r="Q231" s="991">
        <v>1028504.76666667</v>
      </c>
      <c r="R231" s="991">
        <v>294352.83333333302</v>
      </c>
      <c r="S231" s="991">
        <v>330286.91666666698</v>
      </c>
      <c r="T231" s="991">
        <v>16106.3</v>
      </c>
      <c r="V231" s="991">
        <v>1.35879168333334</v>
      </c>
      <c r="W231" s="991">
        <v>0.31045913333333303</v>
      </c>
      <c r="X231" s="1044"/>
      <c r="Y231" s="991">
        <v>1.6692508166666731</v>
      </c>
    </row>
    <row r="232" spans="5:25" x14ac:dyDescent="0.5">
      <c r="Q232" s="991" t="s">
        <v>689</v>
      </c>
      <c r="R232" s="991" t="s">
        <v>689</v>
      </c>
      <c r="S232" s="991" t="s">
        <v>690</v>
      </c>
      <c r="T232" s="991" t="s">
        <v>690</v>
      </c>
      <c r="X232" s="1044">
        <v>1000000</v>
      </c>
    </row>
    <row r="233" spans="5:25" x14ac:dyDescent="0.5">
      <c r="O233" s="991" t="s">
        <v>691</v>
      </c>
      <c r="Q233" s="991">
        <v>0.13982485683049736</v>
      </c>
      <c r="R233" s="991">
        <v>0.58183189583035033</v>
      </c>
      <c r="S233" s="991">
        <v>0.46251788423384099</v>
      </c>
      <c r="T233" s="991">
        <v>0.88155521155451289</v>
      </c>
      <c r="V233" s="991">
        <v>0.24936930541744848</v>
      </c>
      <c r="W233" s="991">
        <v>0.63035817781897763</v>
      </c>
      <c r="X233" s="1044"/>
      <c r="Y233" s="991">
        <v>0.37011585026374355</v>
      </c>
    </row>
    <row r="235" spans="5:25" x14ac:dyDescent="0.5">
      <c r="O235" s="991" t="s">
        <v>692</v>
      </c>
      <c r="V235" s="991">
        <f>W233-V233</f>
        <v>0.38098887240152912</v>
      </c>
    </row>
    <row r="236" spans="5:25" x14ac:dyDescent="0.5">
      <c r="O236" s="991" t="s">
        <v>693</v>
      </c>
      <c r="V236" s="991">
        <f>V235*SUM(V230:V231)</f>
        <v>0.68966605682125071</v>
      </c>
      <c r="W236" s="991" t="s">
        <v>694</v>
      </c>
    </row>
    <row r="237" spans="5:25" x14ac:dyDescent="0.5">
      <c r="O237" s="991" t="s">
        <v>695</v>
      </c>
      <c r="V237" s="991">
        <v>652</v>
      </c>
      <c r="W237" s="991" t="s">
        <v>696</v>
      </c>
    </row>
    <row r="238" spans="5:25" x14ac:dyDescent="0.5">
      <c r="O238" s="991" t="s">
        <v>697</v>
      </c>
      <c r="V238" s="991">
        <f>V237*V236</f>
        <v>449.66226904745548</v>
      </c>
      <c r="W238" s="991" t="s">
        <v>694</v>
      </c>
    </row>
    <row r="239" spans="5:25" x14ac:dyDescent="0.5">
      <c r="I239" s="991">
        <v>0.115</v>
      </c>
    </row>
    <row r="240" spans="5:25" x14ac:dyDescent="0.5">
      <c r="E240" s="991" t="s">
        <v>698</v>
      </c>
      <c r="H240" s="991">
        <f>+I239</f>
        <v>0.115</v>
      </c>
      <c r="I240" s="991">
        <v>7.0999999999999994E-2</v>
      </c>
    </row>
    <row r="241" spans="2:20" x14ac:dyDescent="0.5">
      <c r="B241" s="991" t="s">
        <v>699</v>
      </c>
      <c r="O241" s="991" t="s">
        <v>700</v>
      </c>
      <c r="R241" s="991" t="s">
        <v>701</v>
      </c>
      <c r="S241" s="1045" t="s">
        <v>702</v>
      </c>
    </row>
    <row r="242" spans="2:20" x14ac:dyDescent="0.5">
      <c r="B242" s="991" t="s">
        <v>703</v>
      </c>
      <c r="C242" s="991">
        <v>1</v>
      </c>
      <c r="O242" s="991" t="s">
        <v>704</v>
      </c>
      <c r="P242" s="991" t="s">
        <v>705</v>
      </c>
      <c r="Q242" s="1046" t="e">
        <f>((P188+P189)/P192)*X192</f>
        <v>#DIV/0!</v>
      </c>
      <c r="R242" s="1045" t="e">
        <f t="shared" ref="R242:R251" si="15">Q242/Q$251</f>
        <v>#DIV/0!</v>
      </c>
      <c r="S242" s="1045">
        <v>8.5999999999999993E-2</v>
      </c>
    </row>
    <row r="243" spans="2:20" x14ac:dyDescent="0.5">
      <c r="B243" s="991" t="s">
        <v>706</v>
      </c>
      <c r="P243" s="991" t="s">
        <v>707</v>
      </c>
      <c r="Q243" s="1046" t="e">
        <f>X192-Q242</f>
        <v>#DIV/0!</v>
      </c>
      <c r="R243" s="1045" t="e">
        <f t="shared" si="15"/>
        <v>#DIV/0!</v>
      </c>
      <c r="S243" s="1045">
        <v>2.5999999999999999E-2</v>
      </c>
    </row>
    <row r="244" spans="2:20" x14ac:dyDescent="0.5">
      <c r="B244" s="991" t="s">
        <v>708</v>
      </c>
      <c r="O244" s="991" t="s">
        <v>709</v>
      </c>
      <c r="P244" s="991" t="s">
        <v>710</v>
      </c>
      <c r="Q244" s="1046" t="e">
        <f>(Q193/Q195)*Y195</f>
        <v>#DIV/0!</v>
      </c>
      <c r="R244" s="1045" t="e">
        <f t="shared" si="15"/>
        <v>#DIV/0!</v>
      </c>
      <c r="S244" s="1045">
        <v>6.8000000000000005E-2</v>
      </c>
    </row>
    <row r="245" spans="2:20" x14ac:dyDescent="0.5">
      <c r="C245" s="1047"/>
      <c r="D245" s="1047"/>
      <c r="E245" s="1047">
        <v>2020</v>
      </c>
      <c r="F245" s="1047">
        <v>21</v>
      </c>
      <c r="G245" s="1047">
        <f>F245+1</f>
        <v>22</v>
      </c>
      <c r="H245" s="1047">
        <f>G245+1</f>
        <v>23</v>
      </c>
      <c r="I245" s="1047">
        <f>H245+1</f>
        <v>24</v>
      </c>
      <c r="J245" s="1047">
        <f>I245+1</f>
        <v>25</v>
      </c>
      <c r="P245" s="991" t="s">
        <v>711</v>
      </c>
      <c r="Q245" s="1046" t="e">
        <f>Y195-Q244</f>
        <v>#DIV/0!</v>
      </c>
      <c r="R245" s="1045" t="e">
        <f t="shared" si="15"/>
        <v>#DIV/0!</v>
      </c>
      <c r="S245" s="1045">
        <v>3.7999999999999999E-2</v>
      </c>
    </row>
    <row r="246" spans="2:20" x14ac:dyDescent="0.5">
      <c r="C246" s="1048" t="s">
        <v>712</v>
      </c>
      <c r="D246" s="1047"/>
      <c r="E246" s="1049">
        <v>-5.8500000000000003E-2</v>
      </c>
      <c r="F246" s="1049">
        <v>-0.02</v>
      </c>
      <c r="G246" s="1049">
        <v>2.5000000000000001E-2</v>
      </c>
      <c r="H246" s="1049">
        <f>$H$240</f>
        <v>0.115</v>
      </c>
      <c r="I246" s="1049">
        <v>6.5000000000000002E-2</v>
      </c>
      <c r="J246" s="1049">
        <v>0.05</v>
      </c>
      <c r="O246" s="991" t="s">
        <v>713</v>
      </c>
      <c r="P246" s="991" t="s">
        <v>714</v>
      </c>
      <c r="Q246" s="1046" t="e">
        <f>R196/SUM(R196:R197)*Z198</f>
        <v>#DIV/0!</v>
      </c>
      <c r="R246" s="1045" t="e">
        <f t="shared" si="15"/>
        <v>#DIV/0!</v>
      </c>
      <c r="S246" s="1045">
        <v>0.1</v>
      </c>
      <c r="T246" s="1045">
        <v>0.34499999999999997</v>
      </c>
    </row>
    <row r="247" spans="2:20" x14ac:dyDescent="0.5">
      <c r="C247" s="1047" t="s">
        <v>715</v>
      </c>
      <c r="D247" s="1047"/>
      <c r="E247" s="1049">
        <v>-5.8500000000000003E-2</v>
      </c>
      <c r="F247" s="1049">
        <f>$H$240</f>
        <v>0.115</v>
      </c>
      <c r="G247" s="1049">
        <f>$H$240</f>
        <v>0.115</v>
      </c>
      <c r="H247" s="1049">
        <f>$H$240</f>
        <v>0.115</v>
      </c>
      <c r="I247" s="1049">
        <v>6.5000000000000002E-2</v>
      </c>
      <c r="J247" s="1049">
        <v>0.05</v>
      </c>
      <c r="P247" s="991" t="s">
        <v>716</v>
      </c>
      <c r="Q247" s="1046" t="e">
        <f>Z198-Q246</f>
        <v>#DIV/0!</v>
      </c>
      <c r="R247" s="1045" t="e">
        <f t="shared" si="15"/>
        <v>#DIV/0!</v>
      </c>
      <c r="S247" s="1045">
        <v>0.1</v>
      </c>
      <c r="T247" s="1045">
        <v>0.34499999999999997</v>
      </c>
    </row>
    <row r="248" spans="2:20" x14ac:dyDescent="0.5">
      <c r="C248" s="1047" t="s">
        <v>717</v>
      </c>
      <c r="D248" s="1050">
        <f>IF(C242=2,1,0)</f>
        <v>0</v>
      </c>
      <c r="E248" s="1047"/>
      <c r="F248" s="1047"/>
      <c r="G248" s="1047"/>
      <c r="H248" s="1047"/>
      <c r="I248" s="1047"/>
      <c r="J248" s="1047"/>
      <c r="O248" s="991" t="s">
        <v>718</v>
      </c>
      <c r="P248" s="991" t="s">
        <v>719</v>
      </c>
      <c r="Q248" s="1046">
        <f>AA199</f>
        <v>0</v>
      </c>
      <c r="R248" s="1045" t="e">
        <f t="shared" si="15"/>
        <v>#DIV/0!</v>
      </c>
      <c r="S248" s="1045">
        <v>3.7999999999999999E-2</v>
      </c>
    </row>
    <row r="249" spans="2:20" x14ac:dyDescent="0.5">
      <c r="C249" s="1051" t="s">
        <v>720</v>
      </c>
      <c r="D249" s="1051"/>
      <c r="E249" s="1052">
        <f t="shared" ref="E249:J249" si="16">IF($D$248=1,E246,E247)</f>
        <v>-5.8500000000000003E-2</v>
      </c>
      <c r="F249" s="1052">
        <f t="shared" si="16"/>
        <v>0.115</v>
      </c>
      <c r="G249" s="1052">
        <f t="shared" si="16"/>
        <v>0.115</v>
      </c>
      <c r="H249" s="1052">
        <f t="shared" si="16"/>
        <v>0.115</v>
      </c>
      <c r="I249" s="1052">
        <f t="shared" si="16"/>
        <v>6.5000000000000002E-2</v>
      </c>
      <c r="J249" s="1052">
        <f t="shared" si="16"/>
        <v>0.05</v>
      </c>
      <c r="O249" s="991" t="s">
        <v>721</v>
      </c>
      <c r="P249" s="991" t="s">
        <v>722</v>
      </c>
      <c r="Q249" s="1046">
        <f>AB200</f>
        <v>0</v>
      </c>
      <c r="R249" s="1045" t="e">
        <f t="shared" si="15"/>
        <v>#DIV/0!</v>
      </c>
      <c r="S249" s="1045">
        <v>4.1000000000000002E-2</v>
      </c>
    </row>
    <row r="250" spans="2:20" x14ac:dyDescent="0.5">
      <c r="C250" s="1051"/>
      <c r="D250" s="1051"/>
      <c r="E250" s="1051"/>
      <c r="F250" s="1051"/>
      <c r="G250" s="1051"/>
      <c r="H250" s="1051"/>
      <c r="I250" s="1051"/>
      <c r="J250" s="1051"/>
      <c r="O250" s="991" t="s">
        <v>723</v>
      </c>
      <c r="Q250" s="1046">
        <f>AC201</f>
        <v>0</v>
      </c>
      <c r="R250" s="1045" t="e">
        <f t="shared" si="15"/>
        <v>#DIV/0!</v>
      </c>
      <c r="S250" s="1045">
        <v>3.7999999999999999E-2</v>
      </c>
    </row>
    <row r="251" spans="2:20" x14ac:dyDescent="0.5">
      <c r="C251" s="1048" t="s">
        <v>724</v>
      </c>
      <c r="D251" s="1047"/>
      <c r="E251" s="1047"/>
      <c r="F251" s="1047"/>
      <c r="G251" s="1047"/>
      <c r="H251" s="1047"/>
      <c r="I251" s="1047"/>
      <c r="J251" s="1047"/>
      <c r="Q251" s="1053" t="e">
        <f>SUM(Q242:Q250)</f>
        <v>#DIV/0!</v>
      </c>
      <c r="R251" s="1045" t="e">
        <f t="shared" si="15"/>
        <v>#DIV/0!</v>
      </c>
      <c r="S251" s="1054" t="e">
        <f>SUMPRODUCT(S242:S250,R242:R250)</f>
        <v>#DIV/0!</v>
      </c>
    </row>
    <row r="252" spans="2:20" x14ac:dyDescent="0.5">
      <c r="C252" s="1051" t="s">
        <v>725</v>
      </c>
      <c r="D252" s="1051"/>
      <c r="E252" s="1055">
        <v>0.19</v>
      </c>
      <c r="F252" s="1052">
        <f>E252+0.05</f>
        <v>0.24</v>
      </c>
      <c r="G252" s="1052">
        <f>F252+0.05</f>
        <v>0.28999999999999998</v>
      </c>
      <c r="H252" s="1052">
        <f>G252+0.05</f>
        <v>0.33999999999999997</v>
      </c>
      <c r="I252" s="1052">
        <f>H252+0.05</f>
        <v>0.38999999999999996</v>
      </c>
      <c r="J252" s="1052">
        <f>I252+0.05</f>
        <v>0.43999999999999995</v>
      </c>
    </row>
    <row r="253" spans="2:20" x14ac:dyDescent="0.5">
      <c r="C253" s="1051" t="s">
        <v>726</v>
      </c>
      <c r="D253" s="1051"/>
      <c r="E253" s="1056">
        <f t="shared" ref="E253:J253" si="17">X220</f>
        <v>0</v>
      </c>
      <c r="F253" s="1056">
        <f t="shared" si="17"/>
        <v>0</v>
      </c>
      <c r="G253" s="1056">
        <f t="shared" si="17"/>
        <v>0</v>
      </c>
      <c r="H253" s="1056">
        <f t="shared" si="17"/>
        <v>0</v>
      </c>
      <c r="I253" s="1056">
        <f t="shared" si="17"/>
        <v>0</v>
      </c>
      <c r="J253" s="1056">
        <f t="shared" si="17"/>
        <v>0</v>
      </c>
    </row>
    <row r="254" spans="2:20" x14ac:dyDescent="0.5">
      <c r="C254" s="1051" t="s">
        <v>727</v>
      </c>
      <c r="D254" s="1051"/>
      <c r="E254" s="1052">
        <f t="shared" ref="E254:J254" si="18">E253*E252</f>
        <v>0</v>
      </c>
      <c r="F254" s="1052">
        <f t="shared" si="18"/>
        <v>0</v>
      </c>
      <c r="G254" s="1052">
        <f t="shared" si="18"/>
        <v>0</v>
      </c>
      <c r="H254" s="1052">
        <f t="shared" si="18"/>
        <v>0</v>
      </c>
      <c r="I254" s="1052">
        <f t="shared" si="18"/>
        <v>0</v>
      </c>
      <c r="J254" s="1052">
        <f t="shared" si="18"/>
        <v>0</v>
      </c>
    </row>
    <row r="255" spans="2:20" x14ac:dyDescent="0.5">
      <c r="C255" s="1051" t="s">
        <v>728</v>
      </c>
      <c r="D255" s="1052">
        <v>0.45</v>
      </c>
      <c r="E255" s="1052">
        <f t="shared" ref="E255:J255" si="19">$D$255*E254</f>
        <v>0</v>
      </c>
      <c r="F255" s="1052">
        <f t="shared" si="19"/>
        <v>0</v>
      </c>
      <c r="G255" s="1052">
        <f t="shared" si="19"/>
        <v>0</v>
      </c>
      <c r="H255" s="1052">
        <f t="shared" si="19"/>
        <v>0</v>
      </c>
      <c r="I255" s="1052">
        <f t="shared" si="19"/>
        <v>0</v>
      </c>
      <c r="J255" s="1052">
        <f t="shared" si="19"/>
        <v>0</v>
      </c>
    </row>
    <row r="256" spans="2:20" x14ac:dyDescent="0.5">
      <c r="C256" s="1051" t="s">
        <v>717</v>
      </c>
      <c r="D256" s="1050">
        <f>IF(C242=1,1,0)</f>
        <v>1</v>
      </c>
      <c r="E256" s="1052">
        <f t="shared" ref="E256:J256" si="20">IF($Q$56, MAX(E255,E249),E249)</f>
        <v>-5.8500000000000003E-2</v>
      </c>
      <c r="F256" s="1052">
        <f t="shared" si="20"/>
        <v>0.115</v>
      </c>
      <c r="G256" s="1052">
        <f t="shared" si="20"/>
        <v>0.115</v>
      </c>
      <c r="H256" s="1052">
        <f t="shared" si="20"/>
        <v>0.115</v>
      </c>
      <c r="I256" s="1052">
        <f t="shared" si="20"/>
        <v>6.5000000000000002E-2</v>
      </c>
      <c r="J256" s="1052">
        <f t="shared" si="20"/>
        <v>0.05</v>
      </c>
    </row>
    <row r="257" spans="3:10" x14ac:dyDescent="0.5">
      <c r="C257" s="1051"/>
      <c r="D257" s="1051"/>
      <c r="E257" s="1051"/>
      <c r="F257" s="1051"/>
      <c r="G257" s="1051"/>
      <c r="H257" s="1051"/>
      <c r="I257" s="1051"/>
      <c r="J257" s="1051"/>
    </row>
    <row r="258" spans="3:10" x14ac:dyDescent="0.5">
      <c r="C258" s="1048" t="s">
        <v>729</v>
      </c>
      <c r="D258" s="1051"/>
      <c r="E258" s="1051"/>
      <c r="F258" s="1051"/>
      <c r="G258" s="1051"/>
      <c r="H258" s="1051"/>
      <c r="I258" s="1051"/>
      <c r="J258" s="1051"/>
    </row>
    <row r="259" spans="3:10" x14ac:dyDescent="0.5">
      <c r="C259" s="1051" t="s">
        <v>730</v>
      </c>
      <c r="D259" s="1051"/>
      <c r="E259" s="1051"/>
      <c r="F259" s="1051"/>
      <c r="G259" s="1051"/>
      <c r="H259" s="1051"/>
      <c r="I259" s="1051"/>
      <c r="J259" s="1051"/>
    </row>
    <row r="260" spans="3:10" x14ac:dyDescent="0.5">
      <c r="C260" s="1047" t="s">
        <v>731</v>
      </c>
      <c r="D260" s="1057">
        <f>W233</f>
        <v>0.63035817781897763</v>
      </c>
      <c r="E260" s="1047" t="s">
        <v>732</v>
      </c>
      <c r="F260" s="1057">
        <f>V233</f>
        <v>0.24936930541744848</v>
      </c>
      <c r="G260" s="1047" t="s">
        <v>733</v>
      </c>
      <c r="H260" s="1047" t="s">
        <v>734</v>
      </c>
      <c r="I260" s="1047">
        <v>4</v>
      </c>
      <c r="J260" s="1047" t="s">
        <v>735</v>
      </c>
    </row>
    <row r="261" spans="3:10" x14ac:dyDescent="0.5">
      <c r="C261" s="1047" t="s">
        <v>736</v>
      </c>
      <c r="D261" s="1047"/>
      <c r="E261" s="1047">
        <v>0</v>
      </c>
      <c r="F261" s="1058">
        <f>$V$238/$I$260</f>
        <v>112.41556726186387</v>
      </c>
      <c r="G261" s="1058">
        <f>$V$238/$I$260</f>
        <v>112.41556726186387</v>
      </c>
      <c r="H261" s="1058">
        <f>$V$238/$I$260</f>
        <v>112.41556726186387</v>
      </c>
      <c r="I261" s="1058">
        <f>$V$238/$I$260</f>
        <v>112.41556726186387</v>
      </c>
      <c r="J261" s="1047">
        <v>0</v>
      </c>
    </row>
    <row r="262" spans="3:10" x14ac:dyDescent="0.5">
      <c r="C262" s="1047" t="s">
        <v>737</v>
      </c>
      <c r="D262" s="1057">
        <v>0.9</v>
      </c>
      <c r="E262" s="1047">
        <v>0</v>
      </c>
      <c r="F262" s="1059">
        <f>F261*$D$262</f>
        <v>101.17401053567748</v>
      </c>
      <c r="G262" s="1059">
        <f>G261*$D$262</f>
        <v>101.17401053567748</v>
      </c>
      <c r="H262" s="1059">
        <f>H261*$D$262</f>
        <v>101.17401053567748</v>
      </c>
      <c r="I262" s="1059">
        <f>I261*$D$262</f>
        <v>101.17401053567748</v>
      </c>
      <c r="J262" s="1059">
        <f>J261*$Q$62</f>
        <v>0</v>
      </c>
    </row>
    <row r="263" spans="3:10" x14ac:dyDescent="0.5">
      <c r="C263" s="1047" t="s">
        <v>717</v>
      </c>
      <c r="D263" s="1050">
        <f>IF(C242=1,1,)</f>
        <v>1</v>
      </c>
      <c r="E263" s="1047"/>
      <c r="F263" s="1059"/>
      <c r="G263" s="1059"/>
      <c r="H263" s="1059"/>
      <c r="I263" s="1059"/>
      <c r="J263" s="1059"/>
    </row>
    <row r="264" spans="3:10" x14ac:dyDescent="0.5">
      <c r="C264" s="1047" t="s">
        <v>738</v>
      </c>
      <c r="D264" s="1057">
        <v>0.15</v>
      </c>
      <c r="E264" s="1047">
        <v>0</v>
      </c>
      <c r="F264" s="1059">
        <f>F262*(1-$D$264)*$D$263</f>
        <v>85.997908955325855</v>
      </c>
      <c r="G264" s="1059">
        <f>G262*(1-$D$264)*$D$263</f>
        <v>85.997908955325855</v>
      </c>
      <c r="H264" s="1059">
        <f>H262*(1-$D$264)*$D$263</f>
        <v>85.997908955325855</v>
      </c>
      <c r="I264" s="1059">
        <f>I262*(1-$D$264)*$D$263</f>
        <v>85.997908955325855</v>
      </c>
      <c r="J264" s="1059">
        <f>J262*(1-$D$264)*$D$263</f>
        <v>0</v>
      </c>
    </row>
    <row r="265" spans="3:10" x14ac:dyDescent="0.5">
      <c r="C265" s="1030"/>
      <c r="D265" s="1030"/>
      <c r="E265" s="1030"/>
      <c r="F265" s="1030"/>
      <c r="G265" s="1030"/>
      <c r="H265" s="1030"/>
      <c r="I265" s="1030"/>
      <c r="J265" s="1030"/>
    </row>
    <row r="266" spans="3:10" x14ac:dyDescent="0.5">
      <c r="C266" s="1048" t="s">
        <v>739</v>
      </c>
      <c r="D266" s="1030"/>
      <c r="E266" s="1030"/>
      <c r="F266" s="1030"/>
      <c r="G266" s="1030"/>
      <c r="H266" s="1030"/>
      <c r="I266" s="1030"/>
      <c r="J266" s="1030"/>
    </row>
    <row r="267" spans="3:10" x14ac:dyDescent="0.5">
      <c r="C267" s="1047" t="s">
        <v>740</v>
      </c>
      <c r="D267" s="1030"/>
      <c r="E267" s="1047">
        <v>1</v>
      </c>
      <c r="F267" s="1047">
        <v>0</v>
      </c>
      <c r="G267" s="1047">
        <v>1</v>
      </c>
      <c r="H267" s="1047">
        <v>0</v>
      </c>
      <c r="I267" s="1047">
        <v>1</v>
      </c>
      <c r="J267" s="1030"/>
    </row>
    <row r="268" spans="3:10" x14ac:dyDescent="0.5">
      <c r="C268" s="1047" t="s">
        <v>741</v>
      </c>
      <c r="D268" s="1030"/>
      <c r="E268" s="1047">
        <v>25</v>
      </c>
      <c r="F268" s="1047">
        <v>25</v>
      </c>
      <c r="G268" s="1047">
        <v>25</v>
      </c>
      <c r="H268" s="1047">
        <v>25</v>
      </c>
      <c r="I268" s="1047">
        <v>25</v>
      </c>
      <c r="J268" s="1030"/>
    </row>
    <row r="269" spans="3:10" x14ac:dyDescent="0.5">
      <c r="C269" s="1047" t="s">
        <v>742</v>
      </c>
      <c r="D269" s="1030"/>
      <c r="E269" s="1047">
        <f>E268*E267</f>
        <v>25</v>
      </c>
      <c r="F269" s="1047">
        <f>F268*F267</f>
        <v>0</v>
      </c>
      <c r="G269" s="1047">
        <f>G268*G267</f>
        <v>25</v>
      </c>
      <c r="H269" s="1047">
        <f>H268*H267</f>
        <v>0</v>
      </c>
      <c r="I269" s="1047">
        <f>I268*I267</f>
        <v>25</v>
      </c>
      <c r="J269" s="1030"/>
    </row>
    <row r="270" spans="3:10" x14ac:dyDescent="0.5">
      <c r="C270" s="1047" t="s">
        <v>717</v>
      </c>
      <c r="D270" s="1050">
        <v>0</v>
      </c>
      <c r="E270" s="1047">
        <f>$Q$92*E269</f>
        <v>0</v>
      </c>
      <c r="F270" s="1047">
        <f>$Q$92*F269</f>
        <v>0</v>
      </c>
      <c r="G270" s="1047">
        <f>$Q$92*G269</f>
        <v>0</v>
      </c>
      <c r="H270" s="1047">
        <f>$Q$92*H269</f>
        <v>0</v>
      </c>
      <c r="I270" s="1047">
        <f>$Q$92*I269</f>
        <v>0</v>
      </c>
      <c r="J270" s="1030"/>
    </row>
    <row r="271" spans="3:10" x14ac:dyDescent="0.5">
      <c r="C271" s="1047"/>
      <c r="D271" s="1050"/>
      <c r="E271" s="1047"/>
      <c r="F271" s="1047"/>
      <c r="G271" s="1047"/>
      <c r="H271" s="1047"/>
      <c r="I271" s="1047"/>
      <c r="J271" s="1030"/>
    </row>
    <row r="272" spans="3:10" x14ac:dyDescent="0.5">
      <c r="C272" s="1048" t="s">
        <v>743</v>
      </c>
      <c r="D272" s="1030"/>
      <c r="E272" s="1030"/>
      <c r="F272" s="1030"/>
      <c r="G272" s="1030"/>
      <c r="H272" s="1030"/>
      <c r="I272" s="1030"/>
      <c r="J272" s="1030"/>
    </row>
    <row r="273" spans="2:10" x14ac:dyDescent="0.5">
      <c r="C273" s="1030">
        <v>2019</v>
      </c>
      <c r="D273" s="1030">
        <v>2020</v>
      </c>
      <c r="E273" s="1030">
        <v>21</v>
      </c>
      <c r="F273" s="1030">
        <f>+E273+1</f>
        <v>22</v>
      </c>
      <c r="G273" s="1030">
        <f>+F273+1</f>
        <v>23</v>
      </c>
      <c r="H273" s="1030">
        <f>+G273+1</f>
        <v>24</v>
      </c>
      <c r="I273" s="1030">
        <f>+H273+1</f>
        <v>25</v>
      </c>
    </row>
    <row r="274" spans="2:10" x14ac:dyDescent="0.5">
      <c r="B274" s="991">
        <v>1</v>
      </c>
      <c r="C274" s="1049">
        <v>0.11600000000000001</v>
      </c>
      <c r="D274" s="1049">
        <f>80.2/726.6</f>
        <v>0.11037709881640517</v>
      </c>
      <c r="E274" s="1049">
        <f>D274+0.015</f>
        <v>0.12537709881640519</v>
      </c>
      <c r="F274" s="1049">
        <f>E274+0.015</f>
        <v>0.1403770988164052</v>
      </c>
      <c r="G274" s="1049">
        <v>0.154</v>
      </c>
      <c r="H274" s="1049">
        <f>G274</f>
        <v>0.154</v>
      </c>
      <c r="I274" s="1049">
        <f>H274</f>
        <v>0.154</v>
      </c>
    </row>
    <row r="275" spans="2:10" x14ac:dyDescent="0.5">
      <c r="B275" s="991">
        <v>2</v>
      </c>
      <c r="C275" s="1049">
        <f>C274</f>
        <v>0.11600000000000001</v>
      </c>
      <c r="D275" s="1049">
        <f>D274</f>
        <v>0.11037709881640517</v>
      </c>
      <c r="E275" s="1049">
        <f>$C275</f>
        <v>0.11600000000000001</v>
      </c>
      <c r="F275" s="1049">
        <f>$C275</f>
        <v>0.11600000000000001</v>
      </c>
      <c r="G275" s="1049">
        <f>$C275</f>
        <v>0.11600000000000001</v>
      </c>
      <c r="H275" s="1049">
        <f>$C275</f>
        <v>0.11600000000000001</v>
      </c>
      <c r="I275" s="1049">
        <f>$C275</f>
        <v>0.11600000000000001</v>
      </c>
    </row>
    <row r="276" spans="2:10" x14ac:dyDescent="0.5">
      <c r="C276" s="1049"/>
      <c r="D276" s="1049"/>
      <c r="E276" s="1049"/>
      <c r="F276" s="1049"/>
      <c r="G276" s="1049"/>
      <c r="H276" s="1049"/>
      <c r="I276" s="1049"/>
    </row>
    <row r="277" spans="2:10" x14ac:dyDescent="0.5">
      <c r="C277" s="1030"/>
      <c r="D277" s="1030"/>
      <c r="E277" s="1030"/>
      <c r="F277" s="1030"/>
      <c r="G277" s="1030"/>
      <c r="H277" s="1030"/>
      <c r="I277" s="1030"/>
      <c r="J277" s="1030"/>
    </row>
    <row r="278" spans="2:10" x14ac:dyDescent="0.5">
      <c r="C278" s="991">
        <v>2019</v>
      </c>
      <c r="D278" s="991">
        <v>2020</v>
      </c>
      <c r="E278" s="991">
        <v>21</v>
      </c>
      <c r="F278" s="991">
        <f>E278+1</f>
        <v>22</v>
      </c>
      <c r="G278" s="991">
        <f>F278+1</f>
        <v>23</v>
      </c>
      <c r="H278" s="991">
        <f>G278+1</f>
        <v>24</v>
      </c>
      <c r="I278" s="991">
        <f>H278+1</f>
        <v>25</v>
      </c>
    </row>
    <row r="279" spans="2:10" x14ac:dyDescent="0.5">
      <c r="B279" s="991" t="s">
        <v>644</v>
      </c>
      <c r="C279" s="1026">
        <f>Y53</f>
        <v>0</v>
      </c>
      <c r="D279" s="1026">
        <f t="shared" ref="D279:I279" si="21">(1+E256)*C279</f>
        <v>0</v>
      </c>
      <c r="E279" s="1026">
        <f t="shared" si="21"/>
        <v>0</v>
      </c>
      <c r="F279" s="1026">
        <f t="shared" si="21"/>
        <v>0</v>
      </c>
      <c r="G279" s="1026">
        <f t="shared" si="21"/>
        <v>0</v>
      </c>
      <c r="H279" s="1026">
        <f t="shared" si="21"/>
        <v>0</v>
      </c>
      <c r="I279" s="1026">
        <f t="shared" si="21"/>
        <v>0</v>
      </c>
    </row>
    <row r="280" spans="2:10" x14ac:dyDescent="0.5">
      <c r="B280" s="991" t="s">
        <v>744</v>
      </c>
      <c r="C280" s="1038">
        <f t="shared" ref="C280:I280" si="22">C274</f>
        <v>0.11600000000000001</v>
      </c>
      <c r="D280" s="1038">
        <f t="shared" si="22"/>
        <v>0.11037709881640517</v>
      </c>
      <c r="E280" s="1038">
        <f t="shared" si="22"/>
        <v>0.12537709881640519</v>
      </c>
      <c r="F280" s="1038">
        <f t="shared" si="22"/>
        <v>0.1403770988164052</v>
      </c>
      <c r="G280" s="1038">
        <f t="shared" si="22"/>
        <v>0.154</v>
      </c>
      <c r="H280" s="1038">
        <f t="shared" si="22"/>
        <v>0.154</v>
      </c>
      <c r="I280" s="1038">
        <f t="shared" si="22"/>
        <v>0.154</v>
      </c>
    </row>
    <row r="281" spans="2:10" x14ac:dyDescent="0.5">
      <c r="B281" s="991" t="s">
        <v>744</v>
      </c>
      <c r="C281" s="1039">
        <f t="shared" ref="C281:I281" si="23">C280*C279</f>
        <v>0</v>
      </c>
      <c r="D281" s="1039">
        <f t="shared" si="23"/>
        <v>0</v>
      </c>
      <c r="E281" s="1039">
        <f t="shared" si="23"/>
        <v>0</v>
      </c>
      <c r="F281" s="1039">
        <f t="shared" si="23"/>
        <v>0</v>
      </c>
      <c r="G281" s="1039">
        <f t="shared" si="23"/>
        <v>0</v>
      </c>
      <c r="H281" s="1039">
        <f t="shared" si="23"/>
        <v>0</v>
      </c>
      <c r="I281" s="1039">
        <f t="shared" si="23"/>
        <v>0</v>
      </c>
    </row>
  </sheetData>
  <hyperlinks>
    <hyperlink ref="A2" r:id="rId1" xr:uid="{880C8115-4224-427D-B180-CCB25C9BC8BD}"/>
    <hyperlink ref="B92" r:id="rId2" xr:uid="{9C96BAEB-8E9E-4B72-BB52-3E52C91681E5}"/>
    <hyperlink ref="B93" r:id="rId3" xr:uid="{938FF125-0C50-4666-B1B5-C14BE050E721}"/>
    <hyperlink ref="B94" r:id="rId4" location="72e90b847961" xr:uid="{F2E19642-2946-4BA0-8A90-64A343799552}"/>
    <hyperlink ref="B95" r:id="rId5" xr:uid="{B6CAF01D-5DD9-4C35-B677-BD9034516138}"/>
  </hyperlinks>
  <pageMargins left="0.25" right="0.25" top="0.75" bottom="0.75" header="0.3" footer="0.3"/>
  <pageSetup scale="43" fitToHeight="0" orientation="portrait" horizontalDpi="300" verticalDpi="300"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3DCDA-5F6A-4C96-9C65-2A8F2F804EAA}">
  <dimension ref="A2:AC149"/>
  <sheetViews>
    <sheetView topLeftCell="A31" zoomScale="115" zoomScaleNormal="115" workbookViewId="0">
      <selection activeCell="A37" sqref="A37"/>
    </sheetView>
  </sheetViews>
  <sheetFormatPr defaultColWidth="7.265625" defaultRowHeight="14.1" customHeight="1" x14ac:dyDescent="0.45"/>
  <cols>
    <col min="1" max="1" width="28.59765625" style="1060" customWidth="1"/>
    <col min="2" max="2" width="8.265625" style="1060" customWidth="1"/>
    <col min="3" max="4" width="8.3984375" style="1060" bestFit="1" customWidth="1"/>
    <col min="5" max="6" width="10.1328125" style="1060" bestFit="1" customWidth="1"/>
    <col min="7" max="7" width="12.3984375" style="1060" bestFit="1" customWidth="1"/>
    <col min="8" max="8" width="11.265625" style="1060" bestFit="1" customWidth="1"/>
    <col min="9" max="12" width="9.73046875" style="1060" bestFit="1" customWidth="1"/>
    <col min="13" max="13" width="10.1328125" style="1060" bestFit="1" customWidth="1"/>
    <col min="14" max="14" width="7.265625" style="1060"/>
    <col min="15" max="16" width="7.73046875" style="1060" bestFit="1" customWidth="1"/>
    <col min="17" max="17" width="7.86328125" style="1060" bestFit="1" customWidth="1"/>
    <col min="18" max="19" width="9.1328125" style="1060" bestFit="1" customWidth="1"/>
    <col min="20" max="16384" width="7.265625" style="1060"/>
  </cols>
  <sheetData>
    <row r="2" spans="1:14" ht="14.1" customHeight="1" x14ac:dyDescent="0.45">
      <c r="A2" s="1060" t="s">
        <v>745</v>
      </c>
      <c r="B2" s="1061" t="e" vm="2">
        <v>#VALUE!</v>
      </c>
      <c r="C2" s="1060" t="s">
        <v>746</v>
      </c>
    </row>
    <row r="3" spans="1:14" ht="14.1" customHeight="1" x14ac:dyDescent="0.45">
      <c r="A3" s="1060" t="s">
        <v>747</v>
      </c>
      <c r="B3" s="1062" t="s">
        <v>748</v>
      </c>
      <c r="C3" s="1060" t="s">
        <v>749</v>
      </c>
      <c r="I3" s="1063" t="s">
        <v>750</v>
      </c>
      <c r="J3" s="1063"/>
      <c r="K3" s="1063"/>
      <c r="L3" s="1063"/>
      <c r="M3" s="1064">
        <v>5</v>
      </c>
    </row>
    <row r="4" spans="1:14" ht="14.1" customHeight="1" x14ac:dyDescent="0.45">
      <c r="A4" s="1060" t="s">
        <v>751</v>
      </c>
      <c r="B4" s="1065">
        <f ca="1">TODAY()</f>
        <v>44035</v>
      </c>
      <c r="I4" s="1063" t="s">
        <v>631</v>
      </c>
      <c r="J4" s="1063"/>
      <c r="K4" s="1063"/>
      <c r="L4" s="1063"/>
      <c r="M4" s="1066">
        <f ca="1">H99</f>
        <v>40.38215787135853</v>
      </c>
    </row>
    <row r="5" spans="1:14" ht="14.1" customHeight="1" x14ac:dyDescent="0.45">
      <c r="B5" s="1065"/>
      <c r="I5" s="1063" t="s">
        <v>633</v>
      </c>
      <c r="J5" s="1063"/>
      <c r="K5" s="1063"/>
      <c r="L5" s="1063"/>
      <c r="M5" s="1066" cm="1">
        <f t="array" ref="M5">_FV(B2,"Price")</f>
        <v>11.5</v>
      </c>
      <c r="N5" s="1060" t="s">
        <v>752</v>
      </c>
    </row>
    <row r="6" spans="1:14" ht="14.1" customHeight="1" x14ac:dyDescent="0.45">
      <c r="A6" s="1060" t="s">
        <v>753</v>
      </c>
      <c r="B6" s="1062" t="s">
        <v>754</v>
      </c>
      <c r="I6" s="1063" t="s">
        <v>634</v>
      </c>
      <c r="J6" s="1063"/>
      <c r="K6" s="1063"/>
      <c r="L6" s="1063"/>
      <c r="M6" s="1066">
        <f ca="1">M4/(1+0.1)^M3</f>
        <v>25.074142893467606</v>
      </c>
      <c r="N6" s="1067" t="s">
        <v>755</v>
      </c>
    </row>
    <row r="7" spans="1:14" ht="14.1" customHeight="1" x14ac:dyDescent="0.45">
      <c r="A7" s="1060" t="s">
        <v>756</v>
      </c>
      <c r="B7" s="1068">
        <v>43830</v>
      </c>
      <c r="I7" s="1069" t="s">
        <v>636</v>
      </c>
      <c r="J7" s="1069"/>
      <c r="K7" s="1069"/>
      <c r="L7" s="1063"/>
      <c r="M7" s="1070">
        <f ca="1">(M4/M5)^(1/M3)-1</f>
        <v>0.28557771765818152</v>
      </c>
    </row>
    <row r="8" spans="1:14" ht="14.1" customHeight="1" x14ac:dyDescent="0.45">
      <c r="A8" s="1060" t="s">
        <v>757</v>
      </c>
      <c r="B8" s="1071" t="s">
        <v>374</v>
      </c>
      <c r="C8" s="1060" t="s">
        <v>758</v>
      </c>
      <c r="I8" s="1063"/>
      <c r="J8" s="1063"/>
      <c r="K8" s="1063"/>
      <c r="L8" s="1063"/>
      <c r="M8" s="1072"/>
    </row>
    <row r="9" spans="1:14" ht="14.1" customHeight="1" x14ac:dyDescent="0.45">
      <c r="B9" s="1073"/>
      <c r="I9" s="1063" t="s">
        <v>638</v>
      </c>
      <c r="J9" s="1063"/>
      <c r="K9" s="1063"/>
      <c r="L9" s="1063"/>
      <c r="M9" s="1072">
        <f ca="1">H92</f>
        <v>12.75926110542656</v>
      </c>
    </row>
    <row r="10" spans="1:14" ht="14.1" customHeight="1" x14ac:dyDescent="0.45">
      <c r="A10" s="1074" t="s">
        <v>759</v>
      </c>
      <c r="C10" s="1074" t="s">
        <v>760</v>
      </c>
      <c r="I10" s="1063" t="s">
        <v>640</v>
      </c>
      <c r="J10" s="1063"/>
      <c r="K10" s="1063"/>
      <c r="L10" s="1063"/>
      <c r="M10" s="1075">
        <f ca="1">G142</f>
        <v>7.8820908976238639</v>
      </c>
    </row>
    <row r="11" spans="1:14" ht="14.1" customHeight="1" x14ac:dyDescent="0.45">
      <c r="A11" s="1060" t="s">
        <v>761</v>
      </c>
      <c r="B11" s="1076">
        <v>0.1</v>
      </c>
      <c r="I11" s="1063" t="s">
        <v>762</v>
      </c>
      <c r="J11" s="1063"/>
      <c r="K11" s="1063"/>
      <c r="L11" s="1063"/>
      <c r="M11" s="1075">
        <f ca="1">INDEX(MO_VA_EV,0,_xlfn.XMATCH("FY"&amp;D34, MO_Common_ColumnHeader))/D39</f>
        <v>6.794703576128688</v>
      </c>
    </row>
    <row r="12" spans="1:14" ht="14.1" customHeight="1" x14ac:dyDescent="0.45">
      <c r="A12" s="1060" t="s">
        <v>763</v>
      </c>
      <c r="B12" s="1077">
        <f>INDEX(MO_RIS_ShareCount_WAD_Adj, 0,_xlfn.XMATCH("Q3-2019",MO_Common_ColumnHeader))</f>
        <v>64.775999999999996</v>
      </c>
      <c r="C12" s="1060" t="s">
        <v>764</v>
      </c>
      <c r="I12" s="1063" t="s">
        <v>641</v>
      </c>
      <c r="J12" s="1063"/>
      <c r="K12" s="1063"/>
      <c r="L12" s="1063"/>
      <c r="M12" s="1075">
        <f ca="1">H142</f>
        <v>12.234066045122169</v>
      </c>
    </row>
    <row r="13" spans="1:14" ht="14.1" customHeight="1" x14ac:dyDescent="0.45">
      <c r="A13" s="1060" t="s">
        <v>765</v>
      </c>
      <c r="B13" s="1078">
        <f ca="1">INDEX(MO_RIS_TaxRate_Current,0,_xlfn.XMATCH("FY"&amp;YEAR(B4),MO_Common_ColumnHeader))</f>
        <v>-6.4011411614042658E-3</v>
      </c>
      <c r="C13" s="1060" t="s">
        <v>766</v>
      </c>
      <c r="I13" s="1063"/>
      <c r="J13" s="1063"/>
      <c r="K13" s="1063"/>
      <c r="L13" s="1063"/>
      <c r="M13" s="1063"/>
    </row>
    <row r="14" spans="1:14" ht="14.1" customHeight="1" x14ac:dyDescent="0.45">
      <c r="B14" s="1079"/>
      <c r="I14" s="1063" t="s">
        <v>767</v>
      </c>
      <c r="J14" s="1063"/>
      <c r="K14" s="1063"/>
      <c r="L14" s="1080"/>
      <c r="M14" s="1081">
        <v>0</v>
      </c>
    </row>
    <row r="15" spans="1:14" ht="14.1" customHeight="1" x14ac:dyDescent="0.45">
      <c r="A15" s="1060" t="s">
        <v>768</v>
      </c>
      <c r="B15" s="1082">
        <f>(D36/B36)^0.5-1</f>
        <v>3.9994831953918952E-2</v>
      </c>
      <c r="C15" s="1060" t="s">
        <v>769</v>
      </c>
      <c r="I15" s="1063"/>
      <c r="J15" s="1063"/>
      <c r="K15" s="1083"/>
      <c r="L15" s="1083"/>
      <c r="M15" s="1083"/>
    </row>
    <row r="16" spans="1:14" ht="14.1" customHeight="1" x14ac:dyDescent="0.45">
      <c r="A16" s="1060" t="s">
        <v>770</v>
      </c>
      <c r="B16" s="1084">
        <v>7.9000000000000001E-2</v>
      </c>
      <c r="C16" s="1060" t="s">
        <v>771</v>
      </c>
      <c r="I16" s="1085" t="s">
        <v>772</v>
      </c>
      <c r="J16" s="1063"/>
      <c r="K16" s="1083"/>
      <c r="L16" s="1083"/>
      <c r="M16" s="1063"/>
    </row>
    <row r="17" spans="1:29" ht="14.1" customHeight="1" x14ac:dyDescent="0.45">
      <c r="B17" s="1079"/>
      <c r="I17" s="1086" t="s">
        <v>773</v>
      </c>
      <c r="J17" s="1063"/>
      <c r="K17" s="1083"/>
      <c r="L17" s="1087">
        <f ca="1">M6*(1+M14)</f>
        <v>25.074142893467606</v>
      </c>
      <c r="M17" s="1063"/>
    </row>
    <row r="18" spans="1:29" ht="14.1" customHeight="1" x14ac:dyDescent="0.45">
      <c r="A18" s="1060" t="s">
        <v>774</v>
      </c>
      <c r="B18" s="1088">
        <f>(C39-INDEX(MO_MA_EBITDA,0,_xlfn.XMATCH("FY"&amp;(C34-5),MO_Common_ColumnHeader)))/(C36-INDEX(MO_GA_TotalRevenue,0,_xlfn.XMATCH("FY"&amp;(C34-5),MO_Common_ColumnHeader)))</f>
        <v>0.16635806968558178</v>
      </c>
      <c r="C18" s="1060" t="s">
        <v>775</v>
      </c>
      <c r="I18" s="1086" t="s">
        <v>776</v>
      </c>
      <c r="J18" s="1063"/>
      <c r="K18" s="1083"/>
      <c r="L18" s="1089">
        <f ca="1">((L17*B12)+INDEX(MO_BSS_Debt_Net,0,_xlfn.XMATCH(B8,MO_Common_ColumnHeader)))/D39</f>
        <v>17.350147246390602</v>
      </c>
      <c r="M18" s="1063"/>
    </row>
    <row r="19" spans="1:29" ht="14.1" customHeight="1" x14ac:dyDescent="0.45">
      <c r="A19" s="1060" t="s">
        <v>777</v>
      </c>
      <c r="B19" s="1090">
        <f>(D39-C39)/(D36-C36)</f>
        <v>0.22413040575896298</v>
      </c>
      <c r="C19" s="1060" t="s">
        <v>255</v>
      </c>
      <c r="I19" s="1086" t="s">
        <v>778</v>
      </c>
      <c r="J19" s="1063"/>
      <c r="K19" s="1063"/>
      <c r="L19" s="1089">
        <f ca="1">((L17*B12)+INDEX(MO_BSS_Debt_Net,0,_xlfn.XMATCH(B9,MO_Common_ColumnHeader)))/E39</f>
        <v>13.851063293448389</v>
      </c>
      <c r="M19" s="1063"/>
    </row>
    <row r="20" spans="1:29" ht="14.1" customHeight="1" x14ac:dyDescent="0.45">
      <c r="A20" s="1060" t="s">
        <v>779</v>
      </c>
      <c r="B20" s="1084">
        <f>B19</f>
        <v>0.22413040575896298</v>
      </c>
      <c r="C20" s="1060" t="s">
        <v>780</v>
      </c>
    </row>
    <row r="22" spans="1:29" ht="14.1" customHeight="1" x14ac:dyDescent="0.45">
      <c r="A22" s="1060" t="s">
        <v>781</v>
      </c>
      <c r="B22" s="1091">
        <f>H124</f>
        <v>1.9239176218886378E-2</v>
      </c>
      <c r="C22" s="1060" t="s">
        <v>782</v>
      </c>
    </row>
    <row r="23" spans="1:29" ht="14.1" customHeight="1" x14ac:dyDescent="0.45">
      <c r="A23" s="1060" t="s">
        <v>783</v>
      </c>
      <c r="B23" s="1091">
        <f>H135+H138</f>
        <v>1.8938097052688146E-2</v>
      </c>
      <c r="C23" s="1060" t="s">
        <v>782</v>
      </c>
    </row>
    <row r="24" spans="1:29" ht="14.1" customHeight="1" x14ac:dyDescent="0.45">
      <c r="A24" s="1060" t="s">
        <v>784</v>
      </c>
      <c r="B24" s="1092">
        <f>IFERROR(INDEX(MO_RIS_IE,0,_xlfn.XMATCH(B8,MO_Common_ColumnHeader))/INDEX(MO_BSS_Debt,0,_xlfn.XMATCH(B8,MO_Common_ColumnHeader)),0)</f>
        <v>1.1756756756756756E-2</v>
      </c>
      <c r="C24" s="1060" t="s">
        <v>785</v>
      </c>
      <c r="P24" s="1073"/>
      <c r="Q24" s="1073"/>
      <c r="R24" s="1073"/>
      <c r="S24" s="1073"/>
      <c r="T24" s="1073"/>
      <c r="U24" s="1073"/>
      <c r="V24" s="1073"/>
      <c r="W24" s="1073"/>
      <c r="X24" s="1073"/>
      <c r="Y24" s="1073"/>
      <c r="Z24" s="1073"/>
      <c r="AA24" s="1073"/>
      <c r="AB24" s="1073"/>
      <c r="AC24" s="1073"/>
    </row>
    <row r="25" spans="1:29" ht="14.1" customHeight="1" x14ac:dyDescent="0.45">
      <c r="A25" s="1060" t="s">
        <v>786</v>
      </c>
      <c r="B25" s="1091">
        <f>H131</f>
        <v>0.10803828222172623</v>
      </c>
      <c r="C25" s="1060" t="s">
        <v>782</v>
      </c>
      <c r="J25" s="1093"/>
      <c r="P25" s="1073"/>
      <c r="Q25" s="1073"/>
      <c r="R25" s="1073"/>
      <c r="S25" s="1073"/>
      <c r="T25" s="1073"/>
      <c r="U25" s="1073"/>
      <c r="V25" s="1073"/>
      <c r="W25" s="1073"/>
      <c r="X25" s="1073"/>
      <c r="Y25" s="1073"/>
      <c r="Z25" s="1073"/>
      <c r="AA25" s="1073"/>
      <c r="AB25" s="1073"/>
      <c r="AC25" s="1073"/>
    </row>
    <row r="26" spans="1:29" ht="14.1" customHeight="1" x14ac:dyDescent="0.45">
      <c r="A26" s="1060" t="s">
        <v>787</v>
      </c>
      <c r="B26" s="1091">
        <f>-H127</f>
        <v>5.0784575000232299E-2</v>
      </c>
      <c r="C26" s="1060" t="s">
        <v>782</v>
      </c>
      <c r="O26" s="1060" t="s">
        <v>788</v>
      </c>
      <c r="P26" s="1073"/>
      <c r="Q26" s="1073"/>
      <c r="R26" s="1073"/>
      <c r="S26" s="1073"/>
      <c r="T26" s="1073"/>
      <c r="U26" s="1073"/>
      <c r="V26" s="1073"/>
      <c r="W26" s="1073"/>
      <c r="X26" s="1073"/>
      <c r="Y26" s="1073"/>
      <c r="Z26" s="1073"/>
      <c r="AA26" s="1073"/>
      <c r="AB26" s="1073"/>
      <c r="AC26" s="1073"/>
    </row>
    <row r="27" spans="1:29" ht="14.1" customHeight="1" x14ac:dyDescent="0.45">
      <c r="A27" s="1060" t="s">
        <v>789</v>
      </c>
      <c r="B27" s="1084">
        <v>4.0000000000000001E-3</v>
      </c>
      <c r="C27" s="1060" t="s">
        <v>790</v>
      </c>
      <c r="G27" s="1094"/>
      <c r="O27" s="1095" t="s">
        <v>791</v>
      </c>
      <c r="P27" s="1095">
        <v>1</v>
      </c>
      <c r="Q27" s="1096"/>
      <c r="R27" s="1095"/>
      <c r="S27" s="1095"/>
      <c r="T27" s="1073"/>
      <c r="U27" s="1073"/>
      <c r="V27" s="1073"/>
      <c r="W27" s="1073"/>
      <c r="X27" s="1073"/>
      <c r="Y27" s="1073"/>
      <c r="Z27" s="1073"/>
      <c r="AA27" s="1073"/>
      <c r="AB27" s="1073"/>
      <c r="AC27" s="1073"/>
    </row>
    <row r="28" spans="1:29" ht="14.1" customHeight="1" x14ac:dyDescent="0.45">
      <c r="A28" s="1060" t="s">
        <v>792</v>
      </c>
      <c r="B28" s="1084">
        <v>0.03</v>
      </c>
      <c r="C28" s="1060" t="s">
        <v>793</v>
      </c>
      <c r="O28" s="1095" t="s">
        <v>927</v>
      </c>
      <c r="P28" s="1095">
        <v>1</v>
      </c>
      <c r="Q28" s="1096"/>
      <c r="R28" s="1095"/>
      <c r="S28" s="1095"/>
      <c r="T28" s="1073"/>
      <c r="U28" s="1073"/>
      <c r="V28" s="1073"/>
      <c r="W28" s="1073"/>
      <c r="X28" s="1073"/>
      <c r="Y28" s="1073"/>
      <c r="Z28" s="1073"/>
      <c r="AA28" s="1073"/>
      <c r="AB28" s="1073"/>
      <c r="AC28" s="1073"/>
    </row>
    <row r="29" spans="1:29" ht="14.1" customHeight="1" x14ac:dyDescent="0.45">
      <c r="B29"/>
      <c r="P29" s="1073"/>
      <c r="Q29" s="1073"/>
      <c r="R29" s="1073"/>
      <c r="S29" s="1073"/>
      <c r="T29" s="1073"/>
      <c r="U29" s="1073"/>
      <c r="V29" s="1073"/>
      <c r="W29" s="1073"/>
      <c r="X29" s="1073"/>
      <c r="Y29" s="1073"/>
      <c r="Z29" s="1073"/>
      <c r="AA29" s="1073"/>
      <c r="AB29" s="1073"/>
      <c r="AC29" s="1073"/>
    </row>
    <row r="30" spans="1:29" ht="14.1" customHeight="1" x14ac:dyDescent="0.45">
      <c r="A30" s="1060" t="s">
        <v>794</v>
      </c>
      <c r="B30" s="1097">
        <v>0</v>
      </c>
      <c r="C30" s="1060" t="s">
        <v>795</v>
      </c>
      <c r="D30" s="1060" t="s">
        <v>796</v>
      </c>
      <c r="P30" s="1073"/>
      <c r="Q30" s="1073"/>
      <c r="R30" s="1073"/>
      <c r="S30" s="1073"/>
      <c r="T30" s="1073"/>
      <c r="U30" s="1073"/>
      <c r="V30" s="1073"/>
      <c r="W30" s="1073"/>
      <c r="X30" s="1073"/>
      <c r="Y30" s="1073"/>
      <c r="Z30" s="1073"/>
      <c r="AA30" s="1073"/>
      <c r="AB30" s="1073"/>
      <c r="AC30" s="1073"/>
    </row>
    <row r="31" spans="1:29" ht="14.1" customHeight="1" x14ac:dyDescent="0.45">
      <c r="B31"/>
      <c r="P31" s="1073"/>
      <c r="Q31" s="1073"/>
      <c r="R31" s="1073"/>
      <c r="S31" s="1073"/>
      <c r="T31" s="1073"/>
      <c r="U31" s="1073"/>
      <c r="V31" s="1073"/>
      <c r="W31" s="1073"/>
      <c r="X31" s="1073"/>
      <c r="Y31" s="1073"/>
      <c r="Z31" s="1073"/>
      <c r="AA31" s="1073"/>
      <c r="AB31" s="1073"/>
      <c r="AC31" s="1073"/>
    </row>
    <row r="32" spans="1:29" ht="14.1" customHeight="1" x14ac:dyDescent="0.45">
      <c r="B32" s="1098"/>
      <c r="P32" s="1073"/>
      <c r="Q32" s="1073"/>
      <c r="R32" s="1073"/>
      <c r="S32" s="1073"/>
      <c r="T32" s="1073"/>
      <c r="U32" s="1073"/>
      <c r="V32" s="1073"/>
      <c r="W32" s="1073"/>
      <c r="X32" s="1073"/>
      <c r="Y32" s="1073"/>
      <c r="Z32" s="1073"/>
      <c r="AA32" s="1073"/>
      <c r="AB32" s="1073"/>
      <c r="AC32" s="1073"/>
    </row>
    <row r="33" spans="1:29" ht="14.1" customHeight="1" x14ac:dyDescent="0.45">
      <c r="A33" s="1060" t="s">
        <v>797</v>
      </c>
      <c r="C33" s="1099">
        <v>1</v>
      </c>
      <c r="D33" s="1100">
        <f t="shared" ref="D33:M33" si="0">C33+1</f>
        <v>2</v>
      </c>
      <c r="E33" s="1100">
        <f t="shared" si="0"/>
        <v>3</v>
      </c>
      <c r="F33" s="1100">
        <f t="shared" si="0"/>
        <v>4</v>
      </c>
      <c r="G33" s="1100">
        <f t="shared" si="0"/>
        <v>5</v>
      </c>
      <c r="H33" s="1100">
        <f t="shared" si="0"/>
        <v>6</v>
      </c>
      <c r="I33" s="1100">
        <f t="shared" si="0"/>
        <v>7</v>
      </c>
      <c r="J33" s="1100">
        <f t="shared" si="0"/>
        <v>8</v>
      </c>
      <c r="K33" s="1100">
        <f t="shared" si="0"/>
        <v>9</v>
      </c>
      <c r="L33" s="1100">
        <f t="shared" si="0"/>
        <v>10</v>
      </c>
      <c r="M33" s="1100">
        <f t="shared" si="0"/>
        <v>11</v>
      </c>
      <c r="O33" s="1060" t="s">
        <v>798</v>
      </c>
      <c r="P33" s="1073"/>
      <c r="Q33" s="1073"/>
      <c r="R33" s="1073"/>
      <c r="S33" s="1073"/>
      <c r="T33" s="1073"/>
      <c r="U33" s="1073"/>
      <c r="V33" s="1073"/>
      <c r="W33" s="1073"/>
      <c r="X33" s="1073"/>
      <c r="Y33" s="1073"/>
      <c r="Z33" s="1073"/>
      <c r="AA33" s="1073"/>
      <c r="AB33" s="1073"/>
      <c r="AC33" s="1073"/>
    </row>
    <row r="34" spans="1:29" ht="14.1" customHeight="1" thickBot="1" x14ac:dyDescent="0.5">
      <c r="A34" s="1101"/>
      <c r="B34" s="1102">
        <f>YEAR(B7)</f>
        <v>2019</v>
      </c>
      <c r="C34" s="1102">
        <f t="shared" ref="C34:M34" si="1">+B34+1</f>
        <v>2020</v>
      </c>
      <c r="D34" s="1102">
        <f t="shared" si="1"/>
        <v>2021</v>
      </c>
      <c r="E34" s="1102">
        <f t="shared" si="1"/>
        <v>2022</v>
      </c>
      <c r="F34" s="1102">
        <f t="shared" si="1"/>
        <v>2023</v>
      </c>
      <c r="G34" s="1102">
        <f t="shared" si="1"/>
        <v>2024</v>
      </c>
      <c r="H34" s="1103">
        <f t="shared" si="1"/>
        <v>2025</v>
      </c>
      <c r="I34" s="1102">
        <f t="shared" si="1"/>
        <v>2026</v>
      </c>
      <c r="J34" s="1102">
        <f t="shared" si="1"/>
        <v>2027</v>
      </c>
      <c r="K34" s="1102">
        <f t="shared" si="1"/>
        <v>2028</v>
      </c>
      <c r="L34" s="1102">
        <f t="shared" si="1"/>
        <v>2029</v>
      </c>
      <c r="M34" s="1102">
        <f t="shared" si="1"/>
        <v>2030</v>
      </c>
      <c r="O34" s="1104">
        <v>2021</v>
      </c>
      <c r="P34" s="1104">
        <v>22</v>
      </c>
      <c r="Q34" s="1104">
        <v>23</v>
      </c>
      <c r="R34" s="1104">
        <v>24</v>
      </c>
      <c r="S34" s="1104">
        <v>25</v>
      </c>
    </row>
    <row r="35" spans="1:29" ht="14.1" customHeight="1" x14ac:dyDescent="0.45">
      <c r="A35" s="1105" t="s">
        <v>799</v>
      </c>
      <c r="H35" s="1106"/>
      <c r="O35" s="1096"/>
      <c r="P35" s="1096"/>
      <c r="Q35" s="1096"/>
      <c r="R35" s="1096"/>
      <c r="S35" s="1096"/>
    </row>
    <row r="36" spans="1:29" ht="14.1" customHeight="1" x14ac:dyDescent="0.45">
      <c r="A36" s="1107" t="s">
        <v>656</v>
      </c>
      <c r="B36" s="1108">
        <f>INDEX(MO_RIS_REV, 0, _xlfn.XMATCH("FY"&amp;B$34, MO_Common_ColumnHeader))</f>
        <v>529.173</v>
      </c>
      <c r="C36" s="1108">
        <f>INDEX(MO_RIS_REV, 0, _xlfn.XMATCH("FY"&amp;C$34, MO_Common_ColumnHeader))</f>
        <v>542.50978999999995</v>
      </c>
      <c r="D36" s="1109">
        <f>IF($B$30=1,INDEX(MO_RIS_REV,0,_xlfn.XMATCH("FY"&amp;D$34,MO_Common_ColumnHeader)),O36)</f>
        <v>572.34782844999995</v>
      </c>
      <c r="E36" s="1109">
        <f>IF($B$30=1,INDEX(MO_RIS_REV,0,_xlfn.XMATCH("FY"&amp;E$34,MO_Common_ColumnHeader)),P36)</f>
        <v>615.27391558374995</v>
      </c>
      <c r="F36" s="1109">
        <f>IF($B$30=1,INDEX(MO_RIS_REV,0,_xlfn.XMATCH("FY"&amp;F$34,MO_Common_ColumnHeader)),Q36)</f>
        <v>661.41945925253117</v>
      </c>
      <c r="G36" s="1109">
        <f>IF($B$30=1,INDEX(MO_RIS_REV,0,_xlfn.XMATCH("FY"&amp;G$34,MO_Common_ColumnHeader)),R36)</f>
        <v>711.02591869647097</v>
      </c>
      <c r="H36" s="1210">
        <f>IF($B$30=1,G36*(1+$B$16),S36)</f>
        <v>746.57721463129451</v>
      </c>
      <c r="I36" s="1110">
        <f>H36*(1+I37)</f>
        <v>768.97453107023341</v>
      </c>
      <c r="J36" s="1111">
        <f>I36*(1+J37)</f>
        <v>792.04376700234047</v>
      </c>
      <c r="K36" s="1111">
        <f>J36*(1+K37)</f>
        <v>815.80508001241071</v>
      </c>
      <c r="L36" s="1111">
        <f>K36*(1+L37)</f>
        <v>840.27923241278302</v>
      </c>
      <c r="M36" s="1111">
        <f>L36*(1+M37)</f>
        <v>865.48760938516648</v>
      </c>
      <c r="N36"/>
      <c r="O36" s="1112">
        <f>'IR and Writeup'!E125</f>
        <v>572.34782844999995</v>
      </c>
      <c r="P36" s="1112">
        <f>'IR and Writeup'!F125</f>
        <v>615.27391558374995</v>
      </c>
      <c r="Q36" s="1112">
        <f>'IR and Writeup'!G125</f>
        <v>661.41945925253117</v>
      </c>
      <c r="R36" s="1112">
        <f>'IR and Writeup'!H125</f>
        <v>711.02591869647097</v>
      </c>
      <c r="S36" s="1112">
        <f>'IR and Writeup'!I125</f>
        <v>746.57721463129451</v>
      </c>
    </row>
    <row r="37" spans="1:29" s="1117" customFormat="1" ht="14.1" customHeight="1" x14ac:dyDescent="0.45">
      <c r="A37" s="1113" t="s">
        <v>800</v>
      </c>
      <c r="B37" s="1114"/>
      <c r="C37" s="1115">
        <f t="shared" ref="C37:H37" si="2">C36/B36-1</f>
        <v>2.5203081033990715E-2</v>
      </c>
      <c r="D37" s="1115">
        <f t="shared" si="2"/>
        <v>5.4999999999999938E-2</v>
      </c>
      <c r="E37" s="1115">
        <f t="shared" si="2"/>
        <v>7.4999999999999956E-2</v>
      </c>
      <c r="F37" s="1115">
        <f t="shared" si="2"/>
        <v>7.4999999999999956E-2</v>
      </c>
      <c r="G37" s="1115">
        <f t="shared" si="2"/>
        <v>7.4999999999999956E-2</v>
      </c>
      <c r="H37" s="1115">
        <f t="shared" si="2"/>
        <v>5.0000000000000044E-2</v>
      </c>
      <c r="I37" s="1116">
        <f>$B$28</f>
        <v>0.03</v>
      </c>
      <c r="J37" s="1115">
        <f>$B$28</f>
        <v>0.03</v>
      </c>
      <c r="K37" s="1115">
        <f>$B$28</f>
        <v>0.03</v>
      </c>
      <c r="L37" s="1115">
        <f>$B$28</f>
        <v>0.03</v>
      </c>
      <c r="M37" s="1115">
        <f>$B$28</f>
        <v>0.03</v>
      </c>
      <c r="O37" s="1118"/>
      <c r="P37" s="1118"/>
      <c r="Q37" s="1118"/>
      <c r="R37" s="1118"/>
      <c r="S37" s="1118"/>
    </row>
    <row r="38" spans="1:29" s="1117" customFormat="1" ht="14.1" customHeight="1" x14ac:dyDescent="0.45">
      <c r="A38" s="1113"/>
      <c r="B38" s="1114"/>
      <c r="C38" s="1115"/>
      <c r="D38" s="1115"/>
      <c r="E38" s="1115"/>
      <c r="F38" s="1115"/>
      <c r="G38" s="1115"/>
      <c r="H38" s="1119"/>
      <c r="I38" s="1115"/>
      <c r="J38" s="1115"/>
      <c r="K38" s="1115"/>
      <c r="L38" s="1115"/>
      <c r="M38" s="1115"/>
      <c r="O38" s="1118"/>
      <c r="P38" s="1118"/>
      <c r="Q38" s="1118"/>
      <c r="R38" s="1118"/>
      <c r="S38" s="1118"/>
    </row>
    <row r="39" spans="1:29" ht="14.1" customHeight="1" x14ac:dyDescent="0.45">
      <c r="A39" s="1107" t="s">
        <v>64</v>
      </c>
      <c r="B39" s="1109">
        <f>INDEX(MO_RIS_EBITDA,0,_xlfn.XMATCH("FY"&amp;B$34, MO_Common_ColumnHeader))</f>
        <v>91.493000000000052</v>
      </c>
      <c r="C39" s="1109">
        <f>INDEX(MO_RIS_EBITDA,0,_xlfn.XMATCH("FY"&amp;C$34, MO_Common_ColumnHeader))</f>
        <v>90.373966899999971</v>
      </c>
      <c r="D39" s="1109">
        <f>IF($B$30=1,INDEX(MO_RIS_EBITDA,0,_xlfn.XMATCH("FY"&amp;D$34,MO_Common_ColumnHeader)),O39)</f>
        <v>97.061578564850009</v>
      </c>
      <c r="E39" s="1109">
        <f>IF($B$30=1,INDEX(MO_RIS_EBITDA,0,_xlfn.XMATCH("FY"&amp;E$34,MO_Common_ColumnHeader)),P39)</f>
        <v>117.26194918447251</v>
      </c>
      <c r="F39" s="1109">
        <f>IF($B$30=1,INDEX(MO_RIS_EBITDA,0,_xlfn.XMATCH("FY"&amp;F$34,MO_Common_ColumnHeader)),Q39)</f>
        <v>145.89917915088387</v>
      </c>
      <c r="G39" s="1109">
        <f>IF($B$30=1,INDEX(MO_RIS_EBITDA,0,_xlfn.XMATCH("FY"&amp;G$34,MO_Common_ColumnHeader)),R39)</f>
        <v>178.1723951480943</v>
      </c>
      <c r="H39" s="1210">
        <f>IF($B$30=1,(H36-G36)*$B$20+G39,S39)</f>
        <v>209.47833134443781</v>
      </c>
      <c r="I39" s="1110">
        <f>H39/H36*I36</f>
        <v>215.76268128477096</v>
      </c>
      <c r="J39" s="1111">
        <f>I39/I36*J36</f>
        <v>222.23556172331411</v>
      </c>
      <c r="K39" s="1111">
        <f>J39/J36*K36</f>
        <v>228.90262857501355</v>
      </c>
      <c r="L39" s="1111">
        <f>K39/K36*L36</f>
        <v>235.76970743226394</v>
      </c>
      <c r="M39" s="1111">
        <f>L39/L36*M36</f>
        <v>242.84279865523186</v>
      </c>
      <c r="N39" s="1117"/>
      <c r="O39" s="1120">
        <f>'IR and Writeup'!E127</f>
        <v>97.061578564850009</v>
      </c>
      <c r="P39" s="1120">
        <f>'IR and Writeup'!F127</f>
        <v>117.26194918447251</v>
      </c>
      <c r="Q39" s="1120">
        <f>'IR and Writeup'!G127</f>
        <v>145.89917915088387</v>
      </c>
      <c r="R39" s="1120">
        <f>'IR and Writeup'!H127</f>
        <v>178.1723951480943</v>
      </c>
      <c r="S39" s="1120">
        <f>'IR and Writeup'!I127</f>
        <v>209.47833134443781</v>
      </c>
    </row>
    <row r="40" spans="1:29" s="1117" customFormat="1" ht="14.1" customHeight="1" x14ac:dyDescent="0.45">
      <c r="A40" s="1113" t="s">
        <v>801</v>
      </c>
      <c r="B40" s="1115">
        <f t="shared" ref="B40:M40" si="3">B39/B36</f>
        <v>0.17289808814886634</v>
      </c>
      <c r="C40" s="1115">
        <f t="shared" si="3"/>
        <v>0.16658495121350708</v>
      </c>
      <c r="D40" s="1115">
        <f t="shared" si="3"/>
        <v>0.16958495121350717</v>
      </c>
      <c r="E40" s="1115">
        <f t="shared" si="3"/>
        <v>0.19058495121350716</v>
      </c>
      <c r="F40" s="1115">
        <f t="shared" si="3"/>
        <v>0.22058495121350716</v>
      </c>
      <c r="G40" s="1115">
        <f t="shared" si="3"/>
        <v>0.25058495121350716</v>
      </c>
      <c r="H40" s="1115">
        <f t="shared" si="3"/>
        <v>0.28058495121350713</v>
      </c>
      <c r="I40" s="1116">
        <f t="shared" si="3"/>
        <v>0.28058495121350713</v>
      </c>
      <c r="J40" s="1115">
        <f t="shared" si="3"/>
        <v>0.28058495121350713</v>
      </c>
      <c r="K40" s="1115">
        <f t="shared" si="3"/>
        <v>0.28058495121350713</v>
      </c>
      <c r="L40" s="1115">
        <f t="shared" si="3"/>
        <v>0.28058495121350713</v>
      </c>
      <c r="M40" s="1115">
        <f t="shared" si="3"/>
        <v>0.28058495121350713</v>
      </c>
    </row>
    <row r="41" spans="1:29" s="1117" customFormat="1" ht="14.1" customHeight="1" x14ac:dyDescent="0.45">
      <c r="A41" s="1113"/>
      <c r="B41" s="1121"/>
      <c r="C41" s="1121"/>
      <c r="D41" s="1121"/>
      <c r="E41" s="1121"/>
      <c r="F41" s="1121"/>
      <c r="G41" s="1121"/>
      <c r="H41" s="1122"/>
      <c r="I41" s="1121"/>
      <c r="J41" s="1121"/>
      <c r="K41" s="1121"/>
      <c r="L41" s="1121"/>
      <c r="M41" s="1121"/>
    </row>
    <row r="42" spans="1:29" s="1117" customFormat="1" ht="14.1" customHeight="1" x14ac:dyDescent="0.45">
      <c r="A42" s="1113" t="s">
        <v>802</v>
      </c>
      <c r="B42" s="1111">
        <f>INDEX(MO_RIS_DA,0,_xlfn.XMATCH("FY"&amp;B$34, MO_Common_ColumnHeader))</f>
        <v>10.298</v>
      </c>
      <c r="C42" s="1111">
        <f>INDEX(MO_RIS_DA,0,_xlfn.XMATCH("FY"&amp;C$34, MO_Common_ColumnHeader))</f>
        <v>8.6530000000000005</v>
      </c>
      <c r="D42" s="1111">
        <v>3.2986798344000006</v>
      </c>
      <c r="E42" s="1111">
        <v>3.4263938146857158</v>
      </c>
      <c r="F42" s="1111">
        <v>3.8668303919620977</v>
      </c>
      <c r="G42" s="1111">
        <v>4.3185441968234386</v>
      </c>
      <c r="H42" s="1111">
        <v>4.7546502187305064</v>
      </c>
      <c r="I42" s="1110"/>
      <c r="J42" s="1111"/>
      <c r="K42" s="1111"/>
      <c r="L42" s="1111"/>
      <c r="M42" s="1111"/>
    </row>
    <row r="43" spans="1:29" s="1117" customFormat="1" ht="14.1" customHeight="1" x14ac:dyDescent="0.45">
      <c r="A43" s="1113" t="s">
        <v>803</v>
      </c>
      <c r="B43" s="1123">
        <f>+B42/B36</f>
        <v>1.9460554487851799E-2</v>
      </c>
      <c r="C43" s="1121">
        <f t="shared" ref="C43:H43" si="4">$B$22</f>
        <v>1.9239176218886378E-2</v>
      </c>
      <c r="D43" s="1121">
        <f t="shared" si="4"/>
        <v>1.9239176218886378E-2</v>
      </c>
      <c r="E43" s="1121">
        <f t="shared" si="4"/>
        <v>1.9239176218886378E-2</v>
      </c>
      <c r="F43" s="1121">
        <f t="shared" si="4"/>
        <v>1.9239176218886378E-2</v>
      </c>
      <c r="G43" s="1121">
        <f t="shared" si="4"/>
        <v>1.9239176218886378E-2</v>
      </c>
      <c r="H43" s="1121">
        <f t="shared" si="4"/>
        <v>1.9239176218886378E-2</v>
      </c>
      <c r="I43" s="1124"/>
      <c r="J43" s="1121"/>
      <c r="K43" s="1121"/>
      <c r="L43" s="1121"/>
      <c r="M43" s="1121"/>
    </row>
    <row r="44" spans="1:29" s="1117" customFormat="1" ht="14.1" customHeight="1" x14ac:dyDescent="0.45">
      <c r="A44" s="1113" t="s">
        <v>804</v>
      </c>
      <c r="B44" s="1100">
        <f t="shared" ref="B44:H44" si="5">$B$23*B36</f>
        <v>10.021529631662144</v>
      </c>
      <c r="C44" s="1100">
        <f t="shared" si="5"/>
        <v>10.274103055053464</v>
      </c>
      <c r="D44" s="1100">
        <f t="shared" si="5"/>
        <v>10.839178723081405</v>
      </c>
      <c r="E44" s="1100">
        <f t="shared" si="5"/>
        <v>11.652117127312511</v>
      </c>
      <c r="F44" s="1100">
        <f t="shared" si="5"/>
        <v>12.526025911860948</v>
      </c>
      <c r="G44" s="1100">
        <f t="shared" si="5"/>
        <v>13.465477855250519</v>
      </c>
      <c r="H44" s="1100">
        <f t="shared" si="5"/>
        <v>14.138751748013044</v>
      </c>
      <c r="I44" s="1124"/>
      <c r="J44" s="1121"/>
      <c r="K44" s="1121"/>
      <c r="L44" s="1121"/>
      <c r="M44" s="1121"/>
    </row>
    <row r="45" spans="1:29" s="1117" customFormat="1" ht="14.1" customHeight="1" x14ac:dyDescent="0.45">
      <c r="I45" s="1124"/>
      <c r="J45" s="1121"/>
      <c r="K45" s="1121"/>
      <c r="L45" s="1121"/>
      <c r="M45" s="1121"/>
    </row>
    <row r="46" spans="1:29" s="1117" customFormat="1" ht="14.1" customHeight="1" x14ac:dyDescent="0.45">
      <c r="A46" s="1107" t="s">
        <v>66</v>
      </c>
      <c r="B46" s="1111">
        <f t="shared" ref="B46:H46" si="6">B39-B42-B44</f>
        <v>71.173470368337902</v>
      </c>
      <c r="C46" s="1111">
        <f t="shared" si="6"/>
        <v>71.446863844946506</v>
      </c>
      <c r="D46" s="1111">
        <f t="shared" si="6"/>
        <v>82.923720007368601</v>
      </c>
      <c r="E46" s="1111">
        <f t="shared" si="6"/>
        <v>102.1834382424743</v>
      </c>
      <c r="F46" s="1111">
        <f t="shared" si="6"/>
        <v>129.5063228470608</v>
      </c>
      <c r="G46" s="1111">
        <f t="shared" si="6"/>
        <v>160.38837309602033</v>
      </c>
      <c r="H46" s="1111">
        <f t="shared" si="6"/>
        <v>190.58492937769424</v>
      </c>
      <c r="I46" s="1124"/>
      <c r="J46" s="1121"/>
      <c r="K46" s="1121"/>
      <c r="L46" s="1121"/>
      <c r="M46" s="1121"/>
    </row>
    <row r="47" spans="1:29" s="1117" customFormat="1" ht="14.1" customHeight="1" x14ac:dyDescent="0.45">
      <c r="A47" s="1113" t="s">
        <v>801</v>
      </c>
      <c r="B47" s="1123">
        <f t="shared" ref="B47:H47" si="7">B46/B36</f>
        <v>0.13449943660832639</v>
      </c>
      <c r="C47" s="1123">
        <f t="shared" si="7"/>
        <v>0.13169691158005925</v>
      </c>
      <c r="D47" s="1123">
        <f t="shared" si="7"/>
        <v>0.14488343606009293</v>
      </c>
      <c r="E47" s="1123">
        <f t="shared" si="7"/>
        <v>0.16607796243974735</v>
      </c>
      <c r="F47" s="1123">
        <f t="shared" si="7"/>
        <v>0.19580059376150746</v>
      </c>
      <c r="G47" s="1123">
        <f t="shared" si="7"/>
        <v>0.22557317374598876</v>
      </c>
      <c r="H47" s="1123">
        <f t="shared" si="7"/>
        <v>0.25527825607672305</v>
      </c>
      <c r="I47" s="1124"/>
      <c r="J47" s="1121"/>
      <c r="K47" s="1121"/>
      <c r="L47" s="1121"/>
      <c r="M47" s="1121"/>
    </row>
    <row r="48" spans="1:29" s="1117" customFormat="1" ht="14.1" customHeight="1" x14ac:dyDescent="0.45">
      <c r="I48" s="1124"/>
      <c r="J48" s="1121"/>
      <c r="K48" s="1121"/>
      <c r="L48" s="1121"/>
      <c r="M48" s="1121"/>
      <c r="O48" s="1117" t="s">
        <v>805</v>
      </c>
    </row>
    <row r="49" spans="1:19" ht="14.1" customHeight="1" x14ac:dyDescent="0.45">
      <c r="A49" s="1107" t="s">
        <v>806</v>
      </c>
      <c r="B49" s="1125"/>
      <c r="C49" s="1100">
        <f>IF(C61&gt;0,C61*IF($B$30=1,$B$24,B24),0)</f>
        <v>9.5876351351351363E-2</v>
      </c>
      <c r="D49" s="1100">
        <f ca="1">IF(C68&gt;0,C68*IF(OR($B$30=1,O49=0),$B$24,O49),0)</f>
        <v>0.58992227418440168</v>
      </c>
      <c r="E49" s="1100">
        <f ca="1">IF(D68&gt;0,D68*IF(OR($B$30=1,P49=0),$B$24,P49),0)</f>
        <v>0</v>
      </c>
      <c r="F49" s="1100">
        <f ca="1">IF(E68&gt;0,E68*IF(OR($B$30=1,Q49=0),$B$24,Q49),0)</f>
        <v>0</v>
      </c>
      <c r="G49" s="1100">
        <f ca="1">IF(F68&gt;0,F68*IF(OR($B$30=1,R49=0),$B$24,R49),0)</f>
        <v>0</v>
      </c>
      <c r="H49" s="1100">
        <f ca="1">IF(G68&gt;0,G68*IF(OR($B$30=1,S49=0),$B$24,S49),0)</f>
        <v>0</v>
      </c>
      <c r="I49" s="1126"/>
      <c r="J49" s="1125"/>
      <c r="K49" s="1125"/>
      <c r="L49" s="1125"/>
      <c r="M49" s="1125"/>
      <c r="O49" s="1127">
        <v>0</v>
      </c>
      <c r="P49" s="1127">
        <v>0</v>
      </c>
      <c r="Q49" s="1127">
        <v>0</v>
      </c>
      <c r="R49" s="1127">
        <v>0</v>
      </c>
      <c r="S49" s="1127">
        <v>0</v>
      </c>
    </row>
    <row r="50" spans="1:19" ht="14.1" customHeight="1" x14ac:dyDescent="0.45">
      <c r="A50" s="1107" t="s">
        <v>807</v>
      </c>
      <c r="B50" s="1125"/>
      <c r="C50" s="1100">
        <f t="shared" ref="C50:H50" si="8">C46-C49</f>
        <v>71.350987493595156</v>
      </c>
      <c r="D50" s="1100">
        <f t="shared" ca="1" si="8"/>
        <v>82.333797733184198</v>
      </c>
      <c r="E50" s="1100">
        <f t="shared" ca="1" si="8"/>
        <v>102.1834382424743</v>
      </c>
      <c r="F50" s="1100">
        <f t="shared" ca="1" si="8"/>
        <v>129.5063228470608</v>
      </c>
      <c r="G50" s="1128">
        <f t="shared" ca="1" si="8"/>
        <v>160.38837309602033</v>
      </c>
      <c r="H50" s="1128">
        <f t="shared" ca="1" si="8"/>
        <v>190.58492937769424</v>
      </c>
      <c r="I50" s="1126"/>
      <c r="J50" s="1125"/>
      <c r="K50" s="1125"/>
      <c r="L50" s="1125"/>
      <c r="M50" s="1125"/>
    </row>
    <row r="51" spans="1:19" ht="14.1" customHeight="1" x14ac:dyDescent="0.45">
      <c r="A51" s="1107" t="s">
        <v>808</v>
      </c>
      <c r="B51" s="1125"/>
      <c r="C51" s="1100">
        <f t="shared" ref="C51:H51" ca="1" si="9">C50*$B$13</f>
        <v>-0.45672774295209295</v>
      </c>
      <c r="D51" s="1100">
        <f t="shared" ca="1" si="9"/>
        <v>-0.52703026164461864</v>
      </c>
      <c r="E51" s="1100">
        <f t="shared" ca="1" si="9"/>
        <v>-0.65409061254771295</v>
      </c>
      <c r="F51" s="1100">
        <f t="shared" ca="1" si="9"/>
        <v>-0.82898825383843056</v>
      </c>
      <c r="G51" s="1128">
        <f t="shared" ca="1" si="9"/>
        <v>-1.0266686168356003</v>
      </c>
      <c r="H51" s="1128">
        <f t="shared" ca="1" si="9"/>
        <v>-1.2199610361828837</v>
      </c>
      <c r="I51" s="1126"/>
      <c r="J51" s="1125"/>
      <c r="K51" s="1125"/>
      <c r="L51" s="1125"/>
      <c r="M51" s="1125"/>
    </row>
    <row r="52" spans="1:19" s="1133" customFormat="1" ht="14.1" customHeight="1" x14ac:dyDescent="0.45">
      <c r="A52" s="1129" t="s">
        <v>298</v>
      </c>
      <c r="B52" s="1130"/>
      <c r="C52" s="1131">
        <f t="shared" ref="C52:H52" ca="1" si="10">C50-C51</f>
        <v>71.807715236547253</v>
      </c>
      <c r="D52" s="1131">
        <f t="shared" ca="1" si="10"/>
        <v>82.86082799482881</v>
      </c>
      <c r="E52" s="1131">
        <f t="shared" ca="1" si="10"/>
        <v>102.83752885502201</v>
      </c>
      <c r="F52" s="1131">
        <f t="shared" ca="1" si="10"/>
        <v>130.33531110089922</v>
      </c>
      <c r="G52" s="1131">
        <f t="shared" ca="1" si="10"/>
        <v>161.41504171285592</v>
      </c>
      <c r="H52" s="1131">
        <f t="shared" ca="1" si="10"/>
        <v>191.80489041387713</v>
      </c>
      <c r="I52" s="1132"/>
      <c r="J52" s="1130"/>
      <c r="K52" s="1130"/>
      <c r="L52" s="1130"/>
      <c r="M52" s="1130"/>
    </row>
    <row r="53" spans="1:19" s="1133" customFormat="1" ht="14.1" customHeight="1" x14ac:dyDescent="0.45">
      <c r="A53" s="1107"/>
      <c r="B53" s="1134"/>
      <c r="C53" s="1134"/>
      <c r="D53" s="1134"/>
      <c r="E53" s="1134"/>
      <c r="F53" s="1134"/>
      <c r="G53" s="1134"/>
      <c r="H53" s="1134"/>
      <c r="I53" s="1135"/>
      <c r="J53" s="1134"/>
      <c r="K53" s="1134"/>
      <c r="L53" s="1134"/>
      <c r="M53" s="1134"/>
    </row>
    <row r="54" spans="1:19" s="1133" customFormat="1" ht="14.1" customHeight="1" x14ac:dyDescent="0.45">
      <c r="A54" s="1107" t="s">
        <v>809</v>
      </c>
      <c r="B54" s="1134"/>
      <c r="C54" s="1111">
        <f t="shared" ref="C54:M54" si="11">$B$27*C36</f>
        <v>2.17003916</v>
      </c>
      <c r="D54" s="1111">
        <f t="shared" si="11"/>
        <v>2.2893913137999999</v>
      </c>
      <c r="E54" s="1111">
        <f t="shared" si="11"/>
        <v>2.461095662335</v>
      </c>
      <c r="F54" s="1111">
        <f t="shared" si="11"/>
        <v>2.6456778370101248</v>
      </c>
      <c r="G54" s="1111">
        <f t="shared" si="11"/>
        <v>2.8441036747858841</v>
      </c>
      <c r="H54" s="1136">
        <f t="shared" si="11"/>
        <v>2.9863088585251782</v>
      </c>
      <c r="I54" s="1111">
        <f t="shared" si="11"/>
        <v>3.0758981242809336</v>
      </c>
      <c r="J54" s="1111">
        <f t="shared" si="11"/>
        <v>3.1681750680093619</v>
      </c>
      <c r="K54" s="1111">
        <f t="shared" si="11"/>
        <v>3.2632203200496428</v>
      </c>
      <c r="L54" s="1111">
        <f t="shared" si="11"/>
        <v>3.3611169296511321</v>
      </c>
      <c r="M54" s="1111">
        <f t="shared" si="11"/>
        <v>3.4619504375406658</v>
      </c>
    </row>
    <row r="55" spans="1:19" s="1133" customFormat="1" ht="14.1" customHeight="1" x14ac:dyDescent="0.45">
      <c r="A55" s="1137" t="s">
        <v>810</v>
      </c>
      <c r="B55" s="1134"/>
      <c r="C55" s="1111">
        <f t="shared" ref="C55:M55" si="12">+C39-C54</f>
        <v>88.203927739999969</v>
      </c>
      <c r="D55" s="1111">
        <f t="shared" si="12"/>
        <v>94.772187251050013</v>
      </c>
      <c r="E55" s="1111">
        <f t="shared" si="12"/>
        <v>114.80085352213752</v>
      </c>
      <c r="F55" s="1111">
        <f t="shared" si="12"/>
        <v>143.25350131387376</v>
      </c>
      <c r="G55" s="1111">
        <f t="shared" si="12"/>
        <v>175.32829147330841</v>
      </c>
      <c r="H55" s="1136">
        <f t="shared" si="12"/>
        <v>206.49202248591263</v>
      </c>
      <c r="I55" s="1111">
        <f t="shared" si="12"/>
        <v>212.68678316049002</v>
      </c>
      <c r="J55" s="1111">
        <f t="shared" si="12"/>
        <v>219.06738665530474</v>
      </c>
      <c r="K55" s="1111">
        <f t="shared" si="12"/>
        <v>225.63940825496391</v>
      </c>
      <c r="L55" s="1111">
        <f t="shared" si="12"/>
        <v>232.40859050261281</v>
      </c>
      <c r="M55" s="1111">
        <f t="shared" si="12"/>
        <v>239.38084821769118</v>
      </c>
      <c r="O55" s="1133" t="s">
        <v>811</v>
      </c>
    </row>
    <row r="56" spans="1:19" s="1133" customFormat="1" ht="14.1" customHeight="1" x14ac:dyDescent="0.45">
      <c r="A56" s="1137" t="s">
        <v>812</v>
      </c>
      <c r="B56" s="1134"/>
      <c r="C56" s="1111">
        <f t="shared" ref="C56:H56" si="13">IF($B$30=1,0,N56)</f>
        <v>0</v>
      </c>
      <c r="D56" s="1111">
        <f t="shared" si="13"/>
        <v>0</v>
      </c>
      <c r="E56" s="1111">
        <f t="shared" si="13"/>
        <v>0</v>
      </c>
      <c r="F56" s="1111">
        <f t="shared" si="13"/>
        <v>0</v>
      </c>
      <c r="G56" s="1111">
        <f t="shared" si="13"/>
        <v>0</v>
      </c>
      <c r="H56" s="1111">
        <f t="shared" si="13"/>
        <v>0</v>
      </c>
      <c r="I56" s="1134"/>
      <c r="J56" s="1134"/>
      <c r="K56" s="1134"/>
      <c r="L56" s="1134"/>
      <c r="M56" s="1134"/>
      <c r="O56" s="1120">
        <v>0</v>
      </c>
      <c r="P56" s="1120">
        <v>0</v>
      </c>
      <c r="Q56" s="1120">
        <v>0</v>
      </c>
      <c r="R56" s="1120">
        <v>0</v>
      </c>
      <c r="S56" s="1120">
        <v>0</v>
      </c>
    </row>
    <row r="57" spans="1:19" s="1133" customFormat="1" ht="14.1" customHeight="1" x14ac:dyDescent="0.45">
      <c r="A57" s="1107" t="s">
        <v>808</v>
      </c>
      <c r="B57" s="1134"/>
      <c r="C57" s="1138">
        <f t="shared" ref="C57:M57" ca="1" si="14">+C55*$B$13</f>
        <v>-0.5646057924540413</v>
      </c>
      <c r="D57" s="1138">
        <f t="shared" ca="1" si="14"/>
        <v>-0.6066501487690088</v>
      </c>
      <c r="E57" s="1138">
        <f t="shared" ca="1" si="14"/>
        <v>-0.7348564688448963</v>
      </c>
      <c r="F57" s="1138">
        <f t="shared" ca="1" si="14"/>
        <v>-0.91698588377551737</v>
      </c>
      <c r="G57" s="1138">
        <f t="shared" ca="1" si="14"/>
        <v>-1.1223011433084791</v>
      </c>
      <c r="H57" s="1139">
        <f t="shared" ca="1" si="14"/>
        <v>-1.3217845846361904</v>
      </c>
      <c r="I57" s="1138">
        <f t="shared" ca="1" si="14"/>
        <v>-1.3614381221752763</v>
      </c>
      <c r="J57" s="1138">
        <f t="shared" ca="1" si="14"/>
        <v>-1.4022812658405348</v>
      </c>
      <c r="K57" s="1138">
        <f t="shared" ca="1" si="14"/>
        <v>-1.4443497038157509</v>
      </c>
      <c r="L57" s="1138">
        <f t="shared" ca="1" si="14"/>
        <v>-1.4876801949302234</v>
      </c>
      <c r="M57" s="1138">
        <f t="shared" ca="1" si="14"/>
        <v>-1.53231060077813</v>
      </c>
    </row>
    <row r="58" spans="1:19" s="1133" customFormat="1" ht="14.1" customHeight="1" x14ac:dyDescent="0.45">
      <c r="A58" s="1137" t="s">
        <v>813</v>
      </c>
      <c r="B58" s="1134"/>
      <c r="C58" s="1111">
        <f t="shared" ref="C58:H58" ca="1" si="15">+C55-C57-C56</f>
        <v>88.768533532454015</v>
      </c>
      <c r="D58" s="1111">
        <f t="shared" ca="1" si="15"/>
        <v>95.37883739981902</v>
      </c>
      <c r="E58" s="1111">
        <f t="shared" ca="1" si="15"/>
        <v>115.53570999098241</v>
      </c>
      <c r="F58" s="1111">
        <f t="shared" ca="1" si="15"/>
        <v>144.17048719764927</v>
      </c>
      <c r="G58" s="1111">
        <f t="shared" ca="1" si="15"/>
        <v>176.45059261661689</v>
      </c>
      <c r="H58" s="1111">
        <f t="shared" ca="1" si="15"/>
        <v>207.81380707054882</v>
      </c>
      <c r="I58" s="1111">
        <f ca="1">+I55-I57</f>
        <v>214.04822128266531</v>
      </c>
      <c r="J58" s="1111">
        <f ca="1">+J55-J57</f>
        <v>220.46966792114529</v>
      </c>
      <c r="K58" s="1111">
        <f ca="1">+K55-K57</f>
        <v>227.08375795877967</v>
      </c>
      <c r="L58" s="1111">
        <f ca="1">+L55-L57</f>
        <v>233.89627069754303</v>
      </c>
      <c r="M58" s="1111">
        <f ca="1">+M55-M57</f>
        <v>240.9131588184693</v>
      </c>
    </row>
    <row r="59" spans="1:19" s="1133" customFormat="1" ht="14.1" customHeight="1" x14ac:dyDescent="0.45">
      <c r="A59" s="1140" t="s">
        <v>814</v>
      </c>
      <c r="B59" s="1141"/>
      <c r="C59" s="1141">
        <f t="shared" ref="C59:M59" ca="1" si="16">+C58/C103</f>
        <v>1.3703923294500127</v>
      </c>
      <c r="D59" s="1141">
        <f t="shared" ca="1" si="16"/>
        <v>1.472440987399948</v>
      </c>
      <c r="E59" s="1141">
        <f t="shared" ca="1" si="16"/>
        <v>1.7836190871770783</v>
      </c>
      <c r="F59" s="1141">
        <f t="shared" ca="1" si="16"/>
        <v>2.2256775225029219</v>
      </c>
      <c r="G59" s="1141">
        <f t="shared" ca="1" si="16"/>
        <v>2.7240118657622716</v>
      </c>
      <c r="H59" s="1142">
        <f t="shared" ca="1" si="16"/>
        <v>3.2081914145755963</v>
      </c>
      <c r="I59" s="1141">
        <f t="shared" ca="1" si="16"/>
        <v>3.3044371570128646</v>
      </c>
      <c r="J59" s="1141">
        <f t="shared" ca="1" si="16"/>
        <v>3.4035702717232508</v>
      </c>
      <c r="K59" s="1141">
        <f t="shared" ca="1" si="16"/>
        <v>3.5056773798749488</v>
      </c>
      <c r="L59" s="1141">
        <f t="shared" ca="1" si="16"/>
        <v>3.6108477012711968</v>
      </c>
      <c r="M59" s="1141">
        <f t="shared" ca="1" si="16"/>
        <v>3.7191731323093324</v>
      </c>
    </row>
    <row r="60" spans="1:19" s="1133" customFormat="1" ht="14.1" customHeight="1" x14ac:dyDescent="0.45">
      <c r="A60" s="1137"/>
      <c r="B60" s="1143"/>
      <c r="C60" s="1144" t="s">
        <v>815</v>
      </c>
      <c r="D60" s="1143"/>
      <c r="E60" s="1143"/>
      <c r="F60" s="1143"/>
      <c r="G60" s="1143"/>
      <c r="H60" s="1145"/>
      <c r="I60" s="1143"/>
      <c r="J60" s="1143"/>
      <c r="K60" s="1143"/>
      <c r="L60" s="1143"/>
      <c r="M60" s="1143"/>
    </row>
    <row r="61" spans="1:19" s="1133" customFormat="1" ht="14.1" customHeight="1" x14ac:dyDescent="0.45">
      <c r="A61" s="1137" t="s">
        <v>816</v>
      </c>
      <c r="B61" s="1100"/>
      <c r="C61" s="1111">
        <f>INDEX(MO_BSS_Debt_Net,0,_xlfn.XMATCH("FY"&amp;B$34-1, MO_Common_ColumnHeader))</f>
        <v>8.1550000000000011</v>
      </c>
      <c r="D61" s="1111">
        <f ca="1">C68</f>
        <v>50.177296884650261</v>
      </c>
      <c r="E61" s="1100">
        <f ca="1">D68</f>
        <v>-14.531298028517035</v>
      </c>
      <c r="F61" s="1100">
        <f ca="1">E68</f>
        <v>-96.563252797457224</v>
      </c>
      <c r="G61" s="1128">
        <f ca="1">F68</f>
        <v>-204.71602879699347</v>
      </c>
      <c r="H61" s="1128">
        <f ca="1">G68</f>
        <v>-342.4465468013484</v>
      </c>
      <c r="I61" s="1146"/>
      <c r="J61" s="1060"/>
      <c r="K61" s="1060"/>
      <c r="L61" s="1060"/>
      <c r="M61" s="1060"/>
    </row>
    <row r="62" spans="1:19" ht="14.1" customHeight="1" x14ac:dyDescent="0.45">
      <c r="A62" s="1137" t="s">
        <v>817</v>
      </c>
      <c r="B62" s="1128"/>
      <c r="C62" s="1128">
        <f>C39*$C$33</f>
        <v>90.373966899999971</v>
      </c>
      <c r="D62" s="1128">
        <f>D39</f>
        <v>97.061578564850009</v>
      </c>
      <c r="E62" s="1128">
        <f>E39</f>
        <v>117.26194918447251</v>
      </c>
      <c r="F62" s="1128">
        <f>F39</f>
        <v>145.89917915088387</v>
      </c>
      <c r="G62" s="1128">
        <f>G39</f>
        <v>178.1723951480943</v>
      </c>
      <c r="H62" s="1128">
        <f>H39</f>
        <v>209.47833134443781</v>
      </c>
      <c r="I62" s="1147"/>
      <c r="J62" s="1143"/>
      <c r="K62" s="1143"/>
      <c r="L62" s="1143"/>
      <c r="M62" s="1143"/>
    </row>
    <row r="63" spans="1:19" ht="14.1" customHeight="1" x14ac:dyDescent="0.45">
      <c r="A63" s="1137" t="s">
        <v>818</v>
      </c>
      <c r="B63" s="1128"/>
      <c r="C63" s="1128">
        <f ca="1">C51*$C$33</f>
        <v>-0.45672774295209295</v>
      </c>
      <c r="D63" s="1128">
        <f ca="1">D51</f>
        <v>-0.52703026164461864</v>
      </c>
      <c r="E63" s="1128">
        <f ca="1">E51</f>
        <v>-0.65409061254771295</v>
      </c>
      <c r="F63" s="1128">
        <f ca="1">F51</f>
        <v>-0.82898825383843056</v>
      </c>
      <c r="G63" s="1128">
        <f ca="1">G51</f>
        <v>-1.0266686168356003</v>
      </c>
      <c r="H63" s="1128">
        <f ca="1">H51</f>
        <v>-1.2199610361828837</v>
      </c>
      <c r="I63" s="1147"/>
      <c r="J63" s="1143"/>
      <c r="K63" s="1143"/>
      <c r="L63" s="1143"/>
      <c r="M63" s="1143"/>
    </row>
    <row r="64" spans="1:19" ht="14.1" customHeight="1" x14ac:dyDescent="0.45">
      <c r="A64" s="1137" t="s">
        <v>819</v>
      </c>
      <c r="B64" s="1128"/>
      <c r="C64" s="1128">
        <f>C49*$C$33</f>
        <v>9.5876351351351363E-2</v>
      </c>
      <c r="D64" s="1128">
        <f ca="1">D49</f>
        <v>0.58992227418440168</v>
      </c>
      <c r="E64" s="1128">
        <f ca="1">E49</f>
        <v>0</v>
      </c>
      <c r="F64" s="1128">
        <f ca="1">F49</f>
        <v>0</v>
      </c>
      <c r="G64" s="1128">
        <f ca="1">G49</f>
        <v>0</v>
      </c>
      <c r="H64" s="1128">
        <f ca="1">H49</f>
        <v>0</v>
      </c>
      <c r="I64" s="1147"/>
      <c r="J64" s="1143"/>
      <c r="K64" s="1143"/>
      <c r="L64" s="1143"/>
      <c r="M64" s="1143"/>
    </row>
    <row r="65" spans="1:15" ht="14.1" customHeight="1" x14ac:dyDescent="0.45">
      <c r="A65" s="1137" t="s">
        <v>820</v>
      </c>
      <c r="B65" s="1128"/>
      <c r="C65" s="1128">
        <f>(C36-B36)*$B$25*$C$33</f>
        <v>1.440883881951891</v>
      </c>
      <c r="D65" s="1128">
        <f>(D36-C36)*$B$25</f>
        <v>3.2236504190038189</v>
      </c>
      <c r="E65" s="1128">
        <f>(E36-D36)*$B$25</f>
        <v>4.6376607164304939</v>
      </c>
      <c r="F65" s="1128">
        <f>(F36-E36)*$B$25</f>
        <v>4.9854852701627772</v>
      </c>
      <c r="G65" s="1128">
        <f>(G36-F36)*$B$25</f>
        <v>5.3593966654249847</v>
      </c>
      <c r="H65" s="1128">
        <f>(H36-G36)*$B$25</f>
        <v>3.8409009435545745</v>
      </c>
      <c r="I65" s="1147"/>
      <c r="J65" s="1143"/>
      <c r="K65" s="1143"/>
      <c r="L65" s="1143"/>
      <c r="M65" s="1143"/>
    </row>
    <row r="66" spans="1:15" ht="14.1" customHeight="1" x14ac:dyDescent="0.45">
      <c r="A66" s="1137" t="s">
        <v>821</v>
      </c>
      <c r="B66" s="1128"/>
      <c r="C66" s="1128">
        <f>C36*$B$26*$C$33</f>
        <v>27.551129118615272</v>
      </c>
      <c r="D66" s="1128">
        <f>D36*$B$26</f>
        <v>29.066441220139112</v>
      </c>
      <c r="E66" s="1128">
        <f>E36*$B$26</f>
        <v>31.246424311649545</v>
      </c>
      <c r="F66" s="1128">
        <f>F36*$B$26</f>
        <v>33.589906135023263</v>
      </c>
      <c r="G66" s="1128">
        <f>G36*$B$26</f>
        <v>36.109149095150002</v>
      </c>
      <c r="H66" s="1128">
        <f>H36*$B$26</f>
        <v>37.914606549907504</v>
      </c>
      <c r="I66" s="1147"/>
      <c r="J66" s="1143"/>
      <c r="K66" s="1143"/>
      <c r="L66" s="1143"/>
      <c r="M66" s="1143"/>
    </row>
    <row r="67" spans="1:15" ht="14.1" customHeight="1" x14ac:dyDescent="0.45">
      <c r="A67" s="1137" t="s">
        <v>822</v>
      </c>
      <c r="B67" s="1128"/>
      <c r="C67" s="1148">
        <f ca="1">INDEX(MO_CFSum_Dividend,0,_xlfn.XMATCH("FY"&amp;C34,MO_Common_ColumnHeader))</f>
        <v>0</v>
      </c>
      <c r="D67" s="1148">
        <f ca="1">INDEX(MO_CFSum_Dividend,0,_xlfn.XMATCH("FY"&amp;D34,MO_Common_ColumnHeader))</f>
        <v>0</v>
      </c>
      <c r="E67" s="1148">
        <f ca="1">INDEX(MO_CFSum_Dividend,0,_xlfn.XMATCH("FY"&amp;E34,MO_Common_ColumnHeader))</f>
        <v>0</v>
      </c>
      <c r="F67" s="1148">
        <f ca="1">INDEX(MO_CFSum_Dividend,0,_xlfn.XMATCH("FY"&amp;F34,MO_Common_ColumnHeader))</f>
        <v>0</v>
      </c>
      <c r="G67" s="1148">
        <f ca="1">INDEX(MO_CFSum_Dividend,0,_xlfn.XMATCH("FY"&amp;G34,MO_Common_ColumnHeader))</f>
        <v>0</v>
      </c>
      <c r="H67" s="1149">
        <f ca="1">G67</f>
        <v>0</v>
      </c>
      <c r="I67" s="1147"/>
      <c r="J67" s="1143"/>
      <c r="K67" s="1143"/>
      <c r="L67" s="1143"/>
      <c r="M67" s="1143"/>
    </row>
    <row r="68" spans="1:15" ht="14.1" customHeight="1" x14ac:dyDescent="0.45">
      <c r="A68" s="1137" t="s">
        <v>823</v>
      </c>
      <c r="C68" s="1111">
        <f ca="1">INDEX(MO_BSS_Debt_Net,0,_xlfn.XMATCH("FY"&amp;C$34, MO_Common_ColumnHeader))</f>
        <v>50.177296884650261</v>
      </c>
      <c r="D68" s="1128">
        <f ca="1">D61-D62+D63+D64+D65+D66+D67</f>
        <v>-14.531298028517035</v>
      </c>
      <c r="E68" s="1128">
        <f ca="1">E61-E62+E63+E64+E65+E66+E67</f>
        <v>-96.563252797457224</v>
      </c>
      <c r="F68" s="1128">
        <f ca="1">F61-F62+F63+F64+F65+F66+F67</f>
        <v>-204.71602879699347</v>
      </c>
      <c r="G68" s="1150">
        <f ca="1">G61-G62+G63+G64+G65+G66+G67</f>
        <v>-342.4465468013484</v>
      </c>
      <c r="H68" s="1150">
        <f ca="1">H61-H62+H63+H64+H65+H66+H67</f>
        <v>-511.38933168850701</v>
      </c>
      <c r="I68" s="1147"/>
      <c r="J68" s="1143"/>
      <c r="K68" s="1143"/>
      <c r="L68" s="1143"/>
      <c r="M68" s="1143"/>
    </row>
    <row r="69" spans="1:15" ht="14.1" customHeight="1" x14ac:dyDescent="0.45">
      <c r="A69" s="1151"/>
      <c r="B69" s="1151"/>
      <c r="C69" s="1151"/>
      <c r="D69" s="1151"/>
      <c r="E69" s="1151"/>
      <c r="F69" s="1151"/>
      <c r="G69" s="1151"/>
      <c r="H69" s="1151"/>
      <c r="I69" s="1151"/>
      <c r="J69" s="1151"/>
      <c r="K69" s="1151"/>
      <c r="L69" s="1151"/>
      <c r="M69" s="1151"/>
    </row>
    <row r="70" spans="1:15" ht="14.1" customHeight="1" x14ac:dyDescent="0.45">
      <c r="A70" s="1152" t="s">
        <v>824</v>
      </c>
      <c r="D70" s="1153" t="s">
        <v>825</v>
      </c>
      <c r="E70" s="1153" t="s">
        <v>826</v>
      </c>
      <c r="F70" s="1153" t="s">
        <v>827</v>
      </c>
      <c r="G70" s="1153" t="s">
        <v>828</v>
      </c>
      <c r="H70" s="1153" t="s">
        <v>829</v>
      </c>
      <c r="I70" s="1153" t="s">
        <v>830</v>
      </c>
      <c r="J70" s="1153" t="s">
        <v>831</v>
      </c>
      <c r="K70" s="1153" t="s">
        <v>832</v>
      </c>
      <c r="L70" s="1153" t="s">
        <v>833</v>
      </c>
      <c r="M70" s="1153" t="s">
        <v>834</v>
      </c>
    </row>
    <row r="71" spans="1:15" ht="14.1" customHeight="1" x14ac:dyDescent="0.45">
      <c r="A71" s="1154" t="s">
        <v>835</v>
      </c>
      <c r="D71" s="1155">
        <f t="shared" ref="D71:M71" si="17">C36*$C$33+D36*(1-$C$33)</f>
        <v>542.50978999999995</v>
      </c>
      <c r="E71" s="1155">
        <f t="shared" si="17"/>
        <v>572.34782844999995</v>
      </c>
      <c r="F71" s="1155">
        <f t="shared" si="17"/>
        <v>615.27391558374995</v>
      </c>
      <c r="G71" s="1155">
        <f t="shared" si="17"/>
        <v>661.41945925253117</v>
      </c>
      <c r="H71" s="1155">
        <f t="shared" si="17"/>
        <v>711.02591869647097</v>
      </c>
      <c r="I71" s="1155">
        <f t="shared" si="17"/>
        <v>746.57721463129451</v>
      </c>
      <c r="J71" s="1155">
        <f t="shared" si="17"/>
        <v>768.97453107023341</v>
      </c>
      <c r="K71" s="1155">
        <f t="shared" si="17"/>
        <v>792.04376700234047</v>
      </c>
      <c r="L71" s="1155">
        <f t="shared" si="17"/>
        <v>815.80508001241071</v>
      </c>
      <c r="M71" s="1155">
        <f t="shared" si="17"/>
        <v>840.27923241278302</v>
      </c>
    </row>
    <row r="72" spans="1:15" ht="14.1" customHeight="1" x14ac:dyDescent="0.45">
      <c r="A72" s="1154" t="s">
        <v>64</v>
      </c>
      <c r="D72" s="1156">
        <f t="shared" ref="D72:M72" si="18">C39*$C$33+D39*(1-$C$33)</f>
        <v>90.373966899999971</v>
      </c>
      <c r="E72" s="1156">
        <f t="shared" si="18"/>
        <v>97.061578564850009</v>
      </c>
      <c r="F72" s="1156">
        <f t="shared" si="18"/>
        <v>117.26194918447251</v>
      </c>
      <c r="G72" s="1156">
        <f t="shared" si="18"/>
        <v>145.89917915088387</v>
      </c>
      <c r="H72" s="1156">
        <f t="shared" si="18"/>
        <v>178.1723951480943</v>
      </c>
      <c r="I72" s="1156">
        <f t="shared" si="18"/>
        <v>209.47833134443781</v>
      </c>
      <c r="J72" s="1156">
        <f t="shared" si="18"/>
        <v>215.76268128477096</v>
      </c>
      <c r="K72" s="1156">
        <f t="shared" si="18"/>
        <v>222.23556172331411</v>
      </c>
      <c r="L72" s="1156">
        <f t="shared" si="18"/>
        <v>228.90262857501355</v>
      </c>
      <c r="M72" s="1156">
        <f t="shared" si="18"/>
        <v>235.76970743226394</v>
      </c>
    </row>
    <row r="73" spans="1:15" ht="14.1" customHeight="1" x14ac:dyDescent="0.45">
      <c r="A73" s="1154" t="s">
        <v>836</v>
      </c>
      <c r="D73" s="1156">
        <f t="shared" ref="D73:M73" si="19">C54*$C$33+D54*(1-$C$33)</f>
        <v>2.17003916</v>
      </c>
      <c r="E73" s="1156">
        <f t="shared" si="19"/>
        <v>2.2893913137999999</v>
      </c>
      <c r="F73" s="1156">
        <f t="shared" si="19"/>
        <v>2.461095662335</v>
      </c>
      <c r="G73" s="1156">
        <f t="shared" si="19"/>
        <v>2.6456778370101248</v>
      </c>
      <c r="H73" s="1156">
        <f t="shared" si="19"/>
        <v>2.8441036747858841</v>
      </c>
      <c r="I73" s="1156">
        <f t="shared" si="19"/>
        <v>2.9863088585251782</v>
      </c>
      <c r="J73" s="1156">
        <f t="shared" si="19"/>
        <v>3.0758981242809336</v>
      </c>
      <c r="K73" s="1156">
        <f t="shared" si="19"/>
        <v>3.1681750680093619</v>
      </c>
      <c r="L73" s="1156">
        <f t="shared" si="19"/>
        <v>3.2632203200496428</v>
      </c>
      <c r="M73" s="1156">
        <f t="shared" si="19"/>
        <v>3.3611169296511321</v>
      </c>
    </row>
    <row r="74" spans="1:15" ht="14.1" customHeight="1" x14ac:dyDescent="0.45">
      <c r="A74" s="1157" t="s">
        <v>810</v>
      </c>
      <c r="D74" s="1158">
        <f t="shared" ref="D74:M74" si="20">+D72-D73</f>
        <v>88.203927739999969</v>
      </c>
      <c r="E74" s="1158">
        <f t="shared" si="20"/>
        <v>94.772187251050013</v>
      </c>
      <c r="F74" s="1158">
        <f t="shared" si="20"/>
        <v>114.80085352213752</v>
      </c>
      <c r="G74" s="1158">
        <f t="shared" si="20"/>
        <v>143.25350131387376</v>
      </c>
      <c r="H74" s="1158">
        <f t="shared" si="20"/>
        <v>175.32829147330841</v>
      </c>
      <c r="I74" s="1158">
        <f t="shared" si="20"/>
        <v>206.49202248591263</v>
      </c>
      <c r="J74" s="1158">
        <f t="shared" si="20"/>
        <v>212.68678316049002</v>
      </c>
      <c r="K74" s="1158">
        <f t="shared" si="20"/>
        <v>219.06738665530474</v>
      </c>
      <c r="L74" s="1158">
        <f t="shared" si="20"/>
        <v>225.63940825496391</v>
      </c>
      <c r="M74" s="1158">
        <f t="shared" si="20"/>
        <v>232.40859050261281</v>
      </c>
    </row>
    <row r="75" spans="1:15" ht="14.1" customHeight="1" x14ac:dyDescent="0.45">
      <c r="A75" s="1154" t="s">
        <v>808</v>
      </c>
      <c r="D75" s="1156">
        <f ca="1">+D57/D55*D74</f>
        <v>-0.5646057924540413</v>
      </c>
      <c r="E75" s="1156">
        <f ca="1">+E57/E55*E74</f>
        <v>-0.6066501487690088</v>
      </c>
      <c r="F75" s="1156">
        <f ca="1">+F57/F55*F74</f>
        <v>-0.7348564688448963</v>
      </c>
      <c r="G75" s="1156">
        <f ca="1">+G57/G55*G74</f>
        <v>-0.91698588377551737</v>
      </c>
      <c r="H75" s="1156">
        <f ca="1">+H57/H55*H74</f>
        <v>-1.1223011433084789</v>
      </c>
      <c r="I75" s="1156">
        <f ca="1">$H75/$H74*I74</f>
        <v>-1.3217845846361904</v>
      </c>
      <c r="J75" s="1156">
        <f ca="1">$H75/$H74*J74</f>
        <v>-1.3614381221752763</v>
      </c>
      <c r="K75" s="1156">
        <f ca="1">$H75/$H74*K74</f>
        <v>-1.4022812658405346</v>
      </c>
      <c r="L75" s="1156">
        <f ca="1">$H75/$H74*L74</f>
        <v>-1.4443497038157507</v>
      </c>
      <c r="M75" s="1156">
        <f ca="1">$H75/$H74*M74</f>
        <v>-1.4876801949302232</v>
      </c>
    </row>
    <row r="76" spans="1:15" ht="14.1" customHeight="1" x14ac:dyDescent="0.45">
      <c r="A76" s="1157" t="s">
        <v>813</v>
      </c>
      <c r="D76" s="1158">
        <f t="shared" ref="D76:M76" ca="1" si="21">+D74-D75</f>
        <v>88.768533532454015</v>
      </c>
      <c r="E76" s="1158">
        <f t="shared" ca="1" si="21"/>
        <v>95.37883739981902</v>
      </c>
      <c r="F76" s="1158">
        <f t="shared" ca="1" si="21"/>
        <v>115.53570999098241</v>
      </c>
      <c r="G76" s="1158">
        <f t="shared" ca="1" si="21"/>
        <v>144.17048719764927</v>
      </c>
      <c r="H76" s="1158">
        <f t="shared" ca="1" si="21"/>
        <v>176.45059261661689</v>
      </c>
      <c r="I76" s="1158">
        <f t="shared" ca="1" si="21"/>
        <v>207.81380707054882</v>
      </c>
      <c r="J76" s="1158">
        <f t="shared" ca="1" si="21"/>
        <v>214.04822128266531</v>
      </c>
      <c r="K76" s="1158">
        <f t="shared" ca="1" si="21"/>
        <v>220.46966792114529</v>
      </c>
      <c r="L76" s="1158">
        <f t="shared" ca="1" si="21"/>
        <v>227.08375795877967</v>
      </c>
      <c r="M76" s="1158">
        <f t="shared" ca="1" si="21"/>
        <v>233.89627069754303</v>
      </c>
    </row>
    <row r="77" spans="1:15" ht="14.1" customHeight="1" x14ac:dyDescent="0.45">
      <c r="A77" s="1157"/>
    </row>
    <row r="78" spans="1:15" ht="14.1" customHeight="1" x14ac:dyDescent="0.45">
      <c r="A78" s="1159" t="s">
        <v>837</v>
      </c>
      <c r="I78" s="1160">
        <f ca="1">+I76-$H76</f>
        <v>31.363214453931931</v>
      </c>
      <c r="J78" s="1160">
        <f ca="1">+J76-$H76</f>
        <v>37.597628666048422</v>
      </c>
      <c r="K78" s="1160">
        <f ca="1">+K76-$H76</f>
        <v>44.0190753045284</v>
      </c>
      <c r="L78" s="1160">
        <f ca="1">+L76-$H76</f>
        <v>50.633165342162783</v>
      </c>
      <c r="M78" s="1160">
        <f ca="1">+M76-$H76</f>
        <v>57.445678080926143</v>
      </c>
    </row>
    <row r="79" spans="1:15" ht="14.1" customHeight="1" x14ac:dyDescent="0.45">
      <c r="A79" s="1159" t="s">
        <v>838</v>
      </c>
      <c r="I79" s="1161">
        <v>0</v>
      </c>
      <c r="J79" s="1161">
        <v>0</v>
      </c>
      <c r="K79" s="1161">
        <v>0</v>
      </c>
      <c r="L79" s="1161">
        <v>0</v>
      </c>
      <c r="M79" s="1161">
        <v>0</v>
      </c>
      <c r="O79" s="1060" t="s">
        <v>839</v>
      </c>
    </row>
    <row r="80" spans="1:15" ht="14.1" customHeight="1" x14ac:dyDescent="0.45">
      <c r="A80" s="1159" t="s">
        <v>840</v>
      </c>
      <c r="I80" s="1162">
        <f>-(I71-H71)*$B$25</f>
        <v>-3.8409009435545745</v>
      </c>
      <c r="J80" s="1162">
        <f>-(J71-I71)*$B$25</f>
        <v>-2.4197675944393895</v>
      </c>
      <c r="K80" s="1162">
        <f>-(K71-J71)*$B$25</f>
        <v>-2.4923606222725705</v>
      </c>
      <c r="L80" s="1162">
        <f>-(L71-K71)*$B$25</f>
        <v>-2.5671314409407437</v>
      </c>
      <c r="M80" s="1162">
        <f>-(M71-L71)*$B$25</f>
        <v>-2.6441453841689615</v>
      </c>
    </row>
    <row r="81" spans="1:15" ht="14.1" customHeight="1" x14ac:dyDescent="0.45">
      <c r="A81" s="1159" t="s">
        <v>841</v>
      </c>
      <c r="I81" s="1160">
        <f ca="1">SUM(I78:I80)</f>
        <v>27.522313510377359</v>
      </c>
      <c r="J81" s="1160">
        <f ca="1">SUM(J78:J80)</f>
        <v>35.17786107160903</v>
      </c>
      <c r="K81" s="1160">
        <f ca="1">SUM(K78:K80)</f>
        <v>41.526714682255829</v>
      </c>
      <c r="L81" s="1160">
        <f ca="1">SUM(L78:L80)</f>
        <v>48.066033901222042</v>
      </c>
      <c r="M81" s="1160">
        <f ca="1">SUM(M78:M80)</f>
        <v>54.801532696757178</v>
      </c>
    </row>
    <row r="82" spans="1:15" ht="14.1" customHeight="1" x14ac:dyDescent="0.45">
      <c r="A82" s="1163"/>
      <c r="B82" s="1164"/>
      <c r="C82" s="1164"/>
      <c r="D82" s="1164"/>
      <c r="E82" s="1164"/>
      <c r="F82" s="1164"/>
      <c r="G82" s="1164"/>
      <c r="H82" s="1164"/>
      <c r="I82" s="1165"/>
      <c r="J82" s="1165"/>
      <c r="K82" s="1165"/>
      <c r="L82" s="1165"/>
      <c r="M82" s="1165"/>
    </row>
    <row r="83" spans="1:15" ht="14.1" customHeight="1" x14ac:dyDescent="0.45">
      <c r="A83" s="1159" t="s">
        <v>842</v>
      </c>
      <c r="I83" s="1160">
        <f ca="1">I81/(1+$B$11)^(I33-$H$33)</f>
        <v>25.020285009433959</v>
      </c>
      <c r="J83" s="1160">
        <f ca="1">J81/(1+$B$11)^(J33-$H$33)</f>
        <v>29.072612455875227</v>
      </c>
      <c r="K83" s="1160">
        <f ca="1">K81/(1+$B$11)^(K33-$H$33)</f>
        <v>31.199635373595655</v>
      </c>
      <c r="L83" s="1160">
        <f ca="1">L81/(1+$B$11)^(L33-$H$33)</f>
        <v>32.829747900568286</v>
      </c>
      <c r="M83" s="1160">
        <f ca="1">M81/(1+$B$11)^(M33-$H$33)</f>
        <v>34.027440187740005</v>
      </c>
    </row>
    <row r="84" spans="1:15" ht="14.1" customHeight="1" x14ac:dyDescent="0.45">
      <c r="A84" s="1159" t="s">
        <v>843</v>
      </c>
      <c r="I84" s="1160">
        <f ca="1">SUM($I$83:I83)</f>
        <v>25.020285009433959</v>
      </c>
      <c r="J84" s="1160">
        <f ca="1">SUM($I$83:J83)</f>
        <v>54.092897465309186</v>
      </c>
      <c r="K84" s="1160">
        <f ca="1">SUM($I$83:K83)</f>
        <v>85.292532838904833</v>
      </c>
      <c r="L84" s="1160">
        <f ca="1">SUM($I$83:L83)</f>
        <v>118.12228073947313</v>
      </c>
      <c r="M84" s="1160">
        <f ca="1">SUM($I$83:M83)</f>
        <v>152.14972092721314</v>
      </c>
    </row>
    <row r="85" spans="1:15" ht="14.1" customHeight="1" x14ac:dyDescent="0.45">
      <c r="A85" s="1159" t="s">
        <v>844</v>
      </c>
      <c r="I85" s="1160"/>
      <c r="J85" s="1160"/>
      <c r="K85" s="1160"/>
      <c r="L85" s="1160"/>
      <c r="M85" s="1160">
        <f ca="1">M78/$B$11</f>
        <v>574.45678080926143</v>
      </c>
    </row>
    <row r="86" spans="1:15" ht="14.1" customHeight="1" x14ac:dyDescent="0.45">
      <c r="A86" s="1166" t="s">
        <v>845</v>
      </c>
      <c r="B86" s="1151"/>
      <c r="C86" s="1151"/>
      <c r="D86" s="1151"/>
      <c r="E86" s="1151"/>
      <c r="F86" s="1151"/>
      <c r="G86" s="1151"/>
      <c r="H86" s="1151"/>
      <c r="I86" s="1167"/>
      <c r="J86" s="1167"/>
      <c r="K86" s="1167"/>
      <c r="L86" s="1167"/>
      <c r="M86" s="1167">
        <f ca="1">M85/(1+$B$11)^(M33-$H$33)</f>
        <v>356.69246438038959</v>
      </c>
    </row>
    <row r="88" spans="1:15" ht="14.1" customHeight="1" x14ac:dyDescent="0.45">
      <c r="A88" s="1168" t="s">
        <v>846</v>
      </c>
    </row>
    <row r="89" spans="1:15" ht="14.1" customHeight="1" x14ac:dyDescent="0.45">
      <c r="A89" s="1159" t="s">
        <v>847</v>
      </c>
      <c r="B89" s="1100"/>
      <c r="C89" s="1100"/>
      <c r="D89" s="1100">
        <f ca="1">D76/$B$11</f>
        <v>887.68533532454012</v>
      </c>
      <c r="E89" s="1100">
        <f ca="1">E76/$B$11</f>
        <v>953.7883739981902</v>
      </c>
      <c r="F89" s="1100">
        <f ca="1">F76/$B$11</f>
        <v>1155.357099909824</v>
      </c>
      <c r="G89" s="1100">
        <f ca="1">G76/$B$11</f>
        <v>1441.7048719764925</v>
      </c>
      <c r="H89" s="1100">
        <f ca="1">H76/$B$11</f>
        <v>1764.5059261661688</v>
      </c>
    </row>
    <row r="90" spans="1:15" ht="14.1" customHeight="1" x14ac:dyDescent="0.45">
      <c r="A90" s="1159" t="s">
        <v>848</v>
      </c>
      <c r="B90" s="1100"/>
      <c r="C90" s="1100"/>
      <c r="D90" s="1100">
        <f ca="1">E90/(1+$B$11)</f>
        <v>347.54605922245923</v>
      </c>
      <c r="E90" s="1100">
        <f ca="1">F90/(1+$B$11)</f>
        <v>382.30066514470519</v>
      </c>
      <c r="F90" s="1100">
        <f ca="1">G90/(1+$B$11)</f>
        <v>420.53073165917573</v>
      </c>
      <c r="G90" s="1100">
        <f ca="1">H90/(1+$B$11)</f>
        <v>462.58380482509335</v>
      </c>
      <c r="H90" s="1169">
        <f ca="1">M84+M86</f>
        <v>508.84218530760273</v>
      </c>
      <c r="O90" s="1170"/>
    </row>
    <row r="91" spans="1:15" ht="14.1" customHeight="1" x14ac:dyDescent="0.45">
      <c r="A91" s="1159" t="s">
        <v>849</v>
      </c>
      <c r="B91" s="1100"/>
      <c r="C91" s="1100"/>
      <c r="D91" s="1100">
        <f ca="1">D89+D90</f>
        <v>1235.2313945469994</v>
      </c>
      <c r="E91" s="1100">
        <f ca="1">E89+E90</f>
        <v>1336.0890391428954</v>
      </c>
      <c r="F91" s="1100">
        <f ca="1">F89+F90</f>
        <v>1575.8878315689997</v>
      </c>
      <c r="G91" s="1100">
        <f ca="1">G89+G90</f>
        <v>1904.288676801586</v>
      </c>
      <c r="H91" s="1100">
        <f ca="1">H89+H90</f>
        <v>2273.3481114737715</v>
      </c>
    </row>
    <row r="92" spans="1:15" s="1105" customFormat="1" ht="14.1" customHeight="1" x14ac:dyDescent="0.45">
      <c r="A92" s="1168" t="s">
        <v>850</v>
      </c>
      <c r="B92" s="1171"/>
      <c r="C92" s="1171"/>
      <c r="D92" s="1172">
        <f ca="1">+D91/(D72)</f>
        <v>13.668000165510049</v>
      </c>
      <c r="E92" s="1172">
        <f ca="1">+E91/(E72)</f>
        <v>13.765375124722608</v>
      </c>
      <c r="F92" s="1172">
        <f ca="1">+F91/(F72)</f>
        <v>13.439038345592111</v>
      </c>
      <c r="G92" s="1172">
        <f ca="1">+G91/(G72)</f>
        <v>13.052086296059533</v>
      </c>
      <c r="H92" s="1172">
        <f ca="1">+H91/(H72)</f>
        <v>12.75926110542656</v>
      </c>
    </row>
    <row r="93" spans="1:15" ht="14.1" customHeight="1" x14ac:dyDescent="0.45">
      <c r="A93" s="1159" t="s">
        <v>851</v>
      </c>
      <c r="B93" s="1111"/>
      <c r="C93" s="1111">
        <f ca="1">(C61*$C$33+C68*(1-$C$33))</f>
        <v>8.1550000000000011</v>
      </c>
      <c r="D93" s="1111">
        <f ca="1">(C68*$C$33+D68*(1-$C$33))</f>
        <v>50.177296884650261</v>
      </c>
      <c r="E93" s="1111">
        <f ca="1">(D68*$C$33+E68*(1-$C$33))</f>
        <v>-14.531298028517035</v>
      </c>
      <c r="F93" s="1111">
        <f ca="1">(E68*$C$33+F68*(1-$C$33))</f>
        <v>-96.563252797457224</v>
      </c>
      <c r="G93" s="1111">
        <f ca="1">(F68*$C$33+G68*(1-$C$33))</f>
        <v>-204.71602879699347</v>
      </c>
      <c r="H93" s="1111">
        <f ca="1">(G68*$C$33+H68*(1-$C$33))</f>
        <v>-342.4465468013484</v>
      </c>
    </row>
    <row r="94" spans="1:15" ht="14.1" customHeight="1" x14ac:dyDescent="0.45">
      <c r="A94" s="1159" t="s">
        <v>852</v>
      </c>
      <c r="B94" s="1111"/>
      <c r="C94" s="1111"/>
      <c r="D94" s="1173">
        <f ca="1">+D91-D93</f>
        <v>1185.054097662349</v>
      </c>
      <c r="E94" s="1173">
        <f ca="1">+E91-E93</f>
        <v>1350.6203371714125</v>
      </c>
      <c r="F94" s="1173">
        <f ca="1">+F91-F93</f>
        <v>1672.4510843664568</v>
      </c>
      <c r="G94" s="1173">
        <f ca="1">+G91-G93</f>
        <v>2109.0047055985797</v>
      </c>
      <c r="H94" s="1173">
        <f ca="1">+H91-H93</f>
        <v>2615.7946582751201</v>
      </c>
    </row>
    <row r="95" spans="1:15" ht="14.1" customHeight="1" x14ac:dyDescent="0.45">
      <c r="A95" s="1159" t="s">
        <v>853</v>
      </c>
      <c r="B95" s="1134"/>
      <c r="C95" s="1134"/>
      <c r="D95" s="1134">
        <f>$B$12</f>
        <v>64.775999999999996</v>
      </c>
      <c r="E95" s="1134">
        <f>$B$12</f>
        <v>64.775999999999996</v>
      </c>
      <c r="F95" s="1134">
        <f>$B$12</f>
        <v>64.775999999999996</v>
      </c>
      <c r="G95" s="1134">
        <f>$B$12</f>
        <v>64.775999999999996</v>
      </c>
      <c r="H95" s="1134">
        <f>$B$12</f>
        <v>64.775999999999996</v>
      </c>
    </row>
    <row r="96" spans="1:15" ht="14.1" customHeight="1" x14ac:dyDescent="0.45">
      <c r="A96" s="1159" t="s">
        <v>854</v>
      </c>
      <c r="B96" s="1143"/>
      <c r="C96" s="1143"/>
      <c r="D96" s="1143">
        <f ca="1">D94/D95</f>
        <v>18.29464767293981</v>
      </c>
      <c r="E96" s="1143">
        <f ca="1">E94/E95</f>
        <v>20.850628892975987</v>
      </c>
      <c r="F96" s="1143">
        <f ca="1">F94/F95</f>
        <v>25.818992904261716</v>
      </c>
      <c r="G96" s="1143">
        <f ca="1">G94/G95</f>
        <v>32.558427590443678</v>
      </c>
      <c r="H96" s="1143">
        <f ca="1">H94/H95</f>
        <v>40.38215787135853</v>
      </c>
    </row>
    <row r="97" spans="1:13" ht="14.1" customHeight="1" x14ac:dyDescent="0.45">
      <c r="A97" s="1159" t="s">
        <v>855</v>
      </c>
      <c r="B97" s="1174"/>
      <c r="C97" s="1174">
        <f ca="1">IF(C67&gt;0,C67/$B$12,0)</f>
        <v>0</v>
      </c>
      <c r="D97" s="1174">
        <f ca="1">IF(D67&gt;0,(C67*$C$33+D67*(1-$C$33))/$B$12,0)</f>
        <v>0</v>
      </c>
      <c r="E97" s="1174">
        <f ca="1">IF(E67&gt;0,(D67*$C$33+E67*(1-$C$33))/$B$12,0)</f>
        <v>0</v>
      </c>
      <c r="F97" s="1174">
        <f ca="1">IF(F67&gt;0,(E67*$C$33+F67*(1-$C$33))/$B$12,0)</f>
        <v>0</v>
      </c>
      <c r="G97" s="1174">
        <f ca="1">IF(G67&gt;0,(F67*$C$33+G67*(1-$C$33))/$B$12,0)</f>
        <v>0</v>
      </c>
      <c r="H97" s="1174">
        <f ca="1">IF(H67&gt;0,(G67*$C$33+H67*(1-$C$33))/$B$12,0)</f>
        <v>0</v>
      </c>
    </row>
    <row r="98" spans="1:13" ht="14.1" customHeight="1" thickBot="1" x14ac:dyDescent="0.5">
      <c r="A98" s="1159" t="s">
        <v>856</v>
      </c>
      <c r="B98" s="1174"/>
      <c r="C98" s="1174"/>
      <c r="D98" s="1174">
        <f ca="1">SUM($C97:D97)</f>
        <v>0</v>
      </c>
      <c r="E98" s="1174">
        <f ca="1">SUM($C97:E97)</f>
        <v>0</v>
      </c>
      <c r="F98" s="1174">
        <f ca="1">SUM($C97:F97)</f>
        <v>0</v>
      </c>
      <c r="G98" s="1174">
        <f ca="1">SUM($C97:G97)</f>
        <v>0</v>
      </c>
      <c r="H98" s="1174">
        <f ca="1">SUM($C97:H97)</f>
        <v>0</v>
      </c>
    </row>
    <row r="99" spans="1:13" s="1105" customFormat="1" ht="14.1" customHeight="1" thickBot="1" x14ac:dyDescent="0.5">
      <c r="A99" s="1168" t="s">
        <v>857</v>
      </c>
      <c r="C99" s="1175"/>
      <c r="D99" s="1174">
        <f ca="1">D96+D98</f>
        <v>18.29464767293981</v>
      </c>
      <c r="E99" s="1174">
        <f ca="1">E96+E98</f>
        <v>20.850628892975987</v>
      </c>
      <c r="F99" s="1174">
        <f ca="1">F96+F98</f>
        <v>25.818992904261716</v>
      </c>
      <c r="G99" s="1174">
        <f ca="1">G96+G98</f>
        <v>32.558427590443678</v>
      </c>
      <c r="H99" s="1176">
        <f ca="1">H96+H98</f>
        <v>40.38215787135853</v>
      </c>
    </row>
    <row r="100" spans="1:13" ht="14.1" customHeight="1" x14ac:dyDescent="0.45">
      <c r="H100" s="1177"/>
    </row>
    <row r="101" spans="1:13" ht="14.1" customHeight="1" x14ac:dyDescent="0.45">
      <c r="A101" s="1178" t="s">
        <v>858</v>
      </c>
      <c r="B101" s="1179"/>
      <c r="C101" s="1179"/>
      <c r="D101" s="1179"/>
      <c r="E101" s="1179"/>
      <c r="F101" s="1179"/>
      <c r="G101" s="1105"/>
      <c r="H101" s="1179">
        <f ca="1">+H96/H104</f>
        <v>13.637789175399808</v>
      </c>
    </row>
    <row r="102" spans="1:13" ht="14.1" customHeight="1" x14ac:dyDescent="0.45">
      <c r="A102" s="1180" t="s">
        <v>859</v>
      </c>
      <c r="B102" s="1177"/>
      <c r="C102" s="1177"/>
      <c r="D102" s="1177"/>
      <c r="E102" s="1177"/>
      <c r="F102" s="1177"/>
      <c r="H102" s="1177">
        <f ca="1">MIN(H94,H91)/H103/H104</f>
        <v>11.852399104988066</v>
      </c>
    </row>
    <row r="103" spans="1:13" ht="14.1" customHeight="1" x14ac:dyDescent="0.45">
      <c r="A103" s="1107" t="s">
        <v>860</v>
      </c>
      <c r="B103" s="1134"/>
      <c r="C103" s="1134">
        <f t="shared" ref="C103:M103" si="22">$B$12</f>
        <v>64.775999999999996</v>
      </c>
      <c r="D103" s="1134">
        <f t="shared" si="22"/>
        <v>64.775999999999996</v>
      </c>
      <c r="E103" s="1134">
        <f t="shared" si="22"/>
        <v>64.775999999999996</v>
      </c>
      <c r="F103" s="1134">
        <f t="shared" si="22"/>
        <v>64.775999999999996</v>
      </c>
      <c r="G103" s="1134">
        <f t="shared" si="22"/>
        <v>64.775999999999996</v>
      </c>
      <c r="H103" s="1134">
        <f t="shared" si="22"/>
        <v>64.775999999999996</v>
      </c>
      <c r="I103" s="1134">
        <f t="shared" si="22"/>
        <v>64.775999999999996</v>
      </c>
      <c r="J103" s="1134">
        <f t="shared" si="22"/>
        <v>64.775999999999996</v>
      </c>
      <c r="K103" s="1134">
        <f t="shared" si="22"/>
        <v>64.775999999999996</v>
      </c>
      <c r="L103" s="1134">
        <f t="shared" si="22"/>
        <v>64.775999999999996</v>
      </c>
      <c r="M103" s="1134">
        <f t="shared" si="22"/>
        <v>64.775999999999996</v>
      </c>
    </row>
    <row r="104" spans="1:13" ht="14.1" customHeight="1" x14ac:dyDescent="0.45">
      <c r="A104" s="1060" t="s">
        <v>861</v>
      </c>
      <c r="B104" s="1181"/>
      <c r="C104" s="1181">
        <f t="shared" ref="C104:H104" ca="1" si="23">C52/C103</f>
        <v>1.1085543293279494</v>
      </c>
      <c r="D104" s="1181">
        <f t="shared" ca="1" si="23"/>
        <v>1.2791902555704091</v>
      </c>
      <c r="E104" s="1181">
        <f t="shared" ca="1" si="23"/>
        <v>1.5875868972307956</v>
      </c>
      <c r="F104" s="1181">
        <f t="shared" ca="1" si="23"/>
        <v>2.0120926130186989</v>
      </c>
      <c r="G104" s="1181">
        <f t="shared" ca="1" si="23"/>
        <v>2.4918957903059149</v>
      </c>
      <c r="H104" s="1181">
        <f t="shared" ca="1" si="23"/>
        <v>2.9610486972625223</v>
      </c>
    </row>
    <row r="105" spans="1:13" ht="14.1" customHeight="1" x14ac:dyDescent="0.45">
      <c r="A105" s="1182"/>
      <c r="B105" s="1134"/>
      <c r="C105" s="1134"/>
      <c r="D105" s="1134"/>
      <c r="E105" s="1134"/>
      <c r="F105" s="1134"/>
      <c r="G105" s="1134"/>
      <c r="H105" s="1134"/>
    </row>
    <row r="106" spans="1:13" ht="14.1" customHeight="1" x14ac:dyDescent="0.45">
      <c r="A106" s="1105" t="s">
        <v>862</v>
      </c>
      <c r="F106" s="1134"/>
      <c r="G106" s="1134"/>
      <c r="H106" s="1134"/>
    </row>
    <row r="107" spans="1:13" ht="14.1" customHeight="1" x14ac:dyDescent="0.45">
      <c r="C107" s="1098">
        <v>2019</v>
      </c>
      <c r="D107" s="1098">
        <v>2020</v>
      </c>
      <c r="E107" s="1098">
        <v>2021</v>
      </c>
      <c r="F107" s="1098"/>
      <c r="G107" s="1098"/>
      <c r="H107" s="1134"/>
    </row>
    <row r="108" spans="1:13" ht="14.1" customHeight="1" x14ac:dyDescent="0.45">
      <c r="H108" s="1134"/>
    </row>
    <row r="109" spans="1:13" ht="14.1" customHeight="1" x14ac:dyDescent="0.45">
      <c r="A109" s="1060" t="s">
        <v>656</v>
      </c>
      <c r="C109" s="1183"/>
      <c r="D109" s="1183"/>
      <c r="E109" s="1183"/>
      <c r="F109" s="1098" t="s">
        <v>863</v>
      </c>
      <c r="G109" s="1098"/>
      <c r="H109" s="1134"/>
    </row>
    <row r="110" spans="1:13" ht="14.1" customHeight="1" x14ac:dyDescent="0.45">
      <c r="A110" s="1117" t="s">
        <v>864</v>
      </c>
      <c r="C110" s="1183"/>
      <c r="D110" s="1183"/>
      <c r="E110" s="1183"/>
      <c r="F110" s="1098"/>
      <c r="G110" s="1184" t="s">
        <v>865</v>
      </c>
      <c r="H110" s="1134"/>
    </row>
    <row r="111" spans="1:13" ht="14.1" customHeight="1" x14ac:dyDescent="0.45">
      <c r="A111" s="1185"/>
      <c r="B111" s="1177"/>
      <c r="C111" s="1098"/>
      <c r="D111" s="1098"/>
      <c r="E111" s="1098"/>
      <c r="F111" s="1098"/>
      <c r="G111" s="1098"/>
      <c r="H111" s="1177"/>
    </row>
    <row r="112" spans="1:13" ht="14.1" customHeight="1" x14ac:dyDescent="0.45">
      <c r="A112" s="1060" t="s">
        <v>64</v>
      </c>
      <c r="C112" s="1183"/>
      <c r="D112" s="1183"/>
      <c r="E112" s="1183"/>
      <c r="F112" s="1098"/>
      <c r="G112" s="1098"/>
      <c r="H112" s="1177"/>
    </row>
    <row r="113" spans="1:8" ht="14.1" customHeight="1" x14ac:dyDescent="0.45">
      <c r="A113" s="1117" t="s">
        <v>864</v>
      </c>
      <c r="C113" s="1183">
        <f>C110</f>
        <v>0</v>
      </c>
      <c r="D113" s="1183">
        <f>D110</f>
        <v>0</v>
      </c>
      <c r="E113" s="1183">
        <f>E110</f>
        <v>0</v>
      </c>
      <c r="F113" s="1098"/>
      <c r="G113" s="1098"/>
      <c r="H113" s="1177"/>
    </row>
    <row r="114" spans="1:8" ht="14.1" customHeight="1" x14ac:dyDescent="0.45">
      <c r="A114" s="1185"/>
      <c r="B114" s="1177"/>
      <c r="C114" s="1177"/>
      <c r="D114" s="1177"/>
      <c r="E114" s="1098"/>
      <c r="F114" s="1098"/>
      <c r="G114" s="1098"/>
      <c r="H114" s="1177"/>
    </row>
    <row r="115" spans="1:8" s="1133" customFormat="1" ht="14.1" customHeight="1" x14ac:dyDescent="0.45"/>
    <row r="116" spans="1:8" s="1133" customFormat="1" ht="14.1" customHeight="1" x14ac:dyDescent="0.45">
      <c r="A116" s="1186" t="s">
        <v>866</v>
      </c>
    </row>
    <row r="117" spans="1:8" ht="14.1" customHeight="1" x14ac:dyDescent="0.45">
      <c r="A117" s="1073" t="s">
        <v>867</v>
      </c>
      <c r="B117" s="1177"/>
      <c r="C117" s="1177"/>
      <c r="D117" s="1177"/>
      <c r="E117" s="1177"/>
      <c r="F117" s="1177"/>
      <c r="G117" s="1177"/>
      <c r="H117" s="1177"/>
    </row>
    <row r="118" spans="1:8" ht="14.1" customHeight="1" x14ac:dyDescent="0.45">
      <c r="A118" s="1073" t="s">
        <v>868</v>
      </c>
      <c r="B118" s="1177"/>
      <c r="C118" s="1177"/>
      <c r="D118" s="1177"/>
      <c r="E118" s="1177"/>
      <c r="F118" s="1177"/>
      <c r="G118" s="1073">
        <f>C34</f>
        <v>2020</v>
      </c>
      <c r="H118" s="1177"/>
    </row>
    <row r="119" spans="1:8" ht="14.1" customHeight="1" x14ac:dyDescent="0.45">
      <c r="A119" s="1073" t="s">
        <v>869</v>
      </c>
      <c r="B119" s="1073">
        <v>-5</v>
      </c>
      <c r="C119" s="1073">
        <f>B119+1</f>
        <v>-4</v>
      </c>
      <c r="D119" s="1073">
        <f>C119+1</f>
        <v>-3</v>
      </c>
      <c r="E119" s="1073">
        <f>D119+1</f>
        <v>-2</v>
      </c>
      <c r="F119" s="1073">
        <f>E119+1</f>
        <v>-1</v>
      </c>
      <c r="G119" s="1073">
        <f>F119+1</f>
        <v>0</v>
      </c>
      <c r="H119" s="1177"/>
    </row>
    <row r="120" spans="1:8" ht="14.1" customHeight="1" x14ac:dyDescent="0.45">
      <c r="A120" s="1073" t="s">
        <v>870</v>
      </c>
      <c r="B120" s="1187">
        <f t="shared" ref="B120:G120" si="24">$G$118+B119</f>
        <v>2015</v>
      </c>
      <c r="C120" s="1187">
        <f t="shared" si="24"/>
        <v>2016</v>
      </c>
      <c r="D120" s="1187">
        <f t="shared" si="24"/>
        <v>2017</v>
      </c>
      <c r="E120" s="1187">
        <f t="shared" si="24"/>
        <v>2018</v>
      </c>
      <c r="F120" s="1187">
        <f t="shared" si="24"/>
        <v>2019</v>
      </c>
      <c r="G120" s="1187">
        <f t="shared" si="24"/>
        <v>2020</v>
      </c>
      <c r="H120" s="1188" t="s">
        <v>871</v>
      </c>
    </row>
    <row r="121" spans="1:8" ht="14.1" customHeight="1" x14ac:dyDescent="0.45">
      <c r="A121" s="1073" t="s">
        <v>872</v>
      </c>
      <c r="B121" s="1189">
        <f t="shared" ref="B121:G121" si="25">INDEX(MO_RIS_REV,0, _xlfn.XMATCH("FY"&amp;B$120,MO_Common_ColumnHeader))</f>
        <v>490.22499999999997</v>
      </c>
      <c r="C121" s="1189">
        <f t="shared" si="25"/>
        <v>492.47699999999998</v>
      </c>
      <c r="D121" s="1189">
        <f t="shared" si="25"/>
        <v>509.62400000000002</v>
      </c>
      <c r="E121" s="1189">
        <f t="shared" si="25"/>
        <v>531.01900000000001</v>
      </c>
      <c r="F121" s="1189">
        <f t="shared" si="25"/>
        <v>529.173</v>
      </c>
      <c r="G121" s="1189">
        <f t="shared" si="25"/>
        <v>542.50978999999995</v>
      </c>
      <c r="H121" s="1177"/>
    </row>
    <row r="122" spans="1:8" ht="14.1" customHeight="1" x14ac:dyDescent="0.45">
      <c r="A122" s="1073"/>
      <c r="B122" s="1189"/>
      <c r="C122" s="1189"/>
      <c r="D122" s="1189"/>
      <c r="E122" s="1189"/>
      <c r="F122" s="1189"/>
      <c r="G122" s="1189"/>
      <c r="H122" s="1177"/>
    </row>
    <row r="123" spans="1:8" ht="14.1" customHeight="1" x14ac:dyDescent="0.45">
      <c r="A123" s="1073" t="s">
        <v>802</v>
      </c>
      <c r="B123" s="1190">
        <f t="shared" ref="B123:G123" si="26">INDEX(MO_RIS_DA,0, _xlfn.XMATCH("FY"&amp;B$120,MO_Common_ColumnHeader))</f>
        <v>9.3230000000000004</v>
      </c>
      <c r="C123" s="1190">
        <f t="shared" si="26"/>
        <v>8.8339999999999996</v>
      </c>
      <c r="D123" s="1190">
        <f t="shared" si="26"/>
        <v>10.08</v>
      </c>
      <c r="E123" s="1190">
        <f t="shared" si="26"/>
        <v>10.497999999999999</v>
      </c>
      <c r="F123" s="1190">
        <f t="shared" si="26"/>
        <v>10.298</v>
      </c>
      <c r="G123" s="1190">
        <f t="shared" si="26"/>
        <v>8.6530000000000005</v>
      </c>
      <c r="H123" s="1177"/>
    </row>
    <row r="124" spans="1:8" ht="14.1" customHeight="1" x14ac:dyDescent="0.45">
      <c r="A124" s="1073" t="s">
        <v>873</v>
      </c>
      <c r="B124" s="1191">
        <f t="shared" ref="B124:G124" si="27">B123/B$121</f>
        <v>1.9017797949920957E-2</v>
      </c>
      <c r="C124" s="1191">
        <f t="shared" si="27"/>
        <v>1.7937893546297594E-2</v>
      </c>
      <c r="D124" s="1191">
        <f t="shared" si="27"/>
        <v>1.977928825957961E-2</v>
      </c>
      <c r="E124" s="1191">
        <f t="shared" si="27"/>
        <v>1.9769537436513569E-2</v>
      </c>
      <c r="F124" s="1191">
        <f t="shared" si="27"/>
        <v>1.9460554487851799E-2</v>
      </c>
      <c r="G124" s="1191">
        <f t="shared" si="27"/>
        <v>1.5949942580759695E-2</v>
      </c>
      <c r="H124" s="1191" cm="1">
        <f t="array" ref="H124">MEDIAN(IF(B124:G124&lt;&gt;0,B124:G124))</f>
        <v>1.9239176218886378E-2</v>
      </c>
    </row>
    <row r="125" spans="1:8" ht="14.1" customHeight="1" x14ac:dyDescent="0.45">
      <c r="A125" s="1073"/>
      <c r="B125" s="1177"/>
      <c r="C125" s="1177"/>
      <c r="D125" s="1177"/>
      <c r="E125" s="1177"/>
      <c r="F125" s="1177"/>
      <c r="G125" s="1177"/>
      <c r="H125" s="1177"/>
    </row>
    <row r="126" spans="1:8" ht="14.1" customHeight="1" x14ac:dyDescent="0.45">
      <c r="A126" s="1073" t="s">
        <v>93</v>
      </c>
      <c r="B126" s="1190">
        <f t="shared" ref="B126:G126" si="28">INDEX(SP_CFA_Capex, _xlfn.XMATCH("FY"&amp;B$120,MO_Common_ColumnHeader))</f>
        <v>-21.132000000000001</v>
      </c>
      <c r="C126" s="1190">
        <f t="shared" si="28"/>
        <v>-28.688000000000002</v>
      </c>
      <c r="D126" s="1190">
        <f t="shared" si="28"/>
        <v>-20.414000000000001</v>
      </c>
      <c r="E126" s="1190">
        <f t="shared" si="28"/>
        <v>-28.665999999999997</v>
      </c>
      <c r="F126" s="1190">
        <f t="shared" si="28"/>
        <v>-25.523000000000003</v>
      </c>
      <c r="G126" s="1190">
        <f t="shared" si="28"/>
        <v>-28.936</v>
      </c>
      <c r="H126" s="1177"/>
    </row>
    <row r="127" spans="1:8" ht="14.1" customHeight="1" x14ac:dyDescent="0.45">
      <c r="A127" s="1073" t="s">
        <v>874</v>
      </c>
      <c r="B127" s="1191">
        <f t="shared" ref="B127:G127" si="29">B126/B$121</f>
        <v>-4.3106736702534558E-2</v>
      </c>
      <c r="C127" s="1191">
        <f t="shared" si="29"/>
        <v>-5.8252466612654E-2</v>
      </c>
      <c r="D127" s="1191">
        <f t="shared" si="29"/>
        <v>-4.0056983187604978E-2</v>
      </c>
      <c r="E127" s="1191">
        <f t="shared" si="29"/>
        <v>-5.3983002491436269E-2</v>
      </c>
      <c r="F127" s="1191">
        <f t="shared" si="29"/>
        <v>-4.8231863681631536E-2</v>
      </c>
      <c r="G127" s="1191">
        <f t="shared" si="29"/>
        <v>-5.3337286318833069E-2</v>
      </c>
      <c r="H127" s="1191" cm="1">
        <f t="array" ref="H127">MEDIAN(IF(B127:G127&lt;&gt;0,B127:G127))</f>
        <v>-5.0784575000232299E-2</v>
      </c>
    </row>
    <row r="128" spans="1:8" ht="14.1" customHeight="1" x14ac:dyDescent="0.45">
      <c r="A128" s="1073"/>
      <c r="B128" s="1177"/>
      <c r="C128" s="1177"/>
      <c r="D128" s="1177"/>
      <c r="E128" s="1177"/>
      <c r="F128" s="1177"/>
      <c r="G128" s="1177"/>
      <c r="H128" s="1177"/>
    </row>
    <row r="129" spans="1:8" customFormat="1" ht="14.1" customHeight="1" x14ac:dyDescent="0.45">
      <c r="A129" s="1073" t="s">
        <v>875</v>
      </c>
      <c r="B129" s="1191">
        <f t="shared" ref="B129:G129" si="30">INDEX(MO_BS_AR,0,_xlfn.XMATCH("FY"&amp;B$120,MO_Common_ColumnHeader))/B$121</f>
        <v>0.21963180172369831</v>
      </c>
      <c r="C129" s="1191">
        <f t="shared" si="30"/>
        <v>0.19092059121542734</v>
      </c>
      <c r="D129" s="1191">
        <f t="shared" si="30"/>
        <v>0.16366379919313059</v>
      </c>
      <c r="E129" s="1191">
        <f t="shared" si="30"/>
        <v>0.15999804150133989</v>
      </c>
      <c r="F129" s="1191">
        <f t="shared" si="30"/>
        <v>0.16527487230074098</v>
      </c>
      <c r="G129" s="1191">
        <f t="shared" si="30"/>
        <v>0.15081002062190682</v>
      </c>
    </row>
    <row r="130" spans="1:8" customFormat="1" ht="14.1" customHeight="1" x14ac:dyDescent="0.45">
      <c r="A130" s="1073" t="s">
        <v>876</v>
      </c>
      <c r="B130" s="1191">
        <v>4.9224040892399103E-2</v>
      </c>
      <c r="C130" s="1191">
        <v>4.3050661149009087E-2</v>
      </c>
      <c r="D130" s="1191">
        <v>6.0332276361037919E-2</v>
      </c>
      <c r="E130" s="1191">
        <v>5.5168541350132425E-2</v>
      </c>
      <c r="F130" s="1191">
        <v>5.4027808008495964E-2</v>
      </c>
      <c r="G130" s="1191">
        <v>5.4027808008495964E-2</v>
      </c>
    </row>
    <row r="131" spans="1:8" ht="14.1" customHeight="1" x14ac:dyDescent="0.45">
      <c r="A131" s="1073" t="s">
        <v>877</v>
      </c>
      <c r="B131" s="1192">
        <f t="shared" ref="B131:G131" si="31">SUM(B129:B129)-SUM(B130:B130)</f>
        <v>0.17040776083129922</v>
      </c>
      <c r="C131" s="1192">
        <f t="shared" si="31"/>
        <v>0.14786993006641824</v>
      </c>
      <c r="D131" s="1192">
        <f t="shared" si="31"/>
        <v>0.10333152283209268</v>
      </c>
      <c r="E131" s="1192">
        <f t="shared" si="31"/>
        <v>0.10482950015120747</v>
      </c>
      <c r="F131" s="1192">
        <f t="shared" si="31"/>
        <v>0.11124706429224501</v>
      </c>
      <c r="G131" s="1192">
        <f t="shared" si="31"/>
        <v>9.6782212613410856E-2</v>
      </c>
      <c r="H131" s="1191" cm="1">
        <f t="array" ref="H131">MEDIAN(IF(B131:G131&lt;&gt;0,B131:G131))</f>
        <v>0.10803828222172623</v>
      </c>
    </row>
    <row r="132" spans="1:8" ht="14.1" customHeight="1" x14ac:dyDescent="0.45">
      <c r="A132" s="1073"/>
    </row>
    <row r="133" spans="1:8" ht="14.1" customHeight="1" x14ac:dyDescent="0.45">
      <c r="A133" s="1073" t="s">
        <v>878</v>
      </c>
    </row>
    <row r="134" spans="1:8" ht="14.1" customHeight="1" x14ac:dyDescent="0.45">
      <c r="A134" s="1073" t="s">
        <v>65</v>
      </c>
      <c r="B134" s="1190">
        <f t="shared" ref="B134:G134" si="32">INDEX(MO_RIS_SBC, _xlfn.XMATCH("FY"&amp;B$120,MO_Common_ColumnHeader))</f>
        <v>3.472</v>
      </c>
      <c r="C134" s="1190">
        <f t="shared" si="32"/>
        <v>3.2949999999999999</v>
      </c>
      <c r="D134" s="1190">
        <f t="shared" si="32"/>
        <v>7.5979999999999999</v>
      </c>
      <c r="E134" s="1190">
        <f t="shared" si="32"/>
        <v>12.196000000000002</v>
      </c>
      <c r="F134" s="1190">
        <f t="shared" si="32"/>
        <v>16.102</v>
      </c>
      <c r="G134" s="1190">
        <f t="shared" si="32"/>
        <v>18.427999999999997</v>
      </c>
    </row>
    <row r="135" spans="1:8" ht="14.1" customHeight="1" x14ac:dyDescent="0.45">
      <c r="A135" s="1073" t="s">
        <v>879</v>
      </c>
      <c r="B135" s="1191">
        <f t="shared" ref="B135:G135" si="33">B134/B$121</f>
        <v>7.0824621347340515E-3</v>
      </c>
      <c r="C135" s="1191">
        <f t="shared" si="33"/>
        <v>6.6906677875311947E-3</v>
      </c>
      <c r="D135" s="1191">
        <f t="shared" si="33"/>
        <v>1.4909030971853757E-2</v>
      </c>
      <c r="E135" s="1191">
        <f t="shared" si="33"/>
        <v>2.2967163133522532E-2</v>
      </c>
      <c r="F135" s="1191">
        <f t="shared" si="33"/>
        <v>3.0428612192987928E-2</v>
      </c>
      <c r="G135" s="1191">
        <f t="shared" si="33"/>
        <v>3.3968050604211215E-2</v>
      </c>
      <c r="H135" s="1191" cm="1">
        <f t="array" ref="H135">MEDIAN(IF(B135:G135&lt;&gt;0,B135:G135))</f>
        <v>1.8938097052688146E-2</v>
      </c>
    </row>
    <row r="137" spans="1:8" ht="14.1" customHeight="1" x14ac:dyDescent="0.45">
      <c r="A137" s="1073" t="s">
        <v>880</v>
      </c>
      <c r="B137" s="1193"/>
      <c r="C137" s="1193"/>
      <c r="D137" s="1193"/>
      <c r="E137" s="1193"/>
      <c r="F137" s="1193"/>
      <c r="G137" s="1193"/>
    </row>
    <row r="138" spans="1:8" ht="14.1" customHeight="1" x14ac:dyDescent="0.45">
      <c r="A138" s="1073" t="s">
        <v>881</v>
      </c>
      <c r="B138" s="1191">
        <f t="shared" ref="B138:G138" si="34">B137/B$121</f>
        <v>0</v>
      </c>
      <c r="C138" s="1191">
        <f t="shared" si="34"/>
        <v>0</v>
      </c>
      <c r="D138" s="1191">
        <f t="shared" si="34"/>
        <v>0</v>
      </c>
      <c r="E138" s="1191">
        <f t="shared" si="34"/>
        <v>0</v>
      </c>
      <c r="F138" s="1191">
        <f t="shared" si="34"/>
        <v>0</v>
      </c>
      <c r="G138" s="1191">
        <f t="shared" si="34"/>
        <v>0</v>
      </c>
      <c r="H138" s="1191" cm="1">
        <f t="array" ref="H138">IFERROR(MEDIAN(IF(B138:G138&lt;&gt;0,B138:G138)),0)</f>
        <v>0</v>
      </c>
    </row>
    <row r="140" spans="1:8" ht="14.1" customHeight="1" x14ac:dyDescent="0.45">
      <c r="A140" s="1060" t="s">
        <v>632</v>
      </c>
      <c r="B140" s="1190">
        <f t="shared" ref="B140:G140" ca="1" si="35">INDEX(MO_VA_EV, _xlfn.XMATCH("FY"&amp;B$120,MO_Common_ColumnHeader))</f>
        <v>830.60101624999993</v>
      </c>
      <c r="C140" s="1190">
        <f t="shared" ca="1" si="35"/>
        <v>996.28349125</v>
      </c>
      <c r="D140" s="1190">
        <f t="shared" ca="1" si="35"/>
        <v>786.09242500000005</v>
      </c>
      <c r="E140" s="1190">
        <f t="shared" ca="1" si="35"/>
        <v>949.84249999999997</v>
      </c>
      <c r="F140" s="1190">
        <f t="shared" ca="1" si="35"/>
        <v>1132.4079322709126</v>
      </c>
      <c r="G140" s="1190">
        <f t="shared" ca="1" si="35"/>
        <v>712.33582188465016</v>
      </c>
    </row>
    <row r="141" spans="1:8" ht="14.1" customHeight="1" x14ac:dyDescent="0.45">
      <c r="A141" s="1060" t="s">
        <v>64</v>
      </c>
      <c r="B141" s="1190">
        <f t="shared" ref="B141:G141" si="36">INDEX(MO_RIS_EBITDA, _xlfn.XMATCH("FY"&amp;B$120,MO_Common_ColumnHeader))</f>
        <v>68.694999999999965</v>
      </c>
      <c r="C141" s="1190">
        <f t="shared" si="36"/>
        <v>72.632999999999981</v>
      </c>
      <c r="D141" s="1190">
        <f t="shared" si="36"/>
        <v>82.123000000000076</v>
      </c>
      <c r="E141" s="1190">
        <f t="shared" si="36"/>
        <v>59.781999999999954</v>
      </c>
      <c r="F141" s="1190">
        <f t="shared" si="36"/>
        <v>91.493000000000052</v>
      </c>
      <c r="G141" s="1190">
        <f t="shared" si="36"/>
        <v>90.373966899999971</v>
      </c>
    </row>
    <row r="142" spans="1:8" ht="14.1" customHeight="1" x14ac:dyDescent="0.45">
      <c r="A142" s="1060" t="s">
        <v>882</v>
      </c>
      <c r="B142" s="1194">
        <f t="shared" ref="B142:G142" ca="1" si="37">B140/B141</f>
        <v>12.091142241065585</v>
      </c>
      <c r="C142" s="1194">
        <f t="shared" ca="1" si="37"/>
        <v>13.716678248867598</v>
      </c>
      <c r="D142" s="1194">
        <f t="shared" ca="1" si="37"/>
        <v>9.5721347856264298</v>
      </c>
      <c r="E142" s="1194">
        <f t="shared" ca="1" si="37"/>
        <v>15.888436318624347</v>
      </c>
      <c r="F142" s="1194">
        <f t="shared" ca="1" si="37"/>
        <v>12.376989849178756</v>
      </c>
      <c r="G142" s="1194">
        <f t="shared" ca="1" si="37"/>
        <v>7.8820908976238639</v>
      </c>
      <c r="H142" s="1195" cm="1">
        <f t="array" aca="1" ref="H142" ca="1">MEDIAN(IF(B142:G142&lt;&gt;0,B142:G142))</f>
        <v>12.234066045122169</v>
      </c>
    </row>
    <row r="144" spans="1:8" ht="14.1" customHeight="1" x14ac:dyDescent="0.45">
      <c r="A144" s="1060" t="s">
        <v>883</v>
      </c>
      <c r="B144" s="1190">
        <f t="shared" ref="B144:G144" si="38">INDEX(MO_RIS_SBC, _xlfn.XMATCH("FY"&amp;B$120,MO_Common_ColumnHeader))</f>
        <v>3.472</v>
      </c>
      <c r="C144" s="1190">
        <f t="shared" si="38"/>
        <v>3.2949999999999999</v>
      </c>
      <c r="D144" s="1190">
        <f t="shared" si="38"/>
        <v>7.5979999999999999</v>
      </c>
      <c r="E144" s="1190">
        <f t="shared" si="38"/>
        <v>12.196000000000002</v>
      </c>
      <c r="F144" s="1190">
        <f t="shared" si="38"/>
        <v>16.102</v>
      </c>
      <c r="G144" s="1190">
        <f t="shared" si="38"/>
        <v>18.427999999999997</v>
      </c>
    </row>
    <row r="145" spans="1:8" ht="14.1" customHeight="1" x14ac:dyDescent="0.45">
      <c r="A145" s="1060" t="s">
        <v>884</v>
      </c>
      <c r="B145" s="1190">
        <f t="shared" ref="B145:G145" ca="1" si="39">INDEX(MO_VA_StockPrice, _xlfn.XMATCH("FY"&amp;B$120,MO_Common_ColumnHeader))</f>
        <v>15.796250000000001</v>
      </c>
      <c r="C145" s="1190">
        <f t="shared" ca="1" si="39"/>
        <v>15.151249999999999</v>
      </c>
      <c r="D145" s="1190">
        <f t="shared" ca="1" si="39"/>
        <v>13.0425</v>
      </c>
      <c r="E145" s="1190">
        <f t="shared" ca="1" si="39"/>
        <v>14.84375</v>
      </c>
      <c r="F145" s="1190">
        <f t="shared" ca="1" si="39"/>
        <v>17.8713147410358</v>
      </c>
      <c r="G145" s="1190">
        <f t="shared" ca="1" si="39"/>
        <v>10.1</v>
      </c>
    </row>
    <row r="146" spans="1:8" ht="14.1" customHeight="1" x14ac:dyDescent="0.45">
      <c r="A146" s="1060" t="s">
        <v>885</v>
      </c>
      <c r="B146" s="1194">
        <f t="shared" ref="B146:G146" ca="1" si="40">B144/B145*1000</f>
        <v>219.7990029279101</v>
      </c>
      <c r="C146" s="1194">
        <f t="shared" ca="1" si="40"/>
        <v>217.47380579160136</v>
      </c>
      <c r="D146" s="1194">
        <f t="shared" ca="1" si="40"/>
        <v>582.55702511021661</v>
      </c>
      <c r="E146" s="1194">
        <f t="shared" ca="1" si="40"/>
        <v>821.62526315789489</v>
      </c>
      <c r="F146" s="1194">
        <f t="shared" ca="1" si="40"/>
        <v>900.9969458501489</v>
      </c>
      <c r="G146" s="1194">
        <f t="shared" ca="1" si="40"/>
        <v>1824.5544554455444</v>
      </c>
    </row>
    <row r="148" spans="1:8" ht="14.1" customHeight="1" x14ac:dyDescent="0.45">
      <c r="A148" s="1073" t="s">
        <v>808</v>
      </c>
      <c r="B148" s="1196">
        <f t="shared" ref="B148:G148" si="41">INDEX(MO_RIS_Tax_Current, _xlfn.XMATCH("FY"&amp;B$120,MO_Common_ColumnHeader))+INDEX(MO_RIS_Tax_Deferred, _xlfn.XMATCH("FY"&amp;B$120,MO_Common_ColumnHeader))</f>
        <v>8.3320000000000007</v>
      </c>
      <c r="C148" s="1196">
        <f t="shared" si="41"/>
        <v>0.66300000000000026</v>
      </c>
      <c r="D148" s="1196">
        <f t="shared" si="41"/>
        <v>5.3680000000000003</v>
      </c>
      <c r="E148" s="1196">
        <f t="shared" si="41"/>
        <v>-2.83</v>
      </c>
      <c r="F148" s="1196">
        <f t="shared" si="41"/>
        <v>4.7939999999999996</v>
      </c>
      <c r="G148" s="1196">
        <f t="shared" si="41"/>
        <v>-6.5827796081962237E-2</v>
      </c>
    </row>
    <row r="149" spans="1:8" ht="14.1" customHeight="1" x14ac:dyDescent="0.45">
      <c r="A149" s="1073" t="s">
        <v>886</v>
      </c>
      <c r="B149" s="1197">
        <f t="shared" ref="B149:G149" si="42">B148/(INDEX(MO_RIS_EBIT, 0, _xlfn.XMATCH("FY"&amp;B$120,MO_Common_ColumnHeader))-INDEX(MO_RIS_IE,0,_xlfn.XMATCH("FY"&amp;B$120,MO_Common_ColumnHeader)))</f>
        <v>0.23172766714873763</v>
      </c>
      <c r="C149" s="1197">
        <f t="shared" si="42"/>
        <v>0.10946012877662231</v>
      </c>
      <c r="D149" s="1197">
        <f t="shared" si="42"/>
        <v>0.22500733537326506</v>
      </c>
      <c r="E149" s="1197">
        <f t="shared" si="42"/>
        <v>5.6374501992026067</v>
      </c>
      <c r="F149" s="1197">
        <f t="shared" si="42"/>
        <v>0.16642943933344881</v>
      </c>
      <c r="G149" s="1197">
        <f t="shared" si="42"/>
        <v>-4.1554756064910072E-3</v>
      </c>
      <c r="H149" s="1197" cm="1">
        <f t="array" ref="H149">MEDIAN(IF(B149:G149&lt;&gt;0,B149:G149))</f>
        <v>0.19571838735335695</v>
      </c>
    </row>
  </sheetData>
  <pageMargins left="0.25" right="0.25" top="0.75" bottom="0.75" header="0.3" footer="0.3"/>
  <pageSetup scale="98" firstPageNumber="0" fitToHeight="2" orientation="landscape" errors="blank" r:id="rId1"/>
  <headerFooter alignWithMargins="0"/>
  <rowBreaks count="1" manualBreakCount="1">
    <brk id="59" max="12"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X735"/>
  <sheetViews>
    <sheetView zoomScale="85" zoomScaleNormal="85" workbookViewId="0">
      <pane xSplit="2" ySplit="5" topLeftCell="C214" activePane="bottomRight" state="frozen"/>
      <selection pane="topRight" activeCell="C1" sqref="C1"/>
      <selection pane="bottomLeft" activeCell="A6" sqref="A6"/>
      <selection pane="bottomRight" activeCell="E302" sqref="E302:AJ302"/>
    </sheetView>
  </sheetViews>
  <sheetFormatPr defaultColWidth="9.1328125" defaultRowHeight="14.25" outlineLevelRow="2" outlineLevelCol="1" x14ac:dyDescent="0.45"/>
  <cols>
    <col min="1" max="1" width="50.73046875" customWidth="1"/>
    <col min="2" max="6" width="9.73046875" customWidth="1"/>
    <col min="7" max="10" width="9.73046875" hidden="1" customWidth="1" outlineLevel="1"/>
    <col min="11" max="11" width="9.73046875" customWidth="1" collapsed="1"/>
    <col min="12" max="15" width="9.73046875" hidden="1" customWidth="1" outlineLevel="1"/>
    <col min="16" max="16" width="9.73046875" customWidth="1" collapsed="1"/>
    <col min="17" max="20" width="9.73046875" hidden="1" customWidth="1" outlineLevel="1"/>
    <col min="21" max="21" width="9.73046875" customWidth="1" collapsed="1"/>
    <col min="22" max="24" width="9.73046875" hidden="1" customWidth="1" outlineLevel="1"/>
    <col min="25" max="25" width="9.73046875" style="50" hidden="1" customWidth="1" outlineLevel="1"/>
    <col min="26" max="26" width="9.73046875" style="50" customWidth="1" collapsed="1"/>
    <col min="27" max="27" width="9.73046875" style="50" hidden="1" customWidth="1" outlineLevel="1"/>
    <col min="28" max="29" width="9.73046875" hidden="1" customWidth="1" outlineLevel="1"/>
    <col min="30" max="30" width="9.73046875" style="50" hidden="1" customWidth="1" outlineLevel="1"/>
    <col min="31" max="31" width="9.73046875" style="50" customWidth="1" collapsed="1"/>
    <col min="32" max="35" width="9.73046875" hidden="1" customWidth="1" outlineLevel="1"/>
    <col min="36" max="36" width="9.73046875" style="50" customWidth="1" collapsed="1"/>
    <col min="37" max="38" width="9.73046875" hidden="1" customWidth="1" outlineLevel="1"/>
    <col min="39" max="39" width="9.73046875" style="50" hidden="1" customWidth="1" outlineLevel="1"/>
    <col min="40" max="40" width="9.73046875" hidden="1" customWidth="1" outlineLevel="1"/>
    <col min="41" max="41" width="9.73046875" style="50" customWidth="1" collapsed="1"/>
    <col min="42" max="45" width="9.73046875" hidden="1" customWidth="1" outlineLevel="1"/>
    <col min="46" max="46" width="9.73046875" style="50" customWidth="1" collapsed="1"/>
    <col min="47" max="49" width="9.73046875" customWidth="1"/>
    <col min="50" max="50" width="8.86328125" customWidth="1"/>
    <col min="51" max="52" width="9.1328125" customWidth="1"/>
  </cols>
  <sheetData>
    <row r="1" spans="1:50" s="44" customFormat="1" ht="28.5" x14ac:dyDescent="0.85">
      <c r="A1" s="48" t="s">
        <v>10</v>
      </c>
      <c r="B1" s="793"/>
      <c r="C1" s="632"/>
      <c r="D1" s="632"/>
      <c r="E1" s="632"/>
      <c r="F1" s="632"/>
      <c r="G1" s="632"/>
      <c r="H1" s="632"/>
      <c r="I1" s="632"/>
      <c r="J1" s="632"/>
      <c r="K1" s="632"/>
      <c r="L1" s="632"/>
      <c r="M1" s="632"/>
      <c r="N1" s="632"/>
      <c r="O1" s="632"/>
      <c r="P1" s="632"/>
      <c r="Q1" s="632"/>
      <c r="R1" s="632"/>
      <c r="S1" s="632"/>
      <c r="T1" s="632"/>
      <c r="U1" s="632"/>
      <c r="V1" s="632"/>
      <c r="W1" s="632"/>
      <c r="X1" s="632"/>
      <c r="Y1" s="632"/>
      <c r="Z1" s="632"/>
      <c r="AA1" s="632"/>
      <c r="AB1" s="632"/>
      <c r="AC1" s="632"/>
      <c r="AD1" s="632"/>
      <c r="AE1" s="632"/>
      <c r="AF1" s="632"/>
      <c r="AG1" s="632"/>
      <c r="AH1" s="632"/>
      <c r="AI1" s="632"/>
      <c r="AJ1" s="632"/>
      <c r="AK1" s="632"/>
      <c r="AL1" s="632"/>
      <c r="AM1" s="633"/>
      <c r="AN1" s="793"/>
      <c r="AO1" s="793"/>
      <c r="AP1" s="793"/>
      <c r="AQ1" s="793"/>
      <c r="AR1" s="793"/>
      <c r="AS1" s="793"/>
      <c r="AT1" s="793"/>
      <c r="AU1" s="793"/>
      <c r="AV1" s="793"/>
      <c r="AW1" s="793"/>
    </row>
    <row r="2" spans="1:50" s="49" customFormat="1" x14ac:dyDescent="0.45">
      <c r="A2" s="482" t="str">
        <f>CHOOSE(MO.DataSourceIndex,MO.Ticker.Bloomberg,MO.Ticker.CapIQ,MO.Ticker.FactSet,MO.Ticker.Thomson)</f>
        <v>NXGN US</v>
      </c>
      <c r="B2" s="225"/>
      <c r="C2" s="453">
        <f>EOMONTH(C4,-12)</f>
        <v>39903</v>
      </c>
      <c r="D2" s="383"/>
      <c r="E2" s="383"/>
      <c r="F2" s="383"/>
      <c r="G2" s="383"/>
      <c r="H2" s="383"/>
      <c r="I2" s="383"/>
      <c r="J2" s="383"/>
      <c r="K2" s="383"/>
      <c r="L2" s="383"/>
      <c r="M2" s="383"/>
      <c r="N2" s="383"/>
      <c r="O2" s="383"/>
      <c r="P2" s="383"/>
      <c r="Q2" s="383"/>
      <c r="R2" s="383"/>
      <c r="S2" s="383"/>
      <c r="T2" s="383"/>
      <c r="U2" s="383"/>
      <c r="V2" s="383"/>
      <c r="W2" s="383"/>
      <c r="X2" s="383"/>
      <c r="Y2" s="383"/>
      <c r="Z2" s="383"/>
      <c r="AA2" s="365" t="s">
        <v>354</v>
      </c>
      <c r="AB2" s="365" t="s">
        <v>354</v>
      </c>
      <c r="AC2" s="365" t="s">
        <v>354</v>
      </c>
      <c r="AD2" s="365" t="s">
        <v>354</v>
      </c>
      <c r="AE2" s="365" t="s">
        <v>354</v>
      </c>
      <c r="AF2" s="383"/>
      <c r="AG2" s="365"/>
      <c r="AH2" s="365"/>
      <c r="AI2" s="792"/>
      <c r="AJ2" s="792"/>
      <c r="AK2" s="383"/>
      <c r="AL2" s="365"/>
      <c r="AM2" s="564"/>
      <c r="AN2" s="224"/>
      <c r="AO2" s="224"/>
      <c r="AP2" s="224"/>
      <c r="AQ2" s="224"/>
      <c r="AR2" s="224"/>
      <c r="AS2" s="224"/>
      <c r="AT2" s="224"/>
      <c r="AU2" s="224"/>
      <c r="AV2" s="224"/>
      <c r="AW2" s="224"/>
      <c r="AX2" s="74"/>
    </row>
    <row r="3" spans="1:50" s="32" customFormat="1" x14ac:dyDescent="0.45">
      <c r="A3" s="302" t="str">
        <f ca="1">HP.TradeCurrency</f>
        <v>USD</v>
      </c>
      <c r="B3" s="209">
        <f ca="1">IF(MO.RealTime="OFF",MO.LastPriceHardcoded,MO.LastPriceFormula)</f>
        <v>10.1</v>
      </c>
      <c r="C3" s="400">
        <f>C4-C2</f>
        <v>365</v>
      </c>
      <c r="D3" s="400">
        <f t="shared" ref="D3:J3" si="0">D4-C4</f>
        <v>365</v>
      </c>
      <c r="E3" s="400">
        <f t="shared" si="0"/>
        <v>366</v>
      </c>
      <c r="F3" s="400">
        <f t="shared" si="0"/>
        <v>365</v>
      </c>
      <c r="G3" s="400">
        <f t="shared" si="0"/>
        <v>91</v>
      </c>
      <c r="H3" s="400">
        <f t="shared" si="0"/>
        <v>92</v>
      </c>
      <c r="I3" s="400">
        <f t="shared" si="0"/>
        <v>92</v>
      </c>
      <c r="J3" s="400">
        <f t="shared" si="0"/>
        <v>90</v>
      </c>
      <c r="K3" s="400">
        <f>K4-F4</f>
        <v>365</v>
      </c>
      <c r="L3" s="400">
        <f>L4-K4</f>
        <v>91</v>
      </c>
      <c r="M3" s="400">
        <f>M4-L4</f>
        <v>92</v>
      </c>
      <c r="N3" s="400">
        <f>N4-M4</f>
        <v>92</v>
      </c>
      <c r="O3" s="400">
        <f>O4-N4</f>
        <v>90</v>
      </c>
      <c r="P3" s="400">
        <f>P4-K4</f>
        <v>365</v>
      </c>
      <c r="Q3" s="400">
        <f>Q4-P4</f>
        <v>91</v>
      </c>
      <c r="R3" s="400">
        <f>R4-Q4</f>
        <v>92</v>
      </c>
      <c r="S3" s="400">
        <f>S4-R4</f>
        <v>92</v>
      </c>
      <c r="T3" s="400">
        <f>T4-S4</f>
        <v>91</v>
      </c>
      <c r="U3" s="400">
        <f>U4-P4</f>
        <v>366</v>
      </c>
      <c r="V3" s="400">
        <f>V4-U4</f>
        <v>91</v>
      </c>
      <c r="W3" s="400">
        <f>W4-V4</f>
        <v>92</v>
      </c>
      <c r="X3" s="366">
        <f>X4-W4</f>
        <v>92</v>
      </c>
      <c r="Y3" s="400">
        <f>Y4-X4</f>
        <v>90</v>
      </c>
      <c r="Z3" s="400">
        <f>Z4-U4</f>
        <v>365</v>
      </c>
      <c r="AA3" s="400">
        <f>AA4-Z4</f>
        <v>91</v>
      </c>
      <c r="AB3" s="400">
        <f>AB4-AA4</f>
        <v>92</v>
      </c>
      <c r="AC3" s="366">
        <f>AC4-AB4</f>
        <v>92</v>
      </c>
      <c r="AD3" s="400">
        <f>AD4-AC4</f>
        <v>90</v>
      </c>
      <c r="AE3" s="400">
        <f>AE4-Z4</f>
        <v>365</v>
      </c>
      <c r="AF3" s="400">
        <f>AF4-AE4</f>
        <v>91</v>
      </c>
      <c r="AG3" s="400">
        <f>AG4-AF4</f>
        <v>92</v>
      </c>
      <c r="AH3" s="366">
        <f>AH4-AG4</f>
        <v>92</v>
      </c>
      <c r="AI3" s="400">
        <f>AI4-AH4</f>
        <v>90</v>
      </c>
      <c r="AJ3" s="400">
        <f>AJ4-AE4</f>
        <v>365</v>
      </c>
      <c r="AK3" s="400">
        <f>AK4-AJ4</f>
        <v>91</v>
      </c>
      <c r="AL3" s="400">
        <f>AL4-AK4</f>
        <v>92</v>
      </c>
      <c r="AM3" s="593">
        <f>AM4-AL4</f>
        <v>92</v>
      </c>
      <c r="AN3" s="89">
        <f>AN4-AM4</f>
        <v>91</v>
      </c>
      <c r="AO3" s="88">
        <f>AO4-AJ4</f>
        <v>366</v>
      </c>
      <c r="AP3" s="89">
        <f>AP4-AO4</f>
        <v>91</v>
      </c>
      <c r="AQ3" s="89">
        <f>AQ4-AP4</f>
        <v>92</v>
      </c>
      <c r="AR3" s="89">
        <f>AR4-AQ4</f>
        <v>92</v>
      </c>
      <c r="AS3" s="89">
        <f>AS4-AR4</f>
        <v>90</v>
      </c>
      <c r="AT3" s="88">
        <f>AT4-AO4</f>
        <v>365</v>
      </c>
      <c r="AU3" s="89">
        <f>AU4-AT4</f>
        <v>365</v>
      </c>
      <c r="AV3" s="89">
        <f>AV4-AU4</f>
        <v>365</v>
      </c>
      <c r="AW3" s="89">
        <f>AW4-AV4</f>
        <v>366</v>
      </c>
      <c r="AX3" s="286"/>
    </row>
    <row r="4" spans="1:50" s="50" customFormat="1" x14ac:dyDescent="0.45">
      <c r="A4" s="303" t="str">
        <f>FP.DataSourceName</f>
        <v>Bloomberg</v>
      </c>
      <c r="B4" s="304" t="str">
        <f ca="1">IF(AND(MO.RealTimeStockPriceToggle,MO.LastPriceFormula&lt;&gt;"N/A"),"ON","OFF")</f>
        <v>OFF</v>
      </c>
      <c r="C4" s="657">
        <v>40268</v>
      </c>
      <c r="D4" s="454">
        <f>EOMONTH(C4,12)</f>
        <v>40633</v>
      </c>
      <c r="E4" s="454">
        <f>EOMONTH(D4,12)</f>
        <v>40999</v>
      </c>
      <c r="F4" s="454">
        <f>EOMONTH(E4,12)</f>
        <v>41364</v>
      </c>
      <c r="G4" s="454">
        <f>EOMONTH(F4,3)</f>
        <v>41455</v>
      </c>
      <c r="H4" s="454">
        <f>EOMONTH(G4,3)</f>
        <v>41547</v>
      </c>
      <c r="I4" s="454">
        <f>EOMONTH(H4,3)</f>
        <v>41639</v>
      </c>
      <c r="J4" s="454">
        <f>EOMONTH(I4,3)</f>
        <v>41729</v>
      </c>
      <c r="K4" s="454">
        <f>J4</f>
        <v>41729</v>
      </c>
      <c r="L4" s="454">
        <f>EOMONTH(K4,3)</f>
        <v>41820</v>
      </c>
      <c r="M4" s="454">
        <f>EOMONTH(L4,3)</f>
        <v>41912</v>
      </c>
      <c r="N4" s="454">
        <f>EOMONTH(M4,3)</f>
        <v>42004</v>
      </c>
      <c r="O4" s="454">
        <f>EOMONTH(N4,3)</f>
        <v>42094</v>
      </c>
      <c r="P4" s="454">
        <f>O4</f>
        <v>42094</v>
      </c>
      <c r="Q4" s="454">
        <f>EOMONTH(P4,3)</f>
        <v>42185</v>
      </c>
      <c r="R4" s="454">
        <f>EOMONTH(Q4,3)</f>
        <v>42277</v>
      </c>
      <c r="S4" s="454">
        <f>EOMONTH(R4,3)</f>
        <v>42369</v>
      </c>
      <c r="T4" s="454">
        <f>EOMONTH(S4,3)</f>
        <v>42460</v>
      </c>
      <c r="U4" s="454">
        <f>T4</f>
        <v>42460</v>
      </c>
      <c r="V4" s="454">
        <f>EOMONTH(U4,3)</f>
        <v>42551</v>
      </c>
      <c r="W4" s="454">
        <f>EOMONTH(V4,3)</f>
        <v>42643</v>
      </c>
      <c r="X4" s="367">
        <f>EOMONTH(W4,3)</f>
        <v>42735</v>
      </c>
      <c r="Y4" s="401">
        <f>EOMONTH(X4,3)</f>
        <v>42825</v>
      </c>
      <c r="Z4" s="401">
        <f>Y4</f>
        <v>42825</v>
      </c>
      <c r="AA4" s="401">
        <f>EOMONTH(Z4,3)</f>
        <v>42916</v>
      </c>
      <c r="AB4" s="454">
        <f>EOMONTH(AA4,3)</f>
        <v>43008</v>
      </c>
      <c r="AC4" s="367">
        <f>EOMONTH(AB4,3)</f>
        <v>43100</v>
      </c>
      <c r="AD4" s="401">
        <f>EOMONTH(AC4,3)</f>
        <v>43190</v>
      </c>
      <c r="AE4" s="401">
        <f>AD4</f>
        <v>43190</v>
      </c>
      <c r="AF4" s="401">
        <f>EOMONTH(AE4,3)</f>
        <v>43281</v>
      </c>
      <c r="AG4" s="454">
        <f>EOMONTH(AF4,3)</f>
        <v>43373</v>
      </c>
      <c r="AH4" s="367">
        <f>EOMONTH(AG4,3)</f>
        <v>43465</v>
      </c>
      <c r="AI4" s="401">
        <f>EOMONTH(AH4,3)</f>
        <v>43555</v>
      </c>
      <c r="AJ4" s="401">
        <f>AI4</f>
        <v>43555</v>
      </c>
      <c r="AK4" s="401">
        <f>EOMONTH(AJ4,3)</f>
        <v>43646</v>
      </c>
      <c r="AL4" s="454">
        <f>EOMONTH(AK4,3)</f>
        <v>43738</v>
      </c>
      <c r="AM4" s="594">
        <f>EOMONTH(AL4,3)</f>
        <v>43830</v>
      </c>
      <c r="AN4" s="90">
        <f>EOMONTH(AM4,3)</f>
        <v>43921</v>
      </c>
      <c r="AO4" s="122">
        <f>AN4</f>
        <v>43921</v>
      </c>
      <c r="AP4" s="90">
        <f>EOMONTH(AO4,3)</f>
        <v>44012</v>
      </c>
      <c r="AQ4" s="90">
        <f>EOMONTH(AP4,3)</f>
        <v>44104</v>
      </c>
      <c r="AR4" s="90">
        <f>EOMONTH(AQ4,3)</f>
        <v>44196</v>
      </c>
      <c r="AS4" s="90">
        <f>EOMONTH(AR4,3)</f>
        <v>44286</v>
      </c>
      <c r="AT4" s="122">
        <f>AS4</f>
        <v>44286</v>
      </c>
      <c r="AU4" s="90">
        <f>EOMONTH(AT4,12)</f>
        <v>44651</v>
      </c>
      <c r="AV4" s="90">
        <f>EOMONTH(AU4,12)</f>
        <v>45016</v>
      </c>
      <c r="AW4" s="90">
        <f>EOMONTH(AV4,12)</f>
        <v>45382</v>
      </c>
      <c r="AX4" s="224"/>
    </row>
    <row r="5" spans="1:50" s="49" customFormat="1" x14ac:dyDescent="0.45">
      <c r="A5" s="133" t="str">
        <f>MO.ReportCurrency</f>
        <v>USD</v>
      </c>
      <c r="B5" s="210"/>
      <c r="C5" s="658" t="s">
        <v>12</v>
      </c>
      <c r="D5" s="455" t="str">
        <f>CONCATENATE("FY",RIGHT(C5,4)+1)</f>
        <v>FY2011</v>
      </c>
      <c r="E5" s="455" t="str">
        <f>CONCATENATE("FY",RIGHT(D5,4)+1)</f>
        <v>FY2012</v>
      </c>
      <c r="F5" s="455" t="str">
        <f>CONCATENATE("FY",RIGHT(E5,4)+1)</f>
        <v>FY2013</v>
      </c>
      <c r="G5" s="455" t="str">
        <f>CONCATENATE("Q1","-",RIGHT(F5,4)+1)</f>
        <v>Q1-2014</v>
      </c>
      <c r="H5" s="455" t="str">
        <f>CONCATENATE("Q2","-",RIGHT(G5,4))</f>
        <v>Q2-2014</v>
      </c>
      <c r="I5" s="455" t="str">
        <f>CONCATENATE("Q3","-",RIGHT(H5,4))</f>
        <v>Q3-2014</v>
      </c>
      <c r="J5" s="455" t="str">
        <f>CONCATENATE("Q4","-",RIGHT(I5,4))</f>
        <v>Q4-2014</v>
      </c>
      <c r="K5" s="455" t="str">
        <f>CONCATENATE("FY",RIGHT(F5,4)+1)</f>
        <v>FY2014</v>
      </c>
      <c r="L5" s="455" t="str">
        <f>CONCATENATE("Q1","-",RIGHT(K5,4)+1)</f>
        <v>Q1-2015</v>
      </c>
      <c r="M5" s="455" t="str">
        <f>CONCATENATE("Q2","-",RIGHT(L5,4))</f>
        <v>Q2-2015</v>
      </c>
      <c r="N5" s="455" t="str">
        <f>CONCATENATE("Q3","-",RIGHT(M5,4))</f>
        <v>Q3-2015</v>
      </c>
      <c r="O5" s="455" t="str">
        <f>CONCATENATE("Q4","-",RIGHT(N5,4))</f>
        <v>Q4-2015</v>
      </c>
      <c r="P5" s="455" t="str">
        <f>CONCATENATE("FY",RIGHT(K5,4)+1)</f>
        <v>FY2015</v>
      </c>
      <c r="Q5" s="455" t="str">
        <f>CONCATENATE("Q1","-",RIGHT(P5,4)+1)</f>
        <v>Q1-2016</v>
      </c>
      <c r="R5" s="455" t="str">
        <f>CONCATENATE("Q2","-",RIGHT(Q5,4))</f>
        <v>Q2-2016</v>
      </c>
      <c r="S5" s="455" t="str">
        <f>CONCATENATE("Q3","-",RIGHT(R5,4))</f>
        <v>Q3-2016</v>
      </c>
      <c r="T5" s="455" t="str">
        <f>CONCATENATE("Q4","-",RIGHT(S5,4))</f>
        <v>Q4-2016</v>
      </c>
      <c r="U5" s="455" t="str">
        <f>CONCATENATE("FY",RIGHT(P5,4)+1)</f>
        <v>FY2016</v>
      </c>
      <c r="V5" s="455" t="str">
        <f>CONCATENATE("Q1","-",RIGHT(U5,4)+1)</f>
        <v>Q1-2017</v>
      </c>
      <c r="W5" s="455" t="str">
        <f>CONCATENATE("Q2","-",RIGHT(V5,4))</f>
        <v>Q2-2017</v>
      </c>
      <c r="X5" s="368" t="str">
        <f>CONCATENATE("Q3","-",RIGHT(W5,4))</f>
        <v>Q3-2017</v>
      </c>
      <c r="Y5" s="402" t="str">
        <f>CONCATENATE("Q4","-",RIGHT(X5,4))</f>
        <v>Q4-2017</v>
      </c>
      <c r="Z5" s="402" t="str">
        <f>CONCATENATE("FY",RIGHT(U5,4)+1)</f>
        <v>FY2017</v>
      </c>
      <c r="AA5" s="402" t="str">
        <f>CONCATENATE("Q1","-",RIGHT(Z5,4)+1)</f>
        <v>Q1-2018</v>
      </c>
      <c r="AB5" s="455" t="str">
        <f>CONCATENATE("Q2","-",RIGHT(AA5,4))</f>
        <v>Q2-2018</v>
      </c>
      <c r="AC5" s="368" t="str">
        <f>CONCATENATE("Q3","-",RIGHT(AB5,4))</f>
        <v>Q3-2018</v>
      </c>
      <c r="AD5" s="402" t="str">
        <f>CONCATENATE("Q4","-",RIGHT(AC5,4))</f>
        <v>Q4-2018</v>
      </c>
      <c r="AE5" s="402" t="str">
        <f>CONCATENATE("FY",RIGHT(Z5,4)+1)</f>
        <v>FY2018</v>
      </c>
      <c r="AF5" s="402" t="str">
        <f>CONCATENATE("Q1","-",RIGHT(AE5,4)+1)</f>
        <v>Q1-2019</v>
      </c>
      <c r="AG5" s="455" t="str">
        <f>CONCATENATE("Q2","-",RIGHT(AF5,4))</f>
        <v>Q2-2019</v>
      </c>
      <c r="AH5" s="368" t="str">
        <f>CONCATENATE("Q3","-",RIGHT(AG5,4))</f>
        <v>Q3-2019</v>
      </c>
      <c r="AI5" s="402" t="str">
        <f>CONCATENATE("Q4","-",RIGHT(AH5,4))</f>
        <v>Q4-2019</v>
      </c>
      <c r="AJ5" s="402" t="str">
        <f>CONCATENATE("FY",RIGHT(AE5,4)+1)</f>
        <v>FY2019</v>
      </c>
      <c r="AK5" s="402" t="str">
        <f>CONCATENATE("Q1","-",RIGHT(AJ5,4)+1)</f>
        <v>Q1-2020</v>
      </c>
      <c r="AL5" s="455" t="str">
        <f>CONCATENATE("Q2","-",RIGHT(AK5,4))</f>
        <v>Q2-2020</v>
      </c>
      <c r="AM5" s="595" t="str">
        <f>CONCATENATE("Q3","-",RIGHT(AL5,4))</f>
        <v>Q3-2020</v>
      </c>
      <c r="AN5" s="76" t="str">
        <f>CONCATENATE("Q4","-",RIGHT(AM5,4))</f>
        <v>Q4-2020</v>
      </c>
      <c r="AO5" s="526" t="str">
        <f>CONCATENATE("FY",RIGHT(AJ5,4)+1)</f>
        <v>FY2020</v>
      </c>
      <c r="AP5" s="76" t="str">
        <f>CONCATENATE("Q1","-",RIGHT(AO5,4)+1)</f>
        <v>Q1-2021</v>
      </c>
      <c r="AQ5" s="76" t="str">
        <f>CONCATENATE("Q2","-",RIGHT(AP5,4))</f>
        <v>Q2-2021</v>
      </c>
      <c r="AR5" s="76" t="str">
        <f>CONCATENATE("Q3","-",RIGHT(AQ5,4))</f>
        <v>Q3-2021</v>
      </c>
      <c r="AS5" s="76" t="str">
        <f>CONCATENATE("Q4","-",RIGHT(AR5,4))</f>
        <v>Q4-2021</v>
      </c>
      <c r="AT5" s="526" t="str">
        <f>CONCATENATE("FY",RIGHT(AO5,4)+1)</f>
        <v>FY2021</v>
      </c>
      <c r="AU5" s="76" t="str">
        <f>CONCATENATE("FY",RIGHT(AT5,4)+1)</f>
        <v>FY2022</v>
      </c>
      <c r="AV5" s="76" t="str">
        <f>CONCATENATE("FY",RIGHT(AU5,4)+1)</f>
        <v>FY2023</v>
      </c>
      <c r="AW5" s="76" t="str">
        <f>CONCATENATE("FY",RIGHT(AV5,4)+1)</f>
        <v>FY2024</v>
      </c>
      <c r="AX5" s="74"/>
    </row>
    <row r="6" spans="1:50" s="33" customFormat="1" x14ac:dyDescent="0.45">
      <c r="A6" s="75" t="s">
        <v>13</v>
      </c>
      <c r="B6" s="75"/>
      <c r="C6" s="369"/>
      <c r="D6" s="369"/>
      <c r="E6" s="369"/>
      <c r="F6" s="369"/>
      <c r="G6" s="369"/>
      <c r="H6" s="369"/>
      <c r="I6" s="369"/>
      <c r="J6" s="369"/>
      <c r="K6" s="369"/>
      <c r="L6" s="369"/>
      <c r="M6" s="369"/>
      <c r="N6" s="369"/>
      <c r="O6" s="369"/>
      <c r="P6" s="369"/>
      <c r="Q6" s="369"/>
      <c r="R6" s="369"/>
      <c r="S6" s="369"/>
      <c r="T6" s="369"/>
      <c r="U6" s="369"/>
      <c r="V6" s="369"/>
      <c r="W6" s="369"/>
      <c r="X6" s="369"/>
      <c r="Y6" s="369"/>
      <c r="Z6" s="369"/>
      <c r="AA6" s="369"/>
      <c r="AB6" s="369"/>
      <c r="AC6" s="369"/>
      <c r="AD6" s="369"/>
      <c r="AE6" s="369"/>
      <c r="AF6" s="369"/>
      <c r="AG6" s="369"/>
      <c r="AH6" s="369"/>
      <c r="AI6" s="369"/>
      <c r="AJ6" s="369"/>
      <c r="AK6" s="369"/>
      <c r="AL6" s="369"/>
      <c r="AM6" s="679"/>
      <c r="AN6" s="75"/>
      <c r="AO6" s="75"/>
      <c r="AP6" s="75"/>
      <c r="AQ6" s="75"/>
      <c r="AR6" s="75"/>
      <c r="AS6" s="75"/>
      <c r="AT6" s="75"/>
      <c r="AU6" s="75"/>
      <c r="AV6" s="75"/>
      <c r="AW6" s="75"/>
      <c r="AX6" s="126"/>
    </row>
    <row r="7" spans="1:50" s="51" customFormat="1" x14ac:dyDescent="0.45">
      <c r="A7" s="261" t="s">
        <v>560</v>
      </c>
      <c r="B7" s="141"/>
      <c r="C7" s="404"/>
      <c r="D7" s="404"/>
      <c r="E7" s="404"/>
      <c r="F7" s="404"/>
      <c r="G7" s="370"/>
      <c r="H7" s="370"/>
      <c r="I7" s="370"/>
      <c r="J7" s="370"/>
      <c r="K7" s="404"/>
      <c r="L7" s="370"/>
      <c r="M7" s="370"/>
      <c r="N7" s="370"/>
      <c r="O7" s="370"/>
      <c r="P7" s="404"/>
      <c r="Q7" s="370"/>
      <c r="R7" s="370"/>
      <c r="S7" s="370"/>
      <c r="T7" s="370"/>
      <c r="U7" s="404"/>
      <c r="V7" s="370"/>
      <c r="W7" s="370"/>
      <c r="X7" s="370"/>
      <c r="Y7" s="370"/>
      <c r="Z7" s="404"/>
      <c r="AA7" s="370"/>
      <c r="AB7" s="370"/>
      <c r="AC7" s="370"/>
      <c r="AD7" s="370"/>
      <c r="AE7" s="404">
        <f>IFERROR(AE18/Z18-1,"N/A")</f>
        <v>0.12969888862916767</v>
      </c>
      <c r="AF7" s="370">
        <f t="shared" ref="AF7:AO14" si="1">IFERROR(AF18/AA18-1,"N/A")</f>
        <v>0.10764418377321605</v>
      </c>
      <c r="AG7" s="370">
        <f t="shared" si="1"/>
        <v>9.2093474690159827E-2</v>
      </c>
      <c r="AH7" s="370">
        <f t="shared" si="1"/>
        <v>0.12930515867047676</v>
      </c>
      <c r="AI7" s="370">
        <f t="shared" si="1"/>
        <v>9.2011985675656049E-2</v>
      </c>
      <c r="AJ7" s="404">
        <f t="shared" si="1"/>
        <v>0.10512109099459188</v>
      </c>
      <c r="AK7" s="370">
        <f t="shared" si="1"/>
        <v>6.4106184693589308E-2</v>
      </c>
      <c r="AL7" s="370">
        <f t="shared" si="1"/>
        <v>7.3696803965134228E-2</v>
      </c>
      <c r="AM7" s="572">
        <f t="shared" si="1"/>
        <v>0.10414516397536189</v>
      </c>
      <c r="AN7" s="198">
        <v>0.08</v>
      </c>
      <c r="AO7" s="77">
        <f t="shared" si="1"/>
        <v>8.0770710285782421E-2</v>
      </c>
      <c r="AP7" s="198">
        <v>0.08</v>
      </c>
      <c r="AQ7" s="198">
        <v>7.4999999999999997E-2</v>
      </c>
      <c r="AR7" s="198">
        <v>7.0000000000000007E-2</v>
      </c>
      <c r="AS7" s="198">
        <v>7.0000000000000007E-2</v>
      </c>
      <c r="AT7" s="77">
        <f t="shared" ref="AT7:AT10" si="2">IFERROR(AT18/AO18-1,"N/A")</f>
        <v>7.3610403808974212E-2</v>
      </c>
      <c r="AU7" s="5">
        <v>7.0000000000000007E-2</v>
      </c>
      <c r="AV7" s="5">
        <v>7.0000000000000007E-2</v>
      </c>
      <c r="AW7" s="5">
        <v>7.0000000000000007E-2</v>
      </c>
      <c r="AX7" s="58"/>
    </row>
    <row r="8" spans="1:50" s="51" customFormat="1" x14ac:dyDescent="0.45">
      <c r="A8" s="261" t="s">
        <v>451</v>
      </c>
      <c r="B8" s="141"/>
      <c r="C8" s="404"/>
      <c r="D8" s="404"/>
      <c r="E8" s="404"/>
      <c r="F8" s="404"/>
      <c r="G8" s="370"/>
      <c r="H8" s="370"/>
      <c r="I8" s="370"/>
      <c r="J8" s="370"/>
      <c r="K8" s="404"/>
      <c r="L8" s="370"/>
      <c r="M8" s="370"/>
      <c r="N8" s="370"/>
      <c r="O8" s="370"/>
      <c r="P8" s="404"/>
      <c r="Q8" s="370"/>
      <c r="R8" s="370"/>
      <c r="S8" s="370"/>
      <c r="T8" s="370"/>
      <c r="U8" s="404"/>
      <c r="V8" s="370"/>
      <c r="W8" s="370"/>
      <c r="X8" s="370"/>
      <c r="Y8" s="370"/>
      <c r="Z8" s="404"/>
      <c r="AA8" s="370"/>
      <c r="AB8" s="370"/>
      <c r="AC8" s="370"/>
      <c r="AD8" s="370"/>
      <c r="AE8" s="404">
        <f t="shared" ref="AE8:AE14" si="3">IFERROR(AE19/Z19-1,"N/A")</f>
        <v>3.1504640999483691E-2</v>
      </c>
      <c r="AF8" s="370">
        <f t="shared" si="1"/>
        <v>3.2104290300611904E-3</v>
      </c>
      <c r="AG8" s="370">
        <f t="shared" si="1"/>
        <v>-5.0344182476674715E-2</v>
      </c>
      <c r="AH8" s="370">
        <f t="shared" si="1"/>
        <v>-1.6054704920469787E-2</v>
      </c>
      <c r="AI8" s="370">
        <f t="shared" si="1"/>
        <v>-9.6470935669639157E-3</v>
      </c>
      <c r="AJ8" s="404">
        <f t="shared" si="1"/>
        <v>-1.8357193003876615E-2</v>
      </c>
      <c r="AK8" s="370">
        <f t="shared" si="1"/>
        <v>-3.8692785104732286E-2</v>
      </c>
      <c r="AL8" s="370">
        <f t="shared" si="1"/>
        <v>-5.9099863615700299E-3</v>
      </c>
      <c r="AM8" s="572">
        <f t="shared" si="1"/>
        <v>5.5899682731530564E-3</v>
      </c>
      <c r="AN8" s="198">
        <v>-5.0000000000000001E-3</v>
      </c>
      <c r="AO8" s="77">
        <f t="shared" si="1"/>
        <v>-1.1251445913506464E-2</v>
      </c>
      <c r="AP8" s="198">
        <v>0.01</v>
      </c>
      <c r="AQ8" s="198">
        <v>5.0000000000000001E-3</v>
      </c>
      <c r="AR8" s="198">
        <v>0</v>
      </c>
      <c r="AS8" s="198">
        <v>0</v>
      </c>
      <c r="AT8" s="77">
        <f t="shared" si="2"/>
        <v>3.731835433177455E-3</v>
      </c>
      <c r="AU8" s="5">
        <v>2E-3</v>
      </c>
      <c r="AV8" s="5">
        <v>2E-3</v>
      </c>
      <c r="AW8" s="5">
        <v>2E-3</v>
      </c>
      <c r="AX8" s="58"/>
    </row>
    <row r="9" spans="1:50" s="51" customFormat="1" x14ac:dyDescent="0.45">
      <c r="A9" s="261" t="s">
        <v>561</v>
      </c>
      <c r="B9" s="141"/>
      <c r="C9" s="404"/>
      <c r="D9" s="404"/>
      <c r="E9" s="404"/>
      <c r="F9" s="404"/>
      <c r="G9" s="370"/>
      <c r="H9" s="370"/>
      <c r="I9" s="370"/>
      <c r="J9" s="370"/>
      <c r="K9" s="404"/>
      <c r="L9" s="370"/>
      <c r="M9" s="370"/>
      <c r="N9" s="370"/>
      <c r="O9" s="370"/>
      <c r="P9" s="404"/>
      <c r="Q9" s="370"/>
      <c r="R9" s="370"/>
      <c r="S9" s="370"/>
      <c r="T9" s="370"/>
      <c r="U9" s="404"/>
      <c r="V9" s="370"/>
      <c r="W9" s="370"/>
      <c r="X9" s="370"/>
      <c r="Y9" s="370"/>
      <c r="Z9" s="404"/>
      <c r="AA9" s="370"/>
      <c r="AB9" s="370"/>
      <c r="AC9" s="370"/>
      <c r="AD9" s="370"/>
      <c r="AE9" s="404">
        <f t="shared" si="3"/>
        <v>6.4412798016044714E-2</v>
      </c>
      <c r="AF9" s="370">
        <f t="shared" si="1"/>
        <v>-9.95715509854328E-2</v>
      </c>
      <c r="AG9" s="370">
        <f t="shared" si="1"/>
        <v>-0.15860811100779626</v>
      </c>
      <c r="AH9" s="370">
        <f t="shared" si="1"/>
        <v>-0.160952150295817</v>
      </c>
      <c r="AI9" s="370">
        <f t="shared" si="1"/>
        <v>-0.11426056983609012</v>
      </c>
      <c r="AJ9" s="404">
        <f t="shared" si="1"/>
        <v>-0.13333215663086551</v>
      </c>
      <c r="AK9" s="370">
        <f t="shared" si="1"/>
        <v>-2.2421012561857578E-2</v>
      </c>
      <c r="AL9" s="370">
        <f t="shared" si="1"/>
        <v>7.1917371530581864E-2</v>
      </c>
      <c r="AM9" s="572">
        <f t="shared" si="1"/>
        <v>0.10634613005649229</v>
      </c>
      <c r="AN9" s="198">
        <v>0.05</v>
      </c>
      <c r="AO9" s="77">
        <f t="shared" si="1"/>
        <v>4.9792267038685223E-2</v>
      </c>
      <c r="AP9" s="198">
        <v>0.05</v>
      </c>
      <c r="AQ9" s="198">
        <v>4.4999999999999998E-2</v>
      </c>
      <c r="AR9" s="198">
        <v>0.04</v>
      </c>
      <c r="AS9" s="198">
        <v>0.04</v>
      </c>
      <c r="AT9" s="77">
        <f t="shared" si="2"/>
        <v>4.3714179707108336E-2</v>
      </c>
      <c r="AU9" s="5">
        <v>0.04</v>
      </c>
      <c r="AV9" s="5">
        <v>0.04</v>
      </c>
      <c r="AW9" s="5">
        <v>0.04</v>
      </c>
      <c r="AX9" s="58"/>
    </row>
    <row r="10" spans="1:50" s="51" customFormat="1" x14ac:dyDescent="0.45">
      <c r="A10" s="262" t="s">
        <v>562</v>
      </c>
      <c r="B10" s="143"/>
      <c r="C10" s="82"/>
      <c r="D10" s="82"/>
      <c r="E10" s="82"/>
      <c r="F10" s="82"/>
      <c r="G10" s="117"/>
      <c r="H10" s="117"/>
      <c r="I10" s="117"/>
      <c r="J10" s="117"/>
      <c r="K10" s="82"/>
      <c r="L10" s="117"/>
      <c r="M10" s="117"/>
      <c r="N10" s="117"/>
      <c r="O10" s="117"/>
      <c r="P10" s="82"/>
      <c r="Q10" s="117"/>
      <c r="R10" s="117"/>
      <c r="S10" s="117"/>
      <c r="T10" s="117"/>
      <c r="U10" s="82"/>
      <c r="V10" s="117"/>
      <c r="W10" s="117"/>
      <c r="X10" s="117"/>
      <c r="Y10" s="117"/>
      <c r="Z10" s="82"/>
      <c r="AA10" s="117"/>
      <c r="AB10" s="117"/>
      <c r="AC10" s="117"/>
      <c r="AD10" s="117"/>
      <c r="AE10" s="82">
        <f t="shared" si="3"/>
        <v>4.296747647581256E-2</v>
      </c>
      <c r="AF10" s="117">
        <f t="shared" si="1"/>
        <v>3.6419011667810475E-2</v>
      </c>
      <c r="AG10" s="117">
        <f t="shared" si="1"/>
        <v>4.1003565527437003E-2</v>
      </c>
      <c r="AH10" s="117">
        <f t="shared" si="1"/>
        <v>1.3399031811895057E-2</v>
      </c>
      <c r="AI10" s="117">
        <f t="shared" si="1"/>
        <v>0.10901530415398497</v>
      </c>
      <c r="AJ10" s="82">
        <f t="shared" si="1"/>
        <v>5.0068446638569464E-2</v>
      </c>
      <c r="AK10" s="117">
        <f t="shared" si="1"/>
        <v>-7.9053019328670926E-3</v>
      </c>
      <c r="AL10" s="117">
        <f t="shared" si="1"/>
        <v>2.7484232070506653E-2</v>
      </c>
      <c r="AM10" s="596">
        <f t="shared" si="1"/>
        <v>6.0223492280133017E-2</v>
      </c>
      <c r="AN10" s="47">
        <v>2.5000000000000001E-2</v>
      </c>
      <c r="AO10" s="82">
        <f t="shared" si="1"/>
        <v>2.5926933420928444E-2</v>
      </c>
      <c r="AP10" s="47">
        <v>0.03</v>
      </c>
      <c r="AQ10" s="47">
        <v>2.5000000000000001E-2</v>
      </c>
      <c r="AR10" s="47">
        <v>0.02</v>
      </c>
      <c r="AS10" s="47">
        <v>0.02</v>
      </c>
      <c r="AT10" s="82">
        <f t="shared" si="2"/>
        <v>2.3628991307610425E-2</v>
      </c>
      <c r="AU10" s="6">
        <v>0.02</v>
      </c>
      <c r="AV10" s="6">
        <v>0.02</v>
      </c>
      <c r="AW10" s="6">
        <v>0.02</v>
      </c>
      <c r="AX10" s="58"/>
    </row>
    <row r="11" spans="1:50" s="51" customFormat="1" x14ac:dyDescent="0.45">
      <c r="A11" s="489" t="s">
        <v>563</v>
      </c>
      <c r="B11" s="490"/>
      <c r="C11" s="521"/>
      <c r="D11" s="521"/>
      <c r="E11" s="521"/>
      <c r="F11" s="521"/>
      <c r="G11" s="491"/>
      <c r="H11" s="491"/>
      <c r="I11" s="491"/>
      <c r="J11" s="491"/>
      <c r="K11" s="521"/>
      <c r="L11" s="491"/>
      <c r="M11" s="491"/>
      <c r="N11" s="491"/>
      <c r="O11" s="491"/>
      <c r="P11" s="521"/>
      <c r="Q11" s="491"/>
      <c r="R11" s="491"/>
      <c r="S11" s="491"/>
      <c r="T11" s="491"/>
      <c r="U11" s="521"/>
      <c r="V11" s="491"/>
      <c r="W11" s="491"/>
      <c r="X11" s="491"/>
      <c r="Y11" s="483"/>
      <c r="Z11" s="524"/>
      <c r="AA11" s="483"/>
      <c r="AB11" s="491"/>
      <c r="AC11" s="491"/>
      <c r="AD11" s="483"/>
      <c r="AE11" s="524">
        <f t="shared" si="3"/>
        <v>6.2207104221268406E-2</v>
      </c>
      <c r="AF11" s="483">
        <f t="shared" si="1"/>
        <v>6.955981808723033E-3</v>
      </c>
      <c r="AG11" s="491">
        <f t="shared" si="1"/>
        <v>-2.6155172846844876E-2</v>
      </c>
      <c r="AH11" s="491">
        <f t="shared" si="1"/>
        <v>-1.3033942032152024E-2</v>
      </c>
      <c r="AI11" s="483">
        <f t="shared" si="1"/>
        <v>1.3094655896389362E-2</v>
      </c>
      <c r="AJ11" s="524">
        <f t="shared" si="1"/>
        <v>-4.8150621359305257E-3</v>
      </c>
      <c r="AK11" s="483">
        <f t="shared" si="1"/>
        <v>-4.6663944603231311E-3</v>
      </c>
      <c r="AL11" s="491">
        <f t="shared" si="1"/>
        <v>3.6727219580972692E-2</v>
      </c>
      <c r="AM11" s="597">
        <f t="shared" si="1"/>
        <v>6.2505321594605201E-2</v>
      </c>
      <c r="AN11" s="483">
        <f t="shared" ref="AN11" si="4">IFERROR(AN22/AI22-1,"N/A")</f>
        <v>3.3657730688883225E-2</v>
      </c>
      <c r="AO11" s="524">
        <f t="shared" ref="AO11" si="5">IFERROR(AO22/AJ22-1,"N/A")</f>
        <v>3.185554132439794E-2</v>
      </c>
      <c r="AP11" s="483">
        <f t="shared" ref="AP11" si="6">IFERROR(AP22/AK22-1,"N/A")</f>
        <v>4.0278868452116923E-2</v>
      </c>
      <c r="AQ11" s="483">
        <f t="shared" ref="AQ11" si="7">IFERROR(AQ22/AL22-1,"N/A")</f>
        <v>3.5678668866977681E-2</v>
      </c>
      <c r="AR11" s="483">
        <f t="shared" ref="AR11" si="8">IFERROR(AR22/AM22-1,"N/A")</f>
        <v>3.1187303164592617E-2</v>
      </c>
      <c r="AS11" s="483">
        <f t="shared" ref="AS11" si="9">IFERROR(AS22/AN22-1,"N/A")</f>
        <v>3.0629857028877439E-2</v>
      </c>
      <c r="AT11" s="524">
        <f t="shared" ref="AT11:AT13" si="10">IFERROR(AT22/AO22-1,"N/A")</f>
        <v>3.4373969989367037E-2</v>
      </c>
      <c r="AU11" s="524">
        <f>IFERROR(AU22/AT22-1,"N/A")</f>
        <v>3.20526159316743E-2</v>
      </c>
      <c r="AV11" s="524">
        <f t="shared" ref="AV11:AW11" si="11">IFERROR(AV22/AU22-1,"N/A")</f>
        <v>3.2746272337241145E-2</v>
      </c>
      <c r="AW11" s="524">
        <f t="shared" si="11"/>
        <v>3.3444549749783503E-2</v>
      </c>
      <c r="AX11" s="58"/>
    </row>
    <row r="12" spans="1:50" s="51" customFormat="1" x14ac:dyDescent="0.45">
      <c r="A12" s="284" t="s">
        <v>448</v>
      </c>
      <c r="B12" s="141"/>
      <c r="C12" s="404"/>
      <c r="D12" s="404"/>
      <c r="E12" s="404"/>
      <c r="F12" s="404"/>
      <c r="G12" s="370"/>
      <c r="H12" s="370"/>
      <c r="I12" s="370"/>
      <c r="J12" s="370"/>
      <c r="K12" s="404"/>
      <c r="L12" s="370"/>
      <c r="M12" s="370"/>
      <c r="N12" s="370"/>
      <c r="O12" s="370"/>
      <c r="P12" s="404"/>
      <c r="Q12" s="370"/>
      <c r="R12" s="370"/>
      <c r="S12" s="370"/>
      <c r="T12" s="370"/>
      <c r="U12" s="404"/>
      <c r="V12" s="370"/>
      <c r="W12" s="370"/>
      <c r="X12" s="370"/>
      <c r="Y12" s="386"/>
      <c r="Z12" s="403"/>
      <c r="AA12" s="386"/>
      <c r="AB12" s="370"/>
      <c r="AC12" s="370"/>
      <c r="AD12" s="386"/>
      <c r="AE12" s="403">
        <f t="shared" si="3"/>
        <v>-0.22942575603126059</v>
      </c>
      <c r="AF12" s="386">
        <f t="shared" si="1"/>
        <v>3.0997304582209839E-3</v>
      </c>
      <c r="AG12" s="370">
        <f t="shared" si="1"/>
        <v>5.6478030046311911E-2</v>
      </c>
      <c r="AH12" s="370">
        <f t="shared" si="1"/>
        <v>0.18791081324913006</v>
      </c>
      <c r="AI12" s="386">
        <f t="shared" si="1"/>
        <v>-8.7731597396094263E-2</v>
      </c>
      <c r="AJ12" s="403">
        <f t="shared" si="1"/>
        <v>3.2483758120939399E-2</v>
      </c>
      <c r="AK12" s="386">
        <f t="shared" si="1"/>
        <v>-4.6755340588472416E-2</v>
      </c>
      <c r="AL12" s="370">
        <f t="shared" si="1"/>
        <v>-0.1170747353790228</v>
      </c>
      <c r="AM12" s="572">
        <f t="shared" si="1"/>
        <v>-0.21774981013344907</v>
      </c>
      <c r="AN12" s="198">
        <v>-0.08</v>
      </c>
      <c r="AO12" s="28">
        <f t="shared" si="1"/>
        <v>-0.11897727919822332</v>
      </c>
      <c r="AP12" s="198">
        <v>1.4999999999999999E-2</v>
      </c>
      <c r="AQ12" s="198">
        <v>0.01</v>
      </c>
      <c r="AR12" s="198">
        <v>5.0000000000000001E-3</v>
      </c>
      <c r="AS12" s="198">
        <v>5.0000000000000001E-3</v>
      </c>
      <c r="AT12" s="28">
        <f t="shared" si="10"/>
        <v>8.6272819171075987E-3</v>
      </c>
      <c r="AU12" s="5">
        <v>7.0000000000000001E-3</v>
      </c>
      <c r="AV12" s="5">
        <v>7.0000000000000001E-3</v>
      </c>
      <c r="AW12" s="5">
        <v>7.0000000000000001E-3</v>
      </c>
      <c r="AX12" s="58"/>
    </row>
    <row r="13" spans="1:50" s="51" customFormat="1" x14ac:dyDescent="0.45">
      <c r="A13" s="285" t="s">
        <v>564</v>
      </c>
      <c r="B13" s="143"/>
      <c r="C13" s="82"/>
      <c r="D13" s="82"/>
      <c r="E13" s="82"/>
      <c r="F13" s="82"/>
      <c r="G13" s="117"/>
      <c r="H13" s="117"/>
      <c r="I13" s="117"/>
      <c r="J13" s="117"/>
      <c r="K13" s="82"/>
      <c r="L13" s="117"/>
      <c r="M13" s="117"/>
      <c r="N13" s="117"/>
      <c r="O13" s="117"/>
      <c r="P13" s="82"/>
      <c r="Q13" s="117"/>
      <c r="R13" s="117"/>
      <c r="S13" s="117"/>
      <c r="T13" s="117"/>
      <c r="U13" s="82"/>
      <c r="V13" s="117"/>
      <c r="W13" s="117"/>
      <c r="X13" s="117"/>
      <c r="Y13" s="124"/>
      <c r="Z13" s="128"/>
      <c r="AA13" s="124"/>
      <c r="AB13" s="117"/>
      <c r="AC13" s="117"/>
      <c r="AD13" s="124"/>
      <c r="AE13" s="128">
        <f t="shared" si="3"/>
        <v>0.21184563367144693</v>
      </c>
      <c r="AF13" s="124">
        <f t="shared" si="1"/>
        <v>0.32978723404255317</v>
      </c>
      <c r="AG13" s="117">
        <f t="shared" si="1"/>
        <v>7.8367725481103712E-2</v>
      </c>
      <c r="AH13" s="117">
        <f t="shared" si="1"/>
        <v>-0.15224843718491632</v>
      </c>
      <c r="AI13" s="124">
        <f t="shared" si="1"/>
        <v>-0.23178531701891014</v>
      </c>
      <c r="AJ13" s="128">
        <f t="shared" si="1"/>
        <v>-3.1652876659611362E-2</v>
      </c>
      <c r="AK13" s="124">
        <f t="shared" si="1"/>
        <v>-7.4956521739130477E-2</v>
      </c>
      <c r="AL13" s="117">
        <f t="shared" si="1"/>
        <v>0.16297570414964535</v>
      </c>
      <c r="AM13" s="596">
        <f t="shared" si="1"/>
        <v>0.36607992388201738</v>
      </c>
      <c r="AN13" s="47">
        <v>0.1</v>
      </c>
      <c r="AO13" s="128">
        <f t="shared" si="1"/>
        <v>0.12014406358668639</v>
      </c>
      <c r="AP13" s="47">
        <v>0.03</v>
      </c>
      <c r="AQ13" s="47">
        <v>2.5000000000000001E-2</v>
      </c>
      <c r="AR13" s="47">
        <v>0.02</v>
      </c>
      <c r="AS13" s="47">
        <v>0.01</v>
      </c>
      <c r="AT13" s="128">
        <f t="shared" si="10"/>
        <v>2.0863028582832621E-2</v>
      </c>
      <c r="AU13" s="6">
        <v>1.4999999999999999E-2</v>
      </c>
      <c r="AV13" s="6">
        <v>1.4999999999999999E-2</v>
      </c>
      <c r="AW13" s="6">
        <v>1.4999999999999999E-2</v>
      </c>
      <c r="AX13" s="58"/>
    </row>
    <row r="14" spans="1:50" s="51" customFormat="1" x14ac:dyDescent="0.45">
      <c r="A14" s="263" t="s">
        <v>565</v>
      </c>
      <c r="B14" s="492"/>
      <c r="C14" s="522"/>
      <c r="D14" s="522"/>
      <c r="E14" s="522"/>
      <c r="F14" s="522"/>
      <c r="G14" s="493"/>
      <c r="H14" s="493"/>
      <c r="I14" s="493"/>
      <c r="J14" s="493"/>
      <c r="K14" s="522"/>
      <c r="L14" s="493"/>
      <c r="M14" s="493"/>
      <c r="N14" s="493"/>
      <c r="O14" s="493"/>
      <c r="P14" s="522"/>
      <c r="Q14" s="493"/>
      <c r="R14" s="493"/>
      <c r="S14" s="493"/>
      <c r="T14" s="493"/>
      <c r="U14" s="522"/>
      <c r="V14" s="493"/>
      <c r="W14" s="493"/>
      <c r="X14" s="493"/>
      <c r="Y14" s="484"/>
      <c r="Z14" s="525"/>
      <c r="AA14" s="484"/>
      <c r="AB14" s="493"/>
      <c r="AC14" s="493"/>
      <c r="AD14" s="484"/>
      <c r="AE14" s="525">
        <f t="shared" si="3"/>
        <v>-0.10593973800551393</v>
      </c>
      <c r="AF14" s="484">
        <f t="shared" si="1"/>
        <v>0.12338215258855589</v>
      </c>
      <c r="AG14" s="493">
        <f t="shared" si="1"/>
        <v>6.3648792343916183E-2</v>
      </c>
      <c r="AH14" s="493">
        <f t="shared" si="1"/>
        <v>5.527598679037582E-2</v>
      </c>
      <c r="AI14" s="484">
        <f t="shared" si="1"/>
        <v>-0.14804680677650361</v>
      </c>
      <c r="AJ14" s="525">
        <f t="shared" si="1"/>
        <v>8.1561901286377747E-3</v>
      </c>
      <c r="AK14" s="484">
        <f t="shared" si="1"/>
        <v>-5.9046464033957413E-2</v>
      </c>
      <c r="AL14" s="493">
        <f t="shared" si="1"/>
        <v>-2.4064552984861542E-2</v>
      </c>
      <c r="AM14" s="598">
        <f t="shared" si="1"/>
        <v>-3.487072498323518E-2</v>
      </c>
      <c r="AN14" s="484">
        <f t="shared" ref="AN14" si="12">IFERROR(AN25/AI25-1,"N/A")</f>
        <v>-1.2041820418204119E-2</v>
      </c>
      <c r="AO14" s="525">
        <f t="shared" ref="AO14" si="13">IFERROR(AO25/AJ25-1,"N/A")</f>
        <v>-3.1858032288423876E-2</v>
      </c>
      <c r="AP14" s="484">
        <f t="shared" ref="AP14" si="14">IFERROR(AP25/AK25-1,"N/A")</f>
        <v>2.1427017883035138E-2</v>
      </c>
      <c r="AQ14" s="484">
        <f t="shared" ref="AQ14" si="15">IFERROR(AQ25/AL25-1,"N/A")</f>
        <v>1.593656252286535E-2</v>
      </c>
      <c r="AR14" s="484">
        <f t="shared" ref="AR14" si="16">IFERROR(AR25/AM25-1,"N/A")</f>
        <v>1.1650582876553628E-2</v>
      </c>
      <c r="AS14" s="484">
        <f t="shared" ref="AS14" si="17">IFERROR(AS25/AN25-1,"N/A")</f>
        <v>7.1018095447570317E-3</v>
      </c>
      <c r="AT14" s="525">
        <f t="shared" ref="AT14" si="18">IFERROR(AT25/AO25-1,"N/A")</f>
        <v>1.3785041365234063E-2</v>
      </c>
      <c r="AU14" s="525">
        <f>IFERROR(AU25/AT25-1,"N/A")</f>
        <v>1.0395800677474476E-2</v>
      </c>
      <c r="AV14" s="525">
        <f t="shared" ref="AV14:AW14" si="19">IFERROR(AV25/AU25-1,"N/A")</f>
        <v>1.0411274755225186E-2</v>
      </c>
      <c r="AW14" s="525">
        <f t="shared" si="19"/>
        <v>1.0426766865198056E-2</v>
      </c>
      <c r="AX14" s="58"/>
    </row>
    <row r="15" spans="1:50" s="33" customFormat="1" x14ac:dyDescent="0.45">
      <c r="A15" s="116" t="s">
        <v>566</v>
      </c>
      <c r="B15" s="142"/>
      <c r="C15" s="79"/>
      <c r="D15" s="79">
        <f>IFERROR(D302/C302-1,"N/A")</f>
        <v>0.21093104783575645</v>
      </c>
      <c r="E15" s="79">
        <f t="shared" ref="E15:F15" si="20">IFERROR(E302/D302-1,"N/A")</f>
        <v>0.21641201823620482</v>
      </c>
      <c r="F15" s="79">
        <f t="shared" si="20"/>
        <v>7.0710854164969916E-2</v>
      </c>
      <c r="G15" s="78"/>
      <c r="H15" s="78"/>
      <c r="I15" s="78"/>
      <c r="J15" s="78"/>
      <c r="K15" s="79">
        <f>IFERROR(K302/F302-1,"N/A")</f>
        <v>-3.3813601489692924E-2</v>
      </c>
      <c r="L15" s="78">
        <f t="shared" ref="L15:Z15" si="21">IFERROR(L302/G302-1,"N/A")</f>
        <v>7.6372467565667623E-2</v>
      </c>
      <c r="M15" s="78">
        <f t="shared" si="21"/>
        <v>8.4965025521916315E-2</v>
      </c>
      <c r="N15" s="78">
        <f t="shared" si="21"/>
        <v>0.13384900876403272</v>
      </c>
      <c r="O15" s="78">
        <f t="shared" si="21"/>
        <v>0.11445014452748636</v>
      </c>
      <c r="P15" s="79">
        <f t="shared" si="21"/>
        <v>0.10245419606132211</v>
      </c>
      <c r="Q15" s="78">
        <f t="shared" si="21"/>
        <v>3.6218976368602496E-2</v>
      </c>
      <c r="R15" s="78">
        <f t="shared" si="21"/>
        <v>4.0242617346642584E-2</v>
      </c>
      <c r="S15" s="78">
        <f t="shared" si="21"/>
        <v>-5.1788955146486848E-2</v>
      </c>
      <c r="T15" s="78">
        <f t="shared" si="21"/>
        <v>-3.7075116054460233E-3</v>
      </c>
      <c r="U15" s="79">
        <f t="shared" si="21"/>
        <v>4.5938089652710623E-3</v>
      </c>
      <c r="V15" s="78">
        <f t="shared" si="21"/>
        <v>3.356144199599953E-4</v>
      </c>
      <c r="W15" s="78">
        <f t="shared" si="21"/>
        <v>1.4333686956105485E-2</v>
      </c>
      <c r="X15" s="78">
        <f t="shared" si="21"/>
        <v>9.2590060838061206E-2</v>
      </c>
      <c r="Y15" s="123">
        <f t="shared" si="21"/>
        <v>3.496935393082734E-2</v>
      </c>
      <c r="Z15" s="127">
        <f t="shared" si="21"/>
        <v>3.4817869667009838E-2</v>
      </c>
      <c r="AA15" s="123">
        <f t="shared" ref="AA15" si="22">IFERROR(AA302/V302-1,"N/A")</f>
        <v>7.1330960271674737E-2</v>
      </c>
      <c r="AB15" s="78">
        <f t="shared" ref="AB15" si="23">IFERROR(AB302/W302-1,"N/A")</f>
        <v>4.2786593900885572E-2</v>
      </c>
      <c r="AC15" s="78">
        <f t="shared" ref="AC15" si="24">IFERROR(AC302/X302-1,"N/A")</f>
        <v>3.0085713391935442E-2</v>
      </c>
      <c r="AD15" s="123">
        <f t="shared" ref="AD15" si="25">IFERROR(AD302/Y302-1,"N/A")</f>
        <v>2.5607130717226312E-2</v>
      </c>
      <c r="AE15" s="127">
        <f t="shared" ref="AE15" si="26">IFERROR(AE302/Z302-1,"N/A")</f>
        <v>4.1981931777153259E-2</v>
      </c>
      <c r="AF15" s="123">
        <f t="shared" ref="AF15" si="27">IFERROR(AF302/AA302-1,"N/A")</f>
        <v>1.7399673087792777E-2</v>
      </c>
      <c r="AG15" s="78">
        <f t="shared" ref="AG15" si="28">IFERROR(AG302/AB302-1,"N/A")</f>
        <v>-1.7238908956540788E-2</v>
      </c>
      <c r="AH15" s="78">
        <f t="shared" ref="AH15" si="29">IFERROR(AH302/AC302-1,"N/A")</f>
        <v>-6.438142960179305E-3</v>
      </c>
      <c r="AI15" s="123">
        <f t="shared" ref="AI15" si="30">IFERROR(AI302/AD302-1,"N/A")</f>
        <v>-7.2914748665071638E-3</v>
      </c>
      <c r="AJ15" s="127">
        <f t="shared" ref="AJ15" si="31">IFERROR(AJ302/AE302-1,"N/A")</f>
        <v>-3.4763351217188543E-3</v>
      </c>
      <c r="AK15" s="123">
        <f t="shared" ref="AK15" si="32">IFERROR(AK302/AF302-1,"N/A")</f>
        <v>-1.0052552552552774E-2</v>
      </c>
      <c r="AL15" s="78">
        <f t="shared" ref="AL15" si="33">IFERROR(AL302/AG302-1,"N/A")</f>
        <v>3.0194673153214113E-2</v>
      </c>
      <c r="AM15" s="599">
        <f t="shared" ref="AM15" si="34">IFERROR(AM302/AH302-1,"N/A")</f>
        <v>5.2518969640933388E-2</v>
      </c>
      <c r="AN15" s="78">
        <f t="shared" ref="AN15" si="35">IFERROR(AN302/AI302-1,"N/A")</f>
        <v>2.8695997329079681E-2</v>
      </c>
      <c r="AO15" s="127">
        <f t="shared" ref="AO15" si="36">IFERROR(AO302/AJ302-1,"N/A")</f>
        <v>2.5203081033990715E-2</v>
      </c>
      <c r="AP15" s="78">
        <f t="shared" ref="AP15" si="37">IFERROR(AP302/AK302-1,"N/A")</f>
        <v>3.8504068678381076E-2</v>
      </c>
      <c r="AQ15" s="78">
        <f t="shared" ref="AQ15" si="38">IFERROR(AQ302/AL302-1,"N/A")</f>
        <v>3.3668960791323865E-2</v>
      </c>
      <c r="AR15" s="78">
        <f t="shared" ref="AR15" si="39">IFERROR(AR302/AM302-1,"N/A")</f>
        <v>2.9350079860607003E-2</v>
      </c>
      <c r="AS15" s="78">
        <f t="shared" ref="AS15" si="40">IFERROR(AS302/AN302-1,"N/A")</f>
        <v>2.8176510548399314E-2</v>
      </c>
      <c r="AT15" s="127">
        <f t="shared" ref="AT15" si="41">IFERROR(AT302/AO302-1,"N/A")</f>
        <v>3.2343889683539295E-2</v>
      </c>
      <c r="AU15" s="79">
        <f>IFERROR(AU302/AT302-1,"N/A")</f>
        <v>2.9955629844847786E-2</v>
      </c>
      <c r="AV15" s="79">
        <f t="shared" ref="AV15:AW15" si="42">IFERROR(AV302/AU302-1,"N/A")</f>
        <v>3.0624690035908397E-2</v>
      </c>
      <c r="AW15" s="79">
        <f t="shared" si="42"/>
        <v>3.1300992413726858E-2</v>
      </c>
      <c r="AX15" s="126"/>
    </row>
    <row r="16" spans="1:50" s="33" customFormat="1" x14ac:dyDescent="0.45">
      <c r="A16" s="187"/>
      <c r="B16" s="52"/>
      <c r="C16" s="405"/>
      <c r="D16" s="405"/>
      <c r="E16" s="405"/>
      <c r="F16" s="405"/>
      <c r="G16" s="371"/>
      <c r="H16" s="371"/>
      <c r="I16" s="371"/>
      <c r="J16" s="371"/>
      <c r="K16" s="405"/>
      <c r="L16" s="371"/>
      <c r="M16" s="371"/>
      <c r="N16" s="371"/>
      <c r="O16" s="371"/>
      <c r="P16" s="405"/>
      <c r="Q16" s="371"/>
      <c r="R16" s="371"/>
      <c r="S16" s="371"/>
      <c r="T16" s="371"/>
      <c r="U16" s="405"/>
      <c r="V16" s="371"/>
      <c r="W16" s="371"/>
      <c r="X16" s="371"/>
      <c r="Y16" s="371"/>
      <c r="Z16" s="405"/>
      <c r="AA16" s="371"/>
      <c r="AB16" s="371"/>
      <c r="AC16" s="371"/>
      <c r="AD16" s="371"/>
      <c r="AE16" s="405"/>
      <c r="AF16" s="371"/>
      <c r="AG16" s="371"/>
      <c r="AH16" s="371"/>
      <c r="AI16" s="371"/>
      <c r="AJ16" s="405"/>
      <c r="AK16" s="371"/>
      <c r="AL16" s="371"/>
      <c r="AM16" s="565"/>
      <c r="AN16" s="46"/>
      <c r="AO16" s="4"/>
      <c r="AP16" s="46"/>
      <c r="AQ16" s="46"/>
      <c r="AR16" s="46"/>
      <c r="AS16" s="46"/>
      <c r="AT16" s="4"/>
      <c r="AU16" s="4"/>
      <c r="AV16" s="4"/>
      <c r="AW16" s="4"/>
      <c r="AX16" s="126"/>
    </row>
    <row r="17" spans="1:50" s="7" customFormat="1" x14ac:dyDescent="0.45">
      <c r="A17" s="790" t="s">
        <v>375</v>
      </c>
      <c r="B17" s="790"/>
      <c r="C17" s="812"/>
      <c r="D17" s="812"/>
      <c r="E17" s="812"/>
      <c r="F17" s="812"/>
      <c r="G17" s="812"/>
      <c r="H17" s="812"/>
      <c r="I17" s="812"/>
      <c r="J17" s="812"/>
      <c r="K17" s="812"/>
      <c r="L17" s="812"/>
      <c r="M17" s="812"/>
      <c r="N17" s="812"/>
      <c r="O17" s="812"/>
      <c r="P17" s="812"/>
      <c r="Q17" s="812"/>
      <c r="R17" s="812"/>
      <c r="S17" s="812"/>
      <c r="T17" s="812"/>
      <c r="U17" s="812"/>
      <c r="V17" s="812"/>
      <c r="W17" s="812"/>
      <c r="X17" s="812"/>
      <c r="Y17" s="812"/>
      <c r="Z17" s="812"/>
      <c r="AA17" s="812"/>
      <c r="AB17" s="812"/>
      <c r="AC17" s="812"/>
      <c r="AD17" s="812"/>
      <c r="AE17" s="812"/>
      <c r="AF17" s="812"/>
      <c r="AG17" s="812"/>
      <c r="AH17" s="812"/>
      <c r="AI17" s="812"/>
      <c r="AJ17" s="812"/>
      <c r="AK17" s="812"/>
      <c r="AL17" s="812"/>
      <c r="AM17" s="813"/>
      <c r="AN17" s="814"/>
      <c r="AO17" s="814"/>
      <c r="AP17" s="814"/>
      <c r="AQ17" s="814"/>
      <c r="AR17" s="814"/>
      <c r="AS17" s="814"/>
      <c r="AT17" s="814"/>
      <c r="AU17" s="814"/>
      <c r="AV17" s="814"/>
      <c r="AW17" s="814"/>
      <c r="AX17" s="795"/>
    </row>
    <row r="18" spans="1:50" s="29" customFormat="1" x14ac:dyDescent="0.45">
      <c r="A18" s="68" t="s">
        <v>404</v>
      </c>
      <c r="B18" s="216"/>
      <c r="C18" s="815"/>
      <c r="D18" s="815"/>
      <c r="E18" s="815"/>
      <c r="F18" s="815"/>
      <c r="G18" s="816"/>
      <c r="H18" s="816"/>
      <c r="I18" s="816"/>
      <c r="J18" s="816"/>
      <c r="K18" s="815"/>
      <c r="L18" s="816"/>
      <c r="M18" s="816"/>
      <c r="N18" s="816"/>
      <c r="O18" s="816"/>
      <c r="P18" s="815"/>
      <c r="Q18" s="816"/>
      <c r="R18" s="816"/>
      <c r="S18" s="816"/>
      <c r="T18" s="816"/>
      <c r="U18" s="815"/>
      <c r="V18" s="816"/>
      <c r="W18" s="816"/>
      <c r="X18" s="816"/>
      <c r="Y18" s="816"/>
      <c r="Z18" s="815">
        <v>94.117999999999995</v>
      </c>
      <c r="AA18" s="816">
        <v>25.574999999999999</v>
      </c>
      <c r="AB18" s="816">
        <v>26.788</v>
      </c>
      <c r="AC18" s="816">
        <v>26.596</v>
      </c>
      <c r="AD18" s="816">
        <f>AE18-SUM(AA18,AB18,AC18)</f>
        <v>27.366</v>
      </c>
      <c r="AE18" s="815">
        <v>106.325</v>
      </c>
      <c r="AF18" s="816">
        <v>28.327999999999999</v>
      </c>
      <c r="AG18" s="816">
        <v>29.254999999999999</v>
      </c>
      <c r="AH18" s="816">
        <v>30.035</v>
      </c>
      <c r="AI18" s="816">
        <f>AJ18-SUM(AF18,AG18,AH18)</f>
        <v>29.884</v>
      </c>
      <c r="AJ18" s="815">
        <v>117.502</v>
      </c>
      <c r="AK18" s="816">
        <v>30.143999999999998</v>
      </c>
      <c r="AL18" s="816">
        <v>31.411000000000001</v>
      </c>
      <c r="AM18" s="817">
        <v>33.162999999999997</v>
      </c>
      <c r="AN18" s="818">
        <f>AI18*(1+AN7)</f>
        <v>32.274720000000002</v>
      </c>
      <c r="AO18" s="819">
        <f>SUM(AK18,AL18,AM18,AN18)</f>
        <v>126.99271999999999</v>
      </c>
      <c r="AP18" s="818">
        <f t="shared" ref="AP18:AS21" si="43">AK18*(1+AP7)</f>
        <v>32.555520000000001</v>
      </c>
      <c r="AQ18" s="818">
        <f t="shared" si="43"/>
        <v>33.766824999999997</v>
      </c>
      <c r="AR18" s="818">
        <f t="shared" si="43"/>
        <v>35.484409999999997</v>
      </c>
      <c r="AS18" s="818">
        <f t="shared" si="43"/>
        <v>34.533950400000002</v>
      </c>
      <c r="AT18" s="819">
        <f>SUM(AP18,AQ18,AR18,AS18)</f>
        <v>136.34070539999999</v>
      </c>
      <c r="AU18" s="819">
        <f>AT18*(1+AU7)</f>
        <v>145.88455477799999</v>
      </c>
      <c r="AV18" s="819">
        <f t="shared" ref="AV18:AW18" si="44">AU18*(1+AV7)</f>
        <v>156.09647361246002</v>
      </c>
      <c r="AW18" s="819">
        <f t="shared" si="44"/>
        <v>167.02322676533223</v>
      </c>
      <c r="AX18" s="793"/>
    </row>
    <row r="19" spans="1:50" s="29" customFormat="1" x14ac:dyDescent="0.45">
      <c r="A19" s="68" t="s">
        <v>405</v>
      </c>
      <c r="B19" s="216"/>
      <c r="C19" s="815"/>
      <c r="D19" s="815"/>
      <c r="E19" s="815"/>
      <c r="F19" s="815"/>
      <c r="G19" s="816"/>
      <c r="H19" s="816"/>
      <c r="I19" s="816"/>
      <c r="J19" s="816"/>
      <c r="K19" s="815"/>
      <c r="L19" s="816"/>
      <c r="M19" s="816"/>
      <c r="N19" s="816"/>
      <c r="O19" s="816"/>
      <c r="P19" s="815"/>
      <c r="Q19" s="816"/>
      <c r="R19" s="816"/>
      <c r="S19" s="816"/>
      <c r="T19" s="816"/>
      <c r="U19" s="815"/>
      <c r="V19" s="816"/>
      <c r="W19" s="816"/>
      <c r="X19" s="816"/>
      <c r="Y19" s="816"/>
      <c r="Z19" s="815">
        <v>158.80199999999999</v>
      </c>
      <c r="AA19" s="816">
        <v>41.116</v>
      </c>
      <c r="AB19" s="816">
        <v>41.692999999999998</v>
      </c>
      <c r="AC19" s="816">
        <v>40.362000000000002</v>
      </c>
      <c r="AD19" s="816">
        <f>AE19-SUM(AA19,AB19,AC19)</f>
        <v>40.634000000000015</v>
      </c>
      <c r="AE19" s="815">
        <v>163.80500000000001</v>
      </c>
      <c r="AF19" s="816">
        <v>41.247999999999998</v>
      </c>
      <c r="AG19" s="816">
        <v>39.594000000000001</v>
      </c>
      <c r="AH19" s="816">
        <v>39.713999999999999</v>
      </c>
      <c r="AI19" s="816">
        <f>AJ19-SUM(AF19,AG19,AH19)</f>
        <v>40.242000000000004</v>
      </c>
      <c r="AJ19" s="815">
        <v>160.798</v>
      </c>
      <c r="AK19" s="816">
        <v>39.652000000000001</v>
      </c>
      <c r="AL19" s="816">
        <v>39.36</v>
      </c>
      <c r="AM19" s="817">
        <v>39.936</v>
      </c>
      <c r="AN19" s="818">
        <f t="shared" ref="AN19:AN21" si="45">AI19*(1+AN8)</f>
        <v>40.040790000000001</v>
      </c>
      <c r="AO19" s="819">
        <f t="shared" ref="AO19:AO24" si="46">SUM(AK19,AL19,AM19,AN19)</f>
        <v>158.98878999999999</v>
      </c>
      <c r="AP19" s="818">
        <f t="shared" si="43"/>
        <v>40.048520000000003</v>
      </c>
      <c r="AQ19" s="818">
        <f t="shared" si="43"/>
        <v>39.556799999999996</v>
      </c>
      <c r="AR19" s="818">
        <f t="shared" si="43"/>
        <v>39.936</v>
      </c>
      <c r="AS19" s="818">
        <f t="shared" si="43"/>
        <v>40.040790000000001</v>
      </c>
      <c r="AT19" s="819">
        <f t="shared" ref="AT19:AT24" si="47">SUM(AP19,AQ19,AR19,AS19)</f>
        <v>159.58211</v>
      </c>
      <c r="AU19" s="819">
        <f t="shared" ref="AU19:AW21" si="48">AT19*(1+AU8)</f>
        <v>159.90127422</v>
      </c>
      <c r="AV19" s="819">
        <f t="shared" si="48"/>
        <v>160.22107676844001</v>
      </c>
      <c r="AW19" s="819">
        <f t="shared" si="48"/>
        <v>160.54151892197689</v>
      </c>
      <c r="AX19" s="793"/>
    </row>
    <row r="20" spans="1:50" s="29" customFormat="1" x14ac:dyDescent="0.45">
      <c r="A20" s="68" t="s">
        <v>406</v>
      </c>
      <c r="B20" s="216"/>
      <c r="C20" s="815"/>
      <c r="D20" s="815"/>
      <c r="E20" s="815"/>
      <c r="F20" s="815"/>
      <c r="G20" s="816"/>
      <c r="H20" s="816"/>
      <c r="I20" s="816"/>
      <c r="J20" s="816"/>
      <c r="K20" s="815"/>
      <c r="L20" s="816"/>
      <c r="M20" s="816"/>
      <c r="N20" s="816"/>
      <c r="O20" s="816"/>
      <c r="P20" s="815"/>
      <c r="Q20" s="816"/>
      <c r="R20" s="816"/>
      <c r="S20" s="816"/>
      <c r="T20" s="816"/>
      <c r="U20" s="815"/>
      <c r="V20" s="816"/>
      <c r="W20" s="816"/>
      <c r="X20" s="816"/>
      <c r="Y20" s="816"/>
      <c r="Z20" s="815">
        <v>106.45399999999999</v>
      </c>
      <c r="AA20" s="816">
        <v>29.175000000000001</v>
      </c>
      <c r="AB20" s="816">
        <v>27.962</v>
      </c>
      <c r="AC20" s="816">
        <v>28.902999999999999</v>
      </c>
      <c r="AD20" s="816">
        <f>AE20-SUM(AA20,AB20,AC20)</f>
        <v>27.271000000000015</v>
      </c>
      <c r="AE20" s="815">
        <v>113.31100000000001</v>
      </c>
      <c r="AF20" s="816">
        <v>26.27</v>
      </c>
      <c r="AG20" s="816">
        <v>23.527000000000001</v>
      </c>
      <c r="AH20" s="816">
        <v>24.251000000000001</v>
      </c>
      <c r="AI20" s="816">
        <f>AJ20-SUM(AF20,AG20,AH20)</f>
        <v>24.155000000000001</v>
      </c>
      <c r="AJ20" s="815">
        <v>98.203000000000003</v>
      </c>
      <c r="AK20" s="816">
        <v>25.681000000000001</v>
      </c>
      <c r="AL20" s="816">
        <v>25.219000000000001</v>
      </c>
      <c r="AM20" s="817">
        <v>26.83</v>
      </c>
      <c r="AN20" s="818">
        <f t="shared" si="45"/>
        <v>25.362750000000002</v>
      </c>
      <c r="AO20" s="819">
        <f t="shared" si="46"/>
        <v>103.09275000000001</v>
      </c>
      <c r="AP20" s="818">
        <f t="shared" si="43"/>
        <v>26.965050000000002</v>
      </c>
      <c r="AQ20" s="818">
        <f t="shared" si="43"/>
        <v>26.353854999999999</v>
      </c>
      <c r="AR20" s="818">
        <f t="shared" si="43"/>
        <v>27.903199999999998</v>
      </c>
      <c r="AS20" s="818">
        <f t="shared" si="43"/>
        <v>26.377260000000003</v>
      </c>
      <c r="AT20" s="819">
        <f t="shared" si="47"/>
        <v>107.59936500000001</v>
      </c>
      <c r="AU20" s="819">
        <f t="shared" si="48"/>
        <v>111.90333960000001</v>
      </c>
      <c r="AV20" s="819">
        <f t="shared" si="48"/>
        <v>116.37947318400002</v>
      </c>
      <c r="AW20" s="819">
        <f t="shared" si="48"/>
        <v>121.03465211136002</v>
      </c>
      <c r="AX20" s="793"/>
    </row>
    <row r="21" spans="1:50" s="29" customFormat="1" x14ac:dyDescent="0.45">
      <c r="A21" s="217" t="s">
        <v>407</v>
      </c>
      <c r="B21" s="218"/>
      <c r="C21" s="820"/>
      <c r="D21" s="820"/>
      <c r="E21" s="820"/>
      <c r="F21" s="820"/>
      <c r="G21" s="821"/>
      <c r="H21" s="821"/>
      <c r="I21" s="821"/>
      <c r="J21" s="821"/>
      <c r="K21" s="820"/>
      <c r="L21" s="821"/>
      <c r="M21" s="821"/>
      <c r="N21" s="821"/>
      <c r="O21" s="821"/>
      <c r="P21" s="820"/>
      <c r="Q21" s="821"/>
      <c r="R21" s="821"/>
      <c r="S21" s="821"/>
      <c r="T21" s="821"/>
      <c r="U21" s="820"/>
      <c r="V21" s="821"/>
      <c r="W21" s="821"/>
      <c r="X21" s="821"/>
      <c r="Y21" s="821"/>
      <c r="Z21" s="820">
        <v>88.950999999999993</v>
      </c>
      <c r="AA21" s="821">
        <v>23.312000000000001</v>
      </c>
      <c r="AB21" s="821">
        <v>22.998000000000001</v>
      </c>
      <c r="AC21" s="821">
        <v>23.135999999999999</v>
      </c>
      <c r="AD21" s="821">
        <f>AE21-SUM(AA21,AB21,AC21)</f>
        <v>23.326999999999998</v>
      </c>
      <c r="AE21" s="820">
        <v>92.772999999999996</v>
      </c>
      <c r="AF21" s="821">
        <v>24.161000000000001</v>
      </c>
      <c r="AG21" s="821">
        <v>23.940999999999999</v>
      </c>
      <c r="AH21" s="821">
        <v>23.446000000000002</v>
      </c>
      <c r="AI21" s="821">
        <f>AJ21-SUM(AF21,AG21,AH21)</f>
        <v>25.870000000000005</v>
      </c>
      <c r="AJ21" s="820">
        <v>97.418000000000006</v>
      </c>
      <c r="AK21" s="821">
        <v>23.97</v>
      </c>
      <c r="AL21" s="821">
        <v>24.599</v>
      </c>
      <c r="AM21" s="822">
        <v>24.858000000000001</v>
      </c>
      <c r="AN21" s="821">
        <f t="shared" si="45"/>
        <v>26.516750000000002</v>
      </c>
      <c r="AO21" s="820">
        <f t="shared" si="46"/>
        <v>99.943750000000009</v>
      </c>
      <c r="AP21" s="821">
        <f t="shared" si="43"/>
        <v>24.6891</v>
      </c>
      <c r="AQ21" s="821">
        <f t="shared" si="43"/>
        <v>25.213974999999998</v>
      </c>
      <c r="AR21" s="821">
        <f t="shared" si="43"/>
        <v>25.355160000000001</v>
      </c>
      <c r="AS21" s="821">
        <f t="shared" si="43"/>
        <v>27.047085000000003</v>
      </c>
      <c r="AT21" s="820">
        <f t="shared" si="47"/>
        <v>102.30531999999999</v>
      </c>
      <c r="AU21" s="820">
        <f t="shared" si="48"/>
        <v>104.35142639999999</v>
      </c>
      <c r="AV21" s="820">
        <f t="shared" si="48"/>
        <v>106.438454928</v>
      </c>
      <c r="AW21" s="820">
        <f t="shared" si="48"/>
        <v>108.56722402656</v>
      </c>
      <c r="AX21" s="793"/>
    </row>
    <row r="22" spans="1:50" s="29" customFormat="1" x14ac:dyDescent="0.45">
      <c r="A22" s="494" t="s">
        <v>408</v>
      </c>
      <c r="B22" s="495"/>
      <c r="C22" s="823"/>
      <c r="D22" s="823"/>
      <c r="E22" s="823"/>
      <c r="F22" s="823"/>
      <c r="G22" s="824"/>
      <c r="H22" s="824"/>
      <c r="I22" s="824"/>
      <c r="J22" s="824"/>
      <c r="K22" s="823"/>
      <c r="L22" s="824"/>
      <c r="M22" s="824"/>
      <c r="N22" s="824"/>
      <c r="O22" s="824"/>
      <c r="P22" s="823"/>
      <c r="Q22" s="824"/>
      <c r="R22" s="824"/>
      <c r="S22" s="824"/>
      <c r="T22" s="824"/>
      <c r="U22" s="823"/>
      <c r="V22" s="824"/>
      <c r="W22" s="824"/>
      <c r="X22" s="824"/>
      <c r="Y22" s="824"/>
      <c r="Z22" s="823">
        <f t="shared" ref="Z22:AW22" si="49">SUM(Z18:Z21)</f>
        <v>448.32499999999993</v>
      </c>
      <c r="AA22" s="824">
        <f t="shared" si="49"/>
        <v>119.178</v>
      </c>
      <c r="AB22" s="824">
        <f t="shared" si="49"/>
        <v>119.441</v>
      </c>
      <c r="AC22" s="824">
        <f t="shared" si="49"/>
        <v>118.99699999999999</v>
      </c>
      <c r="AD22" s="824">
        <f t="shared" si="49"/>
        <v>118.59800000000003</v>
      </c>
      <c r="AE22" s="823">
        <f t="shared" si="49"/>
        <v>476.21400000000006</v>
      </c>
      <c r="AF22" s="824">
        <f t="shared" si="49"/>
        <v>120.00699999999999</v>
      </c>
      <c r="AG22" s="824">
        <f t="shared" si="49"/>
        <v>116.31700000000001</v>
      </c>
      <c r="AH22" s="824">
        <f t="shared" si="49"/>
        <v>117.446</v>
      </c>
      <c r="AI22" s="824">
        <f t="shared" si="49"/>
        <v>120.15100000000001</v>
      </c>
      <c r="AJ22" s="823">
        <f t="shared" si="49"/>
        <v>473.92100000000005</v>
      </c>
      <c r="AK22" s="824">
        <f t="shared" si="49"/>
        <v>119.44699999999999</v>
      </c>
      <c r="AL22" s="824">
        <f t="shared" si="49"/>
        <v>120.58900000000001</v>
      </c>
      <c r="AM22" s="825">
        <f t="shared" si="49"/>
        <v>124.78699999999999</v>
      </c>
      <c r="AN22" s="824">
        <f t="shared" si="49"/>
        <v>124.19501000000001</v>
      </c>
      <c r="AO22" s="823">
        <f t="shared" si="49"/>
        <v>489.01801</v>
      </c>
      <c r="AP22" s="824">
        <f t="shared" si="49"/>
        <v>124.25819</v>
      </c>
      <c r="AQ22" s="824">
        <f t="shared" si="49"/>
        <v>124.89145499999998</v>
      </c>
      <c r="AR22" s="824">
        <f t="shared" si="49"/>
        <v>128.67877000000001</v>
      </c>
      <c r="AS22" s="824">
        <f t="shared" si="49"/>
        <v>127.99908540000001</v>
      </c>
      <c r="AT22" s="823">
        <f t="shared" ref="AT22" si="50">SUM(AT18:AT21)</f>
        <v>505.82750040000002</v>
      </c>
      <c r="AU22" s="823">
        <f t="shared" si="49"/>
        <v>522.04059499800007</v>
      </c>
      <c r="AV22" s="823">
        <f t="shared" si="49"/>
        <v>539.13547849290001</v>
      </c>
      <c r="AW22" s="823">
        <f t="shared" si="49"/>
        <v>557.16662182522919</v>
      </c>
      <c r="AX22" s="793"/>
    </row>
    <row r="23" spans="1:50" s="29" customFormat="1" x14ac:dyDescent="0.45">
      <c r="A23" s="68" t="s">
        <v>409</v>
      </c>
      <c r="B23" s="216"/>
      <c r="C23" s="815"/>
      <c r="D23" s="815"/>
      <c r="E23" s="815"/>
      <c r="F23" s="815"/>
      <c r="G23" s="816"/>
      <c r="H23" s="816"/>
      <c r="I23" s="816"/>
      <c r="J23" s="816"/>
      <c r="K23" s="815"/>
      <c r="L23" s="816"/>
      <c r="M23" s="816"/>
      <c r="N23" s="816"/>
      <c r="O23" s="816"/>
      <c r="P23" s="815"/>
      <c r="Q23" s="816"/>
      <c r="R23" s="816"/>
      <c r="S23" s="816"/>
      <c r="T23" s="816"/>
      <c r="U23" s="815"/>
      <c r="V23" s="816"/>
      <c r="W23" s="816"/>
      <c r="X23" s="816"/>
      <c r="Y23" s="816"/>
      <c r="Z23" s="815">
        <v>44.145000000000003</v>
      </c>
      <c r="AA23" s="816">
        <v>7.42</v>
      </c>
      <c r="AB23" s="816">
        <v>8.8529999999999998</v>
      </c>
      <c r="AC23" s="816">
        <v>7.7590000000000003</v>
      </c>
      <c r="AD23" s="816">
        <f>AE23-SUM(AA23,AB23,AC23)</f>
        <v>9.985000000000003</v>
      </c>
      <c r="AE23" s="815">
        <v>34.017000000000003</v>
      </c>
      <c r="AF23" s="816">
        <v>7.4429999999999996</v>
      </c>
      <c r="AG23" s="816">
        <v>9.3529999999999998</v>
      </c>
      <c r="AH23" s="816">
        <v>9.2170000000000005</v>
      </c>
      <c r="AI23" s="816">
        <f>AJ23-SUM(AF23,AG23,AH23)</f>
        <v>9.1090000000000018</v>
      </c>
      <c r="AJ23" s="815">
        <v>35.122</v>
      </c>
      <c r="AK23" s="816">
        <v>7.0949999999999998</v>
      </c>
      <c r="AL23" s="816">
        <v>8.2579999999999991</v>
      </c>
      <c r="AM23" s="817">
        <v>7.21</v>
      </c>
      <c r="AN23" s="818">
        <f>AI23*(1+AN12)</f>
        <v>8.3802800000000026</v>
      </c>
      <c r="AO23" s="819">
        <f t="shared" si="46"/>
        <v>30.943280000000001</v>
      </c>
      <c r="AP23" s="818">
        <f t="shared" ref="AP23:AS23" si="51">AK23*(1+AP12)</f>
        <v>7.2014249999999986</v>
      </c>
      <c r="AQ23" s="818">
        <f t="shared" si="51"/>
        <v>8.3405799999999992</v>
      </c>
      <c r="AR23" s="818">
        <f t="shared" si="51"/>
        <v>7.2460499999999994</v>
      </c>
      <c r="AS23" s="818">
        <f t="shared" si="51"/>
        <v>8.4221814000000013</v>
      </c>
      <c r="AT23" s="819">
        <f t="shared" si="47"/>
        <v>31.210236399999999</v>
      </c>
      <c r="AU23" s="819">
        <f>AT23*(1+AU12)</f>
        <v>31.428708054799998</v>
      </c>
      <c r="AV23" s="819">
        <f t="shared" ref="AV23:AW23" si="52">AU23*(1+AV12)</f>
        <v>31.648709011183595</v>
      </c>
      <c r="AW23" s="819">
        <f t="shared" si="52"/>
        <v>31.870249974261878</v>
      </c>
      <c r="AX23" s="793"/>
    </row>
    <row r="24" spans="1:50" s="29" customFormat="1" x14ac:dyDescent="0.45">
      <c r="A24" s="217" t="s">
        <v>410</v>
      </c>
      <c r="B24" s="218"/>
      <c r="C24" s="820"/>
      <c r="D24" s="820"/>
      <c r="E24" s="820"/>
      <c r="F24" s="820"/>
      <c r="G24" s="821"/>
      <c r="H24" s="821"/>
      <c r="I24" s="821"/>
      <c r="J24" s="821"/>
      <c r="K24" s="820"/>
      <c r="L24" s="821"/>
      <c r="M24" s="821"/>
      <c r="N24" s="821"/>
      <c r="O24" s="821"/>
      <c r="P24" s="820"/>
      <c r="Q24" s="821"/>
      <c r="R24" s="821"/>
      <c r="S24" s="821"/>
      <c r="T24" s="821"/>
      <c r="U24" s="820"/>
      <c r="V24" s="821"/>
      <c r="W24" s="821"/>
      <c r="X24" s="821"/>
      <c r="Y24" s="821"/>
      <c r="Z24" s="820">
        <v>17.154</v>
      </c>
      <c r="AA24" s="821">
        <v>4.3239999999999998</v>
      </c>
      <c r="AB24" s="821">
        <v>4.3129999999999997</v>
      </c>
      <c r="AC24" s="821">
        <v>4.9589999999999996</v>
      </c>
      <c r="AD24" s="821">
        <f>AE24-SUM(AA24,AB24,AC24)</f>
        <v>7.1920000000000002</v>
      </c>
      <c r="AE24" s="820">
        <v>20.788</v>
      </c>
      <c r="AF24" s="821">
        <v>5.75</v>
      </c>
      <c r="AG24" s="821">
        <v>4.6509999999999998</v>
      </c>
      <c r="AH24" s="821">
        <v>4.2039999999999997</v>
      </c>
      <c r="AI24" s="821">
        <f>AJ24-SUM(AF24,AG24,AH24)</f>
        <v>5.5249999999999986</v>
      </c>
      <c r="AJ24" s="820">
        <v>20.13</v>
      </c>
      <c r="AK24" s="821">
        <v>5.319</v>
      </c>
      <c r="AL24" s="821">
        <v>5.4089999999999998</v>
      </c>
      <c r="AM24" s="822">
        <v>5.7430000000000003</v>
      </c>
      <c r="AN24" s="821">
        <f>AI24*(1+AN13)</f>
        <v>6.0774999999999988</v>
      </c>
      <c r="AO24" s="820">
        <f t="shared" si="46"/>
        <v>22.548499999999997</v>
      </c>
      <c r="AP24" s="821">
        <f t="shared" ref="AP24:AS24" si="53">AK24*(1+AP13)</f>
        <v>5.4785700000000004</v>
      </c>
      <c r="AQ24" s="821">
        <f t="shared" si="53"/>
        <v>5.5442249999999991</v>
      </c>
      <c r="AR24" s="821">
        <f t="shared" si="53"/>
        <v>5.8578600000000005</v>
      </c>
      <c r="AS24" s="821">
        <f t="shared" si="53"/>
        <v>6.1382749999999993</v>
      </c>
      <c r="AT24" s="820">
        <f t="shared" si="47"/>
        <v>23.018929999999997</v>
      </c>
      <c r="AU24" s="820">
        <f>AT24*(1+AU13)</f>
        <v>23.364213949999996</v>
      </c>
      <c r="AV24" s="820">
        <f t="shared" ref="AV24:AW24" si="54">AU24*(1+AV13)</f>
        <v>23.714677159249995</v>
      </c>
      <c r="AW24" s="820">
        <f t="shared" si="54"/>
        <v>24.070397316638743</v>
      </c>
      <c r="AX24" s="793"/>
    </row>
    <row r="25" spans="1:50" s="29" customFormat="1" x14ac:dyDescent="0.45">
      <c r="A25" s="264" t="s">
        <v>411</v>
      </c>
      <c r="B25" s="496"/>
      <c r="C25" s="826"/>
      <c r="D25" s="826"/>
      <c r="E25" s="826"/>
      <c r="F25" s="826"/>
      <c r="G25" s="827"/>
      <c r="H25" s="827"/>
      <c r="I25" s="827"/>
      <c r="J25" s="827"/>
      <c r="K25" s="826"/>
      <c r="L25" s="827"/>
      <c r="M25" s="827"/>
      <c r="N25" s="827"/>
      <c r="O25" s="827"/>
      <c r="P25" s="826"/>
      <c r="Q25" s="827"/>
      <c r="R25" s="827"/>
      <c r="S25" s="827"/>
      <c r="T25" s="827"/>
      <c r="U25" s="826"/>
      <c r="V25" s="827"/>
      <c r="W25" s="827"/>
      <c r="X25" s="827"/>
      <c r="Y25" s="827"/>
      <c r="Z25" s="826">
        <f t="shared" ref="Z25:AM25" si="55">SUM(Z23:Z24)</f>
        <v>61.299000000000007</v>
      </c>
      <c r="AA25" s="827">
        <f t="shared" si="55"/>
        <v>11.744</v>
      </c>
      <c r="AB25" s="827">
        <f t="shared" si="55"/>
        <v>13.166</v>
      </c>
      <c r="AC25" s="827">
        <f t="shared" si="55"/>
        <v>12.718</v>
      </c>
      <c r="AD25" s="827">
        <f t="shared" si="55"/>
        <v>17.177000000000003</v>
      </c>
      <c r="AE25" s="826">
        <f t="shared" si="55"/>
        <v>54.805000000000007</v>
      </c>
      <c r="AF25" s="827">
        <f t="shared" si="55"/>
        <v>13.193</v>
      </c>
      <c r="AG25" s="827">
        <f t="shared" si="55"/>
        <v>14.004</v>
      </c>
      <c r="AH25" s="827">
        <f t="shared" si="55"/>
        <v>13.420999999999999</v>
      </c>
      <c r="AI25" s="827">
        <f t="shared" si="55"/>
        <v>14.634</v>
      </c>
      <c r="AJ25" s="826">
        <f t="shared" si="55"/>
        <v>55.251999999999995</v>
      </c>
      <c r="AK25" s="827">
        <f t="shared" si="55"/>
        <v>12.414</v>
      </c>
      <c r="AL25" s="827">
        <f t="shared" si="55"/>
        <v>13.666999999999998</v>
      </c>
      <c r="AM25" s="828">
        <f t="shared" si="55"/>
        <v>12.952999999999999</v>
      </c>
      <c r="AN25" s="827">
        <f t="shared" ref="AN25:AW25" si="56">SUM(AN23:AN24)</f>
        <v>14.457780000000001</v>
      </c>
      <c r="AO25" s="829">
        <f t="shared" si="56"/>
        <v>53.491779999999999</v>
      </c>
      <c r="AP25" s="827">
        <f t="shared" si="56"/>
        <v>12.679994999999998</v>
      </c>
      <c r="AQ25" s="827">
        <f t="shared" si="56"/>
        <v>13.884804999999998</v>
      </c>
      <c r="AR25" s="827">
        <f t="shared" si="56"/>
        <v>13.103909999999999</v>
      </c>
      <c r="AS25" s="827">
        <f t="shared" si="56"/>
        <v>14.5604564</v>
      </c>
      <c r="AT25" s="829">
        <f t="shared" ref="AT25" si="57">SUM(AT23:AT24)</f>
        <v>54.229166399999997</v>
      </c>
      <c r="AU25" s="826">
        <f t="shared" si="56"/>
        <v>54.792922004799991</v>
      </c>
      <c r="AV25" s="826">
        <f t="shared" si="56"/>
        <v>55.363386170433586</v>
      </c>
      <c r="AW25" s="826">
        <f t="shared" si="56"/>
        <v>55.940647290900621</v>
      </c>
      <c r="AX25" s="793"/>
    </row>
    <row r="26" spans="1:50" s="7" customFormat="1" x14ac:dyDescent="0.45">
      <c r="A26" s="104" t="s">
        <v>412</v>
      </c>
      <c r="B26" s="497"/>
      <c r="C26" s="830"/>
      <c r="D26" s="830"/>
      <c r="E26" s="830"/>
      <c r="F26" s="830"/>
      <c r="G26" s="831"/>
      <c r="H26" s="831"/>
      <c r="I26" s="831"/>
      <c r="J26" s="831"/>
      <c r="K26" s="830"/>
      <c r="L26" s="831"/>
      <c r="M26" s="831"/>
      <c r="N26" s="831"/>
      <c r="O26" s="831"/>
      <c r="P26" s="830"/>
      <c r="Q26" s="831"/>
      <c r="R26" s="831"/>
      <c r="S26" s="831"/>
      <c r="T26" s="831"/>
      <c r="U26" s="830"/>
      <c r="V26" s="831"/>
      <c r="W26" s="831"/>
      <c r="X26" s="831"/>
      <c r="Y26" s="831"/>
      <c r="Z26" s="830">
        <f t="shared" ref="Z26:AM26" si="58">Z22+Z25</f>
        <v>509.62399999999991</v>
      </c>
      <c r="AA26" s="831">
        <f t="shared" si="58"/>
        <v>130.922</v>
      </c>
      <c r="AB26" s="831">
        <f t="shared" si="58"/>
        <v>132.607</v>
      </c>
      <c r="AC26" s="831">
        <f t="shared" si="58"/>
        <v>131.71499999999997</v>
      </c>
      <c r="AD26" s="831">
        <f t="shared" si="58"/>
        <v>135.77500000000003</v>
      </c>
      <c r="AE26" s="830">
        <f t="shared" si="58"/>
        <v>531.01900000000001</v>
      </c>
      <c r="AF26" s="831">
        <f t="shared" si="58"/>
        <v>133.19999999999999</v>
      </c>
      <c r="AG26" s="831">
        <f t="shared" si="58"/>
        <v>130.321</v>
      </c>
      <c r="AH26" s="831">
        <f t="shared" si="58"/>
        <v>130.86699999999999</v>
      </c>
      <c r="AI26" s="831">
        <f t="shared" si="58"/>
        <v>134.78500000000003</v>
      </c>
      <c r="AJ26" s="830">
        <f t="shared" si="58"/>
        <v>529.173</v>
      </c>
      <c r="AK26" s="831">
        <f t="shared" si="58"/>
        <v>131.86099999999999</v>
      </c>
      <c r="AL26" s="831">
        <f t="shared" si="58"/>
        <v>134.256</v>
      </c>
      <c r="AM26" s="832">
        <f t="shared" si="58"/>
        <v>137.73999999999998</v>
      </c>
      <c r="AN26" s="831">
        <f t="shared" ref="AN26:AW26" si="59">AN22+AN25</f>
        <v>138.65279000000001</v>
      </c>
      <c r="AO26" s="833">
        <f t="shared" si="59"/>
        <v>542.50978999999995</v>
      </c>
      <c r="AP26" s="831">
        <f t="shared" si="59"/>
        <v>136.938185</v>
      </c>
      <c r="AQ26" s="831">
        <f t="shared" si="59"/>
        <v>138.77625999999998</v>
      </c>
      <c r="AR26" s="831">
        <f t="shared" si="59"/>
        <v>141.78268000000003</v>
      </c>
      <c r="AS26" s="831">
        <f t="shared" si="59"/>
        <v>142.55954180000001</v>
      </c>
      <c r="AT26" s="833">
        <f t="shared" ref="AT26" si="60">AT22+AT25</f>
        <v>560.05666680000002</v>
      </c>
      <c r="AU26" s="830">
        <f t="shared" si="59"/>
        <v>576.83351700280002</v>
      </c>
      <c r="AV26" s="830">
        <f t="shared" si="59"/>
        <v>594.49886466333362</v>
      </c>
      <c r="AW26" s="830">
        <f t="shared" si="59"/>
        <v>613.10726911612983</v>
      </c>
      <c r="AX26" s="795"/>
    </row>
    <row r="27" spans="1:50" s="33" customFormat="1" ht="6.75" customHeight="1" x14ac:dyDescent="0.45">
      <c r="A27" s="187"/>
      <c r="B27" s="52"/>
      <c r="C27" s="405"/>
      <c r="D27" s="405"/>
      <c r="E27" s="405"/>
      <c r="F27" s="405"/>
      <c r="G27" s="371"/>
      <c r="H27" s="371"/>
      <c r="I27" s="371"/>
      <c r="J27" s="371"/>
      <c r="K27" s="405"/>
      <c r="L27" s="371"/>
      <c r="M27" s="371"/>
      <c r="N27" s="371"/>
      <c r="O27" s="371"/>
      <c r="P27" s="405"/>
      <c r="Q27" s="371"/>
      <c r="R27" s="371"/>
      <c r="S27" s="371"/>
      <c r="T27" s="371"/>
      <c r="U27" s="405"/>
      <c r="V27" s="371"/>
      <c r="W27" s="371"/>
      <c r="X27" s="371"/>
      <c r="Y27" s="371"/>
      <c r="Z27" s="405"/>
      <c r="AA27" s="371"/>
      <c r="AB27" s="371"/>
      <c r="AC27" s="371"/>
      <c r="AD27" s="371"/>
      <c r="AE27" s="405"/>
      <c r="AF27" s="371"/>
      <c r="AG27" s="371"/>
      <c r="AH27" s="371"/>
      <c r="AI27" s="371"/>
      <c r="AJ27" s="405"/>
      <c r="AK27" s="371"/>
      <c r="AL27" s="371"/>
      <c r="AM27" s="565"/>
      <c r="AN27" s="46"/>
      <c r="AO27" s="4"/>
      <c r="AP27" s="46"/>
      <c r="AQ27" s="46"/>
      <c r="AR27" s="46"/>
      <c r="AS27" s="46"/>
      <c r="AT27" s="4"/>
      <c r="AU27" s="4"/>
      <c r="AV27" s="4"/>
      <c r="AW27" s="4"/>
      <c r="AX27" s="126"/>
    </row>
    <row r="28" spans="1:50" s="51" customFormat="1" x14ac:dyDescent="0.45">
      <c r="A28" s="66" t="s">
        <v>402</v>
      </c>
      <c r="B28" s="59"/>
      <c r="C28" s="403">
        <f>(C81+C83+C84+C85)/(C82+C87)</f>
        <v>0.6006216352365058</v>
      </c>
      <c r="D28" s="403">
        <f t="shared" ref="D28:Y28" si="61">(D81+D83+D84+D85)/(D82+D87)</f>
        <v>0.60595195309073102</v>
      </c>
      <c r="E28" s="403">
        <f t="shared" si="61"/>
        <v>0.60500889876347885</v>
      </c>
      <c r="F28" s="403">
        <f t="shared" si="61"/>
        <v>0.67511391068359461</v>
      </c>
      <c r="G28" s="386">
        <f t="shared" si="61"/>
        <v>0.71113586356124869</v>
      </c>
      <c r="H28" s="386">
        <f t="shared" si="61"/>
        <v>0.72140149980644752</v>
      </c>
      <c r="I28" s="386">
        <f t="shared" si="61"/>
        <v>0.71310195307476065</v>
      </c>
      <c r="J28" s="386">
        <f t="shared" si="61"/>
        <v>0.69990364834249108</v>
      </c>
      <c r="K28" s="403">
        <f t="shared" si="61"/>
        <v>0.71127158075593644</v>
      </c>
      <c r="L28" s="386">
        <f t="shared" si="61"/>
        <v>0.72549917722700041</v>
      </c>
      <c r="M28" s="386">
        <f t="shared" si="61"/>
        <v>0.73150291655257682</v>
      </c>
      <c r="N28" s="386">
        <f t="shared" si="61"/>
        <v>0.7644542390458906</v>
      </c>
      <c r="O28" s="386">
        <f t="shared" si="61"/>
        <v>0.75055301118484585</v>
      </c>
      <c r="P28" s="403">
        <f t="shared" si="61"/>
        <v>0.74334438268142189</v>
      </c>
      <c r="Q28" s="386">
        <f t="shared" si="61"/>
        <v>0.78902950132608607</v>
      </c>
      <c r="R28" s="386">
        <f t="shared" si="61"/>
        <v>0.76563584299148923</v>
      </c>
      <c r="S28" s="386">
        <f t="shared" si="61"/>
        <v>0.79859354706405072</v>
      </c>
      <c r="T28" s="386">
        <f t="shared" si="61"/>
        <v>0.78267089874288565</v>
      </c>
      <c r="U28" s="403">
        <f t="shared" si="61"/>
        <v>0.78369548222556595</v>
      </c>
      <c r="V28" s="386">
        <f t="shared" si="61"/>
        <v>0.82696289022544089</v>
      </c>
      <c r="W28" s="386">
        <f t="shared" si="61"/>
        <v>0.81006715631536741</v>
      </c>
      <c r="X28" s="386">
        <f t="shared" si="61"/>
        <v>0.81574748959864862</v>
      </c>
      <c r="Y28" s="386">
        <f t="shared" si="61"/>
        <v>0.82317483098538358</v>
      </c>
      <c r="Z28" s="403">
        <f t="shared" ref="Z28:AL28" si="62">Z22/Z26</f>
        <v>0.87971720327143155</v>
      </c>
      <c r="AA28" s="386">
        <f t="shared" si="62"/>
        <v>0.91029773452895613</v>
      </c>
      <c r="AB28" s="386">
        <f t="shared" si="62"/>
        <v>0.90071414027917085</v>
      </c>
      <c r="AC28" s="386">
        <f t="shared" si="62"/>
        <v>0.90344303989674679</v>
      </c>
      <c r="AD28" s="386">
        <f t="shared" si="62"/>
        <v>0.87348922850303812</v>
      </c>
      <c r="AE28" s="403">
        <f t="shared" si="62"/>
        <v>0.89679277012686942</v>
      </c>
      <c r="AF28" s="386">
        <f t="shared" si="62"/>
        <v>0.90095345345345346</v>
      </c>
      <c r="AG28" s="386">
        <f t="shared" si="62"/>
        <v>0.892542261032374</v>
      </c>
      <c r="AH28" s="386">
        <f t="shared" si="62"/>
        <v>0.89744549810112562</v>
      </c>
      <c r="AI28" s="386">
        <f t="shared" si="62"/>
        <v>0.89142708758392986</v>
      </c>
      <c r="AJ28" s="403">
        <f t="shared" si="62"/>
        <v>0.89558802130872139</v>
      </c>
      <c r="AK28" s="386">
        <f t="shared" si="62"/>
        <v>0.90585540834666811</v>
      </c>
      <c r="AL28" s="386">
        <f t="shared" si="62"/>
        <v>0.89820194255750219</v>
      </c>
      <c r="AM28" s="572">
        <f>AM22/AM26</f>
        <v>0.9059605052998404</v>
      </c>
      <c r="AN28" s="45">
        <f t="shared" ref="AN28:AW28" si="63">AN22/AN26</f>
        <v>0.89572672861469282</v>
      </c>
      <c r="AO28" s="28">
        <f t="shared" si="63"/>
        <v>0.9013994199072427</v>
      </c>
      <c r="AP28" s="45">
        <f t="shared" si="63"/>
        <v>0.90740351202989866</v>
      </c>
      <c r="AQ28" s="45">
        <f t="shared" si="63"/>
        <v>0.89994826925008642</v>
      </c>
      <c r="AR28" s="45">
        <f t="shared" si="63"/>
        <v>0.9075774981824295</v>
      </c>
      <c r="AS28" s="45">
        <f t="shared" si="63"/>
        <v>0.89786403480149235</v>
      </c>
      <c r="AT28" s="28">
        <f t="shared" si="63"/>
        <v>0.90317200095152939</v>
      </c>
      <c r="AU28" s="28">
        <f t="shared" si="63"/>
        <v>0.90501085601006437</v>
      </c>
      <c r="AV28" s="28">
        <f t="shared" si="63"/>
        <v>0.90687385719098712</v>
      </c>
      <c r="AW28" s="28">
        <f t="shared" si="63"/>
        <v>0.9087587929408405</v>
      </c>
      <c r="AX28" s="58"/>
    </row>
    <row r="29" spans="1:50" s="7" customFormat="1" x14ac:dyDescent="0.45">
      <c r="A29" s="54"/>
      <c r="B29" s="727"/>
      <c r="C29" s="834"/>
      <c r="D29" s="834"/>
      <c r="E29" s="834"/>
      <c r="F29" s="834"/>
      <c r="G29" s="835"/>
      <c r="H29" s="835"/>
      <c r="I29" s="835"/>
      <c r="J29" s="835"/>
      <c r="K29" s="834"/>
      <c r="L29" s="835"/>
      <c r="M29" s="835"/>
      <c r="N29" s="835"/>
      <c r="O29" s="835"/>
      <c r="P29" s="834"/>
      <c r="Q29" s="835"/>
      <c r="R29" s="835"/>
      <c r="S29" s="835"/>
      <c r="T29" s="835"/>
      <c r="U29" s="834"/>
      <c r="V29" s="835"/>
      <c r="W29" s="835"/>
      <c r="X29" s="835"/>
      <c r="Y29" s="835"/>
      <c r="Z29" s="834"/>
      <c r="AA29" s="835"/>
      <c r="AB29" s="835"/>
      <c r="AC29" s="835"/>
      <c r="AD29" s="835"/>
      <c r="AE29" s="834"/>
      <c r="AF29" s="835"/>
      <c r="AG29" s="835"/>
      <c r="AH29" s="835"/>
      <c r="AI29" s="835"/>
      <c r="AJ29" s="834"/>
      <c r="AK29" s="835"/>
      <c r="AL29" s="835"/>
      <c r="AM29" s="836"/>
      <c r="AN29" s="837"/>
      <c r="AO29" s="838"/>
      <c r="AP29" s="837"/>
      <c r="AQ29" s="837"/>
      <c r="AR29" s="837"/>
      <c r="AS29" s="837"/>
      <c r="AT29" s="838"/>
      <c r="AU29" s="838"/>
      <c r="AV29" s="838"/>
      <c r="AW29" s="838"/>
      <c r="AX29" s="795"/>
    </row>
    <row r="30" spans="1:50" s="7" customFormat="1" x14ac:dyDescent="0.45">
      <c r="A30" s="790" t="s">
        <v>542</v>
      </c>
      <c r="B30" s="790"/>
      <c r="C30" s="812"/>
      <c r="D30" s="812"/>
      <c r="E30" s="812"/>
      <c r="F30" s="812"/>
      <c r="G30" s="812"/>
      <c r="H30" s="812"/>
      <c r="I30" s="812"/>
      <c r="J30" s="812"/>
      <c r="K30" s="812"/>
      <c r="L30" s="812"/>
      <c r="M30" s="812"/>
      <c r="N30" s="812"/>
      <c r="O30" s="812"/>
      <c r="P30" s="812"/>
      <c r="Q30" s="812"/>
      <c r="R30" s="812"/>
      <c r="S30" s="812"/>
      <c r="T30" s="812"/>
      <c r="U30" s="812"/>
      <c r="V30" s="812"/>
      <c r="W30" s="812"/>
      <c r="X30" s="812"/>
      <c r="Y30" s="812"/>
      <c r="Z30" s="812"/>
      <c r="AA30" s="812"/>
      <c r="AB30" s="812"/>
      <c r="AC30" s="812"/>
      <c r="AD30" s="812"/>
      <c r="AE30" s="812"/>
      <c r="AF30" s="812"/>
      <c r="AG30" s="812"/>
      <c r="AH30" s="812"/>
      <c r="AI30" s="812"/>
      <c r="AJ30" s="812"/>
      <c r="AK30" s="812"/>
      <c r="AL30" s="812"/>
      <c r="AM30" s="813"/>
      <c r="AN30" s="814"/>
      <c r="AO30" s="814"/>
      <c r="AP30" s="814"/>
      <c r="AQ30" s="814"/>
      <c r="AR30" s="814"/>
      <c r="AS30" s="814"/>
      <c r="AT30" s="814"/>
      <c r="AU30" s="814"/>
      <c r="AV30" s="814"/>
      <c r="AW30" s="814"/>
      <c r="AX30" s="795"/>
    </row>
    <row r="31" spans="1:50" s="29" customFormat="1" x14ac:dyDescent="0.45">
      <c r="A31" s="61" t="s">
        <v>534</v>
      </c>
      <c r="B31" s="216"/>
      <c r="C31" s="815"/>
      <c r="D31" s="815"/>
      <c r="E31" s="815"/>
      <c r="F31" s="815"/>
      <c r="G31" s="816"/>
      <c r="H31" s="816"/>
      <c r="I31" s="816"/>
      <c r="J31" s="816"/>
      <c r="K31" s="815"/>
      <c r="L31" s="816"/>
      <c r="M31" s="816"/>
      <c r="N31" s="816"/>
      <c r="O31" s="816"/>
      <c r="P31" s="815"/>
      <c r="Q31" s="816"/>
      <c r="R31" s="816"/>
      <c r="S31" s="816"/>
      <c r="T31" s="816"/>
      <c r="U31" s="815"/>
      <c r="V31" s="816"/>
      <c r="W31" s="816"/>
      <c r="X31" s="816"/>
      <c r="Y31" s="816"/>
      <c r="Z31" s="815">
        <v>179.245</v>
      </c>
      <c r="AA31" s="816">
        <f>AA246</f>
        <v>48.457999999999998</v>
      </c>
      <c r="AB31" s="816">
        <f t="shared" ref="AB31:AM31" si="64">AB246</f>
        <v>47.698999999999998</v>
      </c>
      <c r="AC31" s="816">
        <f t="shared" si="64"/>
        <v>49.347000000000001</v>
      </c>
      <c r="AD31" s="816">
        <f t="shared" si="64"/>
        <v>48.856000000000002</v>
      </c>
      <c r="AE31" s="815">
        <f t="shared" si="64"/>
        <v>194.36</v>
      </c>
      <c r="AF31" s="816">
        <f t="shared" si="64"/>
        <v>48.152999999999999</v>
      </c>
      <c r="AG31" s="816">
        <f t="shared" si="64"/>
        <v>47.171999999999997</v>
      </c>
      <c r="AH31" s="816">
        <f t="shared" si="64"/>
        <v>47.997</v>
      </c>
      <c r="AI31" s="816">
        <f t="shared" si="64"/>
        <v>48.173999999999999</v>
      </c>
      <c r="AJ31" s="815">
        <f t="shared" si="64"/>
        <v>191.49600000000001</v>
      </c>
      <c r="AK31" s="816">
        <f t="shared" si="64"/>
        <v>50.54</v>
      </c>
      <c r="AL31" s="816">
        <f t="shared" si="64"/>
        <v>50.328000000000003</v>
      </c>
      <c r="AM31" s="817">
        <f t="shared" si="64"/>
        <v>52.197000000000003</v>
      </c>
      <c r="AN31" s="818">
        <f>AN22*AN36</f>
        <v>52.161904200000002</v>
      </c>
      <c r="AO31" s="819">
        <f t="shared" ref="AO31:AO33" si="65">SUM(AK31,AL31,AM31,AN31)</f>
        <v>205.22690420000001</v>
      </c>
      <c r="AP31" s="818">
        <f t="shared" ref="AP31:AS31" si="66">AP22*AP36</f>
        <v>52.312697989999997</v>
      </c>
      <c r="AQ31" s="818">
        <f t="shared" si="66"/>
        <v>52.454411099999987</v>
      </c>
      <c r="AR31" s="818">
        <f t="shared" si="66"/>
        <v>53.916404630000002</v>
      </c>
      <c r="AS31" s="818">
        <f t="shared" si="66"/>
        <v>53.247619526400001</v>
      </c>
      <c r="AT31" s="819">
        <f t="shared" ref="AT31:AT33" si="67">SUM(AP31,AQ31,AR31,AS31)</f>
        <v>211.93113324640001</v>
      </c>
      <c r="AU31" s="819">
        <f t="shared" ref="AU31:AW31" si="68">AU22*AU36</f>
        <v>219.77909049415803</v>
      </c>
      <c r="AV31" s="819">
        <f t="shared" si="68"/>
        <v>226.97603644551089</v>
      </c>
      <c r="AW31" s="819">
        <f t="shared" si="68"/>
        <v>234.56714778842147</v>
      </c>
      <c r="AX31" s="793"/>
    </row>
    <row r="32" spans="1:50" s="29" customFormat="1" x14ac:dyDescent="0.45">
      <c r="A32" s="61" t="s">
        <v>533</v>
      </c>
      <c r="B32" s="216"/>
      <c r="C32" s="815"/>
      <c r="D32" s="815"/>
      <c r="E32" s="815"/>
      <c r="F32" s="815"/>
      <c r="G32" s="816"/>
      <c r="H32" s="816"/>
      <c r="I32" s="816"/>
      <c r="J32" s="816"/>
      <c r="K32" s="815"/>
      <c r="L32" s="816"/>
      <c r="M32" s="816"/>
      <c r="N32" s="816"/>
      <c r="O32" s="816"/>
      <c r="P32" s="815"/>
      <c r="Q32" s="816"/>
      <c r="R32" s="816"/>
      <c r="S32" s="816"/>
      <c r="T32" s="816"/>
      <c r="U32" s="815"/>
      <c r="V32" s="816"/>
      <c r="W32" s="816"/>
      <c r="X32" s="816"/>
      <c r="Y32" s="816"/>
      <c r="Z32" s="815">
        <v>26.109000000000002</v>
      </c>
      <c r="AA32" s="816">
        <f>AA247</f>
        <v>6.04</v>
      </c>
      <c r="AB32" s="816">
        <f t="shared" ref="AB32:AM32" si="69">AB247</f>
        <v>5.9470000000000001</v>
      </c>
      <c r="AC32" s="816">
        <f t="shared" si="69"/>
        <v>6.3230000000000004</v>
      </c>
      <c r="AD32" s="816">
        <f t="shared" si="69"/>
        <v>6.7750000000000004</v>
      </c>
      <c r="AE32" s="815">
        <f t="shared" si="69"/>
        <v>25.085000000000001</v>
      </c>
      <c r="AF32" s="816">
        <f t="shared" si="69"/>
        <v>7.1539999999999999</v>
      </c>
      <c r="AG32" s="816">
        <f t="shared" si="69"/>
        <v>7.0220000000000002</v>
      </c>
      <c r="AH32" s="816">
        <f t="shared" si="69"/>
        <v>6.5759999999999996</v>
      </c>
      <c r="AI32" s="816">
        <f t="shared" si="69"/>
        <v>5.9589999999999996</v>
      </c>
      <c r="AJ32" s="815">
        <f t="shared" si="69"/>
        <v>26.710999999999999</v>
      </c>
      <c r="AK32" s="816">
        <f t="shared" si="69"/>
        <v>6.2779999999999996</v>
      </c>
      <c r="AL32" s="816">
        <f t="shared" si="69"/>
        <v>6.5629999999999997</v>
      </c>
      <c r="AM32" s="817">
        <f t="shared" si="69"/>
        <v>6.9749999999999996</v>
      </c>
      <c r="AN32" s="818">
        <f>AN25*AN37</f>
        <v>7.3445522400000005</v>
      </c>
      <c r="AO32" s="819">
        <f t="shared" si="65"/>
        <v>27.160552240000001</v>
      </c>
      <c r="AP32" s="818">
        <f t="shared" ref="AP32:AS32" si="70">AP25*AP37</f>
        <v>6.4541174549999996</v>
      </c>
      <c r="AQ32" s="818">
        <f t="shared" si="70"/>
        <v>7.0534809399999991</v>
      </c>
      <c r="AR32" s="818">
        <f t="shared" si="70"/>
        <v>6.6436823699999996</v>
      </c>
      <c r="AS32" s="818">
        <f t="shared" si="70"/>
        <v>7.3384700255999995</v>
      </c>
      <c r="AT32" s="819">
        <f t="shared" si="67"/>
        <v>27.489750790599999</v>
      </c>
      <c r="AU32" s="819">
        <f t="shared" ref="AU32:AW32" si="71">AU25*AU37</f>
        <v>27.889597300443196</v>
      </c>
      <c r="AV32" s="819">
        <f t="shared" si="71"/>
        <v>28.179963560750696</v>
      </c>
      <c r="AW32" s="819">
        <f t="shared" si="71"/>
        <v>28.473789471068418</v>
      </c>
      <c r="AX32" s="793"/>
    </row>
    <row r="33" spans="1:50" s="29" customFormat="1" x14ac:dyDescent="0.45">
      <c r="A33" s="61" t="s">
        <v>531</v>
      </c>
      <c r="B33" s="216"/>
      <c r="C33" s="815"/>
      <c r="D33" s="815"/>
      <c r="E33" s="815"/>
      <c r="F33" s="815"/>
      <c r="G33" s="816"/>
      <c r="H33" s="816"/>
      <c r="I33" s="816"/>
      <c r="J33" s="816"/>
      <c r="K33" s="815"/>
      <c r="L33" s="816"/>
      <c r="M33" s="816"/>
      <c r="N33" s="816"/>
      <c r="O33" s="816"/>
      <c r="P33" s="815"/>
      <c r="Q33" s="816"/>
      <c r="R33" s="816"/>
      <c r="S33" s="816"/>
      <c r="T33" s="816"/>
      <c r="U33" s="815"/>
      <c r="V33" s="816"/>
      <c r="W33" s="816"/>
      <c r="X33" s="816"/>
      <c r="Y33" s="816"/>
      <c r="Z33" s="815">
        <v>17.78</v>
      </c>
      <c r="AA33" s="816">
        <f>AA248</f>
        <v>4.6710000000000003</v>
      </c>
      <c r="AB33" s="816">
        <f t="shared" ref="AB33:AM33" si="72">AB248</f>
        <v>5.109</v>
      </c>
      <c r="AC33" s="816">
        <f t="shared" si="72"/>
        <v>5.9640000000000004</v>
      </c>
      <c r="AD33" s="816">
        <f t="shared" si="72"/>
        <v>6.3460000000000001</v>
      </c>
      <c r="AE33" s="815">
        <f t="shared" si="72"/>
        <v>22.09</v>
      </c>
      <c r="AF33" s="816">
        <f t="shared" si="72"/>
        <v>6.5439999999999996</v>
      </c>
      <c r="AG33" s="816">
        <f t="shared" si="72"/>
        <v>6.9240000000000004</v>
      </c>
      <c r="AH33" s="816">
        <f t="shared" si="72"/>
        <v>7.0979999999999999</v>
      </c>
      <c r="AI33" s="816">
        <f t="shared" si="72"/>
        <v>7.9240000000000004</v>
      </c>
      <c r="AJ33" s="815">
        <f t="shared" si="72"/>
        <v>28.49</v>
      </c>
      <c r="AK33" s="816">
        <f t="shared" si="72"/>
        <v>8.4130000000000003</v>
      </c>
      <c r="AL33" s="816">
        <f t="shared" si="72"/>
        <v>8.843</v>
      </c>
      <c r="AM33" s="817">
        <f t="shared" si="72"/>
        <v>8.9629999999999992</v>
      </c>
      <c r="AN33" s="818">
        <f>AN296+AN299</f>
        <v>8.6999999999999993</v>
      </c>
      <c r="AO33" s="819">
        <f t="shared" si="65"/>
        <v>34.918999999999997</v>
      </c>
      <c r="AP33" s="818">
        <f t="shared" ref="AP33:AS33" si="73">AP296+AP299</f>
        <v>8.6999999999999993</v>
      </c>
      <c r="AQ33" s="818">
        <f t="shared" si="73"/>
        <v>8.6999999999999993</v>
      </c>
      <c r="AR33" s="818">
        <f t="shared" si="73"/>
        <v>8.6999999999999993</v>
      </c>
      <c r="AS33" s="818">
        <f t="shared" si="73"/>
        <v>8.6999999999999993</v>
      </c>
      <c r="AT33" s="819">
        <f t="shared" si="67"/>
        <v>34.799999999999997</v>
      </c>
      <c r="AU33" s="819">
        <f t="shared" ref="AU33:AW33" si="74">AU296+AU299</f>
        <v>34.799999999999997</v>
      </c>
      <c r="AV33" s="819">
        <f t="shared" si="74"/>
        <v>34.799999999999997</v>
      </c>
      <c r="AW33" s="819">
        <f t="shared" si="74"/>
        <v>34.799999999999997</v>
      </c>
      <c r="AX33" s="793"/>
    </row>
    <row r="34" spans="1:50" s="7" customFormat="1" x14ac:dyDescent="0.45">
      <c r="A34" s="53" t="s">
        <v>532</v>
      </c>
      <c r="B34" s="652"/>
      <c r="C34" s="833"/>
      <c r="D34" s="833"/>
      <c r="E34" s="833"/>
      <c r="F34" s="833"/>
      <c r="G34" s="839"/>
      <c r="H34" s="839"/>
      <c r="I34" s="839"/>
      <c r="J34" s="839"/>
      <c r="K34" s="833"/>
      <c r="L34" s="839"/>
      <c r="M34" s="839"/>
      <c r="N34" s="839"/>
      <c r="O34" s="839"/>
      <c r="P34" s="833"/>
      <c r="Q34" s="839"/>
      <c r="R34" s="839"/>
      <c r="S34" s="839"/>
      <c r="T34" s="839"/>
      <c r="U34" s="833"/>
      <c r="V34" s="839"/>
      <c r="W34" s="839"/>
      <c r="X34" s="839"/>
      <c r="Y34" s="839"/>
      <c r="Z34" s="833">
        <f t="shared" ref="Z34" si="75">SUM(Z31:Z33)</f>
        <v>223.13400000000001</v>
      </c>
      <c r="AA34" s="839">
        <f>SUM(AA31:AA33)</f>
        <v>59.168999999999997</v>
      </c>
      <c r="AB34" s="839">
        <f t="shared" ref="AB34:AW34" si="76">SUM(AB31:AB33)</f>
        <v>58.755000000000003</v>
      </c>
      <c r="AC34" s="839">
        <f t="shared" si="76"/>
        <v>61.634</v>
      </c>
      <c r="AD34" s="839">
        <f t="shared" si="76"/>
        <v>61.977000000000004</v>
      </c>
      <c r="AE34" s="833">
        <f t="shared" si="76"/>
        <v>241.53500000000003</v>
      </c>
      <c r="AF34" s="839">
        <f t="shared" si="76"/>
        <v>61.850999999999999</v>
      </c>
      <c r="AG34" s="839">
        <f t="shared" si="76"/>
        <v>61.117999999999995</v>
      </c>
      <c r="AH34" s="839">
        <f t="shared" si="76"/>
        <v>61.670999999999999</v>
      </c>
      <c r="AI34" s="839">
        <f t="shared" si="76"/>
        <v>62.056999999999995</v>
      </c>
      <c r="AJ34" s="833">
        <f t="shared" si="76"/>
        <v>246.697</v>
      </c>
      <c r="AK34" s="839">
        <f t="shared" si="76"/>
        <v>65.230999999999995</v>
      </c>
      <c r="AL34" s="839">
        <f t="shared" si="76"/>
        <v>65.734000000000009</v>
      </c>
      <c r="AM34" s="832">
        <f t="shared" si="76"/>
        <v>68.135000000000005</v>
      </c>
      <c r="AN34" s="839">
        <f t="shared" si="76"/>
        <v>68.206456439999997</v>
      </c>
      <c r="AO34" s="833">
        <f t="shared" si="76"/>
        <v>267.30645643999998</v>
      </c>
      <c r="AP34" s="839">
        <f t="shared" si="76"/>
        <v>67.466815444999995</v>
      </c>
      <c r="AQ34" s="839">
        <f t="shared" si="76"/>
        <v>68.20789203999999</v>
      </c>
      <c r="AR34" s="839">
        <f t="shared" si="76"/>
        <v>69.260086999999999</v>
      </c>
      <c r="AS34" s="839">
        <f t="shared" si="76"/>
        <v>69.286089552000007</v>
      </c>
      <c r="AT34" s="833">
        <f t="shared" si="76"/>
        <v>274.22088403700002</v>
      </c>
      <c r="AU34" s="833">
        <f t="shared" si="76"/>
        <v>282.46868779460124</v>
      </c>
      <c r="AV34" s="833">
        <f t="shared" si="76"/>
        <v>289.9560000062616</v>
      </c>
      <c r="AW34" s="833">
        <f t="shared" si="76"/>
        <v>297.84093725948992</v>
      </c>
      <c r="AX34" s="795"/>
    </row>
    <row r="35" spans="1:50" s="33" customFormat="1" ht="6.75" customHeight="1" x14ac:dyDescent="0.45">
      <c r="A35" s="187"/>
      <c r="B35" s="52"/>
      <c r="C35" s="405"/>
      <c r="D35" s="405"/>
      <c r="E35" s="405"/>
      <c r="F35" s="405"/>
      <c r="G35" s="371"/>
      <c r="H35" s="371"/>
      <c r="I35" s="371"/>
      <c r="J35" s="371"/>
      <c r="K35" s="405"/>
      <c r="L35" s="371"/>
      <c r="M35" s="371"/>
      <c r="N35" s="371"/>
      <c r="O35" s="371"/>
      <c r="P35" s="405"/>
      <c r="Q35" s="371"/>
      <c r="R35" s="371"/>
      <c r="S35" s="371"/>
      <c r="T35" s="371"/>
      <c r="U35" s="405"/>
      <c r="V35" s="371"/>
      <c r="W35" s="371"/>
      <c r="X35" s="371"/>
      <c r="Y35" s="371"/>
      <c r="Z35" s="405"/>
      <c r="AA35" s="371"/>
      <c r="AB35" s="371"/>
      <c r="AC35" s="371"/>
      <c r="AD35" s="371"/>
      <c r="AE35" s="405"/>
      <c r="AF35" s="371"/>
      <c r="AG35" s="371"/>
      <c r="AH35" s="371"/>
      <c r="AI35" s="371"/>
      <c r="AJ35" s="405"/>
      <c r="AK35" s="371"/>
      <c r="AL35" s="371"/>
      <c r="AM35" s="565"/>
      <c r="AN35" s="46"/>
      <c r="AO35" s="4"/>
      <c r="AP35" s="46"/>
      <c r="AQ35" s="46"/>
      <c r="AR35" s="46"/>
      <c r="AS35" s="46"/>
      <c r="AT35" s="4"/>
      <c r="AU35" s="4"/>
      <c r="AV35" s="4"/>
      <c r="AW35" s="4"/>
      <c r="AX35" s="126"/>
    </row>
    <row r="36" spans="1:50" s="202" customFormat="1" x14ac:dyDescent="0.45">
      <c r="A36" s="710" t="s">
        <v>535</v>
      </c>
      <c r="B36" s="220"/>
      <c r="C36" s="406"/>
      <c r="D36" s="406"/>
      <c r="E36" s="406"/>
      <c r="F36" s="406"/>
      <c r="G36" s="372"/>
      <c r="H36" s="372"/>
      <c r="I36" s="372"/>
      <c r="J36" s="372"/>
      <c r="K36" s="406"/>
      <c r="L36" s="372"/>
      <c r="M36" s="372"/>
      <c r="N36" s="372"/>
      <c r="O36" s="372"/>
      <c r="P36" s="406"/>
      <c r="Q36" s="372"/>
      <c r="R36" s="372"/>
      <c r="S36" s="372"/>
      <c r="T36" s="372"/>
      <c r="U36" s="406"/>
      <c r="V36" s="372"/>
      <c r="W36" s="372"/>
      <c r="X36" s="372"/>
      <c r="Y36" s="372"/>
      <c r="Z36" s="406">
        <f>Z31/Z22</f>
        <v>0.39981040539786994</v>
      </c>
      <c r="AA36" s="372">
        <f t="shared" ref="AA36:AM36" si="77">AA31/AA22</f>
        <v>0.40660188961049859</v>
      </c>
      <c r="AB36" s="372">
        <f t="shared" si="77"/>
        <v>0.39935198131294947</v>
      </c>
      <c r="AC36" s="372">
        <f t="shared" si="77"/>
        <v>0.41469112666705887</v>
      </c>
      <c r="AD36" s="372">
        <f t="shared" si="77"/>
        <v>0.41194623855376977</v>
      </c>
      <c r="AE36" s="406">
        <f t="shared" si="77"/>
        <v>0.40813583808959836</v>
      </c>
      <c r="AF36" s="372">
        <f t="shared" si="77"/>
        <v>0.40125159365703672</v>
      </c>
      <c r="AG36" s="372">
        <f t="shared" si="77"/>
        <v>0.40554691059776293</v>
      </c>
      <c r="AH36" s="372">
        <f t="shared" si="77"/>
        <v>0.40867292202373856</v>
      </c>
      <c r="AI36" s="372">
        <f t="shared" si="77"/>
        <v>0.40094547694151522</v>
      </c>
      <c r="AJ36" s="406">
        <f t="shared" si="77"/>
        <v>0.40406734455742621</v>
      </c>
      <c r="AK36" s="372">
        <f t="shared" si="77"/>
        <v>0.42311652866961919</v>
      </c>
      <c r="AL36" s="372">
        <f t="shared" si="77"/>
        <v>0.41735149972219687</v>
      </c>
      <c r="AM36" s="566">
        <f t="shared" si="77"/>
        <v>0.41828876405394799</v>
      </c>
      <c r="AN36" s="730">
        <v>0.42</v>
      </c>
      <c r="AO36" s="221">
        <f t="shared" ref="AO36" si="78">AO31/AO22</f>
        <v>0.41967146404280692</v>
      </c>
      <c r="AP36" s="730">
        <v>0.42099999999999999</v>
      </c>
      <c r="AQ36" s="730">
        <v>0.42</v>
      </c>
      <c r="AR36" s="730">
        <v>0.41899999999999998</v>
      </c>
      <c r="AS36" s="730">
        <v>0.41599999999999998</v>
      </c>
      <c r="AT36" s="221">
        <f t="shared" ref="AT36" si="79">AT31/AT22</f>
        <v>0.41897906515325556</v>
      </c>
      <c r="AU36" s="731">
        <v>0.42099999999999999</v>
      </c>
      <c r="AV36" s="731">
        <v>0.42099999999999999</v>
      </c>
      <c r="AW36" s="731">
        <v>0.42099999999999999</v>
      </c>
      <c r="AX36" s="182"/>
    </row>
    <row r="37" spans="1:50" s="202" customFormat="1" x14ac:dyDescent="0.45">
      <c r="A37" s="710" t="s">
        <v>536</v>
      </c>
      <c r="B37" s="220"/>
      <c r="C37" s="406"/>
      <c r="D37" s="406"/>
      <c r="E37" s="406"/>
      <c r="F37" s="406"/>
      <c r="G37" s="372"/>
      <c r="H37" s="372"/>
      <c r="I37" s="372"/>
      <c r="J37" s="372"/>
      <c r="K37" s="406"/>
      <c r="L37" s="372"/>
      <c r="M37" s="372"/>
      <c r="N37" s="372"/>
      <c r="O37" s="372"/>
      <c r="P37" s="406"/>
      <c r="Q37" s="372"/>
      <c r="R37" s="372"/>
      <c r="S37" s="372"/>
      <c r="T37" s="372"/>
      <c r="U37" s="406"/>
      <c r="V37" s="372"/>
      <c r="W37" s="372"/>
      <c r="X37" s="372"/>
      <c r="Y37" s="372"/>
      <c r="Z37" s="406">
        <f>Z32/Z25</f>
        <v>0.42592864483923065</v>
      </c>
      <c r="AA37" s="372">
        <f t="shared" ref="AA37:AM37" si="80">AA32/AA25</f>
        <v>0.51430517711171664</v>
      </c>
      <c r="AB37" s="372">
        <f t="shared" si="80"/>
        <v>0.45169375664590611</v>
      </c>
      <c r="AC37" s="372">
        <f t="shared" si="80"/>
        <v>0.49716936625255548</v>
      </c>
      <c r="AD37" s="372">
        <f t="shared" si="80"/>
        <v>0.39442277464050762</v>
      </c>
      <c r="AE37" s="406">
        <f t="shared" si="80"/>
        <v>0.45771371225253166</v>
      </c>
      <c r="AF37" s="372">
        <f t="shared" si="80"/>
        <v>0.54225725763662547</v>
      </c>
      <c r="AG37" s="372">
        <f t="shared" si="80"/>
        <v>0.50142816338189089</v>
      </c>
      <c r="AH37" s="372">
        <f t="shared" si="80"/>
        <v>0.48997839207212579</v>
      </c>
      <c r="AI37" s="372">
        <f t="shared" si="80"/>
        <v>0.40720240535738689</v>
      </c>
      <c r="AJ37" s="406">
        <f t="shared" si="80"/>
        <v>0.48343951350177372</v>
      </c>
      <c r="AK37" s="372">
        <f t="shared" si="80"/>
        <v>0.50571934912195904</v>
      </c>
      <c r="AL37" s="372">
        <f t="shared" si="80"/>
        <v>0.4802077998097608</v>
      </c>
      <c r="AM37" s="566">
        <f t="shared" si="80"/>
        <v>0.53848529298232073</v>
      </c>
      <c r="AN37" s="730">
        <v>0.50800000000000001</v>
      </c>
      <c r="AO37" s="221">
        <f t="shared" ref="AO37" si="81">AO32/AO25</f>
        <v>0.50775188711237507</v>
      </c>
      <c r="AP37" s="730">
        <v>0.50900000000000001</v>
      </c>
      <c r="AQ37" s="730">
        <v>0.50800000000000001</v>
      </c>
      <c r="AR37" s="730">
        <v>0.50700000000000001</v>
      </c>
      <c r="AS37" s="730">
        <v>0.504</v>
      </c>
      <c r="AT37" s="221">
        <f t="shared" ref="AT37" si="82">AT32/AT25</f>
        <v>0.50691818841235226</v>
      </c>
      <c r="AU37" s="731">
        <v>0.50900000000000001</v>
      </c>
      <c r="AV37" s="731">
        <v>0.50900000000000001</v>
      </c>
      <c r="AW37" s="731">
        <v>0.50900000000000001</v>
      </c>
      <c r="AX37" s="182"/>
    </row>
    <row r="38" spans="1:50" s="33" customFormat="1" x14ac:dyDescent="0.45">
      <c r="A38" s="187"/>
      <c r="B38" s="52"/>
      <c r="C38" s="405"/>
      <c r="D38" s="405"/>
      <c r="E38" s="405"/>
      <c r="F38" s="405"/>
      <c r="G38" s="371"/>
      <c r="H38" s="371"/>
      <c r="I38" s="371"/>
      <c r="J38" s="371"/>
      <c r="K38" s="405"/>
      <c r="L38" s="371"/>
      <c r="M38" s="371"/>
      <c r="N38" s="371"/>
      <c r="O38" s="371"/>
      <c r="P38" s="405"/>
      <c r="Q38" s="371"/>
      <c r="R38" s="371"/>
      <c r="S38" s="371"/>
      <c r="T38" s="371"/>
      <c r="U38" s="405"/>
      <c r="V38" s="371"/>
      <c r="W38" s="371"/>
      <c r="X38" s="371"/>
      <c r="Y38" s="371"/>
      <c r="Z38" s="405"/>
      <c r="AA38" s="371"/>
      <c r="AB38" s="371"/>
      <c r="AC38" s="371"/>
      <c r="AD38" s="371"/>
      <c r="AE38" s="405"/>
      <c r="AF38" s="371"/>
      <c r="AG38" s="371"/>
      <c r="AH38" s="371"/>
      <c r="AI38" s="371"/>
      <c r="AJ38" s="405"/>
      <c r="AK38" s="371"/>
      <c r="AL38" s="371"/>
      <c r="AM38" s="565"/>
      <c r="AN38" s="46"/>
      <c r="AO38" s="4"/>
      <c r="AP38" s="46"/>
      <c r="AQ38" s="46"/>
      <c r="AR38" s="46"/>
      <c r="AS38" s="46"/>
      <c r="AT38" s="4"/>
      <c r="AU38" s="4"/>
      <c r="AV38" s="4"/>
      <c r="AW38" s="4"/>
      <c r="AX38" s="126"/>
    </row>
    <row r="39" spans="1:50" s="29" customFormat="1" x14ac:dyDescent="0.45">
      <c r="A39" s="61" t="s">
        <v>537</v>
      </c>
      <c r="B39" s="216"/>
      <c r="C39" s="815"/>
      <c r="D39" s="815"/>
      <c r="E39" s="815"/>
      <c r="F39" s="815"/>
      <c r="G39" s="816"/>
      <c r="H39" s="816"/>
      <c r="I39" s="816"/>
      <c r="J39" s="816"/>
      <c r="K39" s="815"/>
      <c r="L39" s="816"/>
      <c r="M39" s="816"/>
      <c r="N39" s="816"/>
      <c r="O39" s="816"/>
      <c r="P39" s="815"/>
      <c r="Q39" s="816"/>
      <c r="R39" s="816"/>
      <c r="S39" s="816"/>
      <c r="T39" s="816"/>
      <c r="U39" s="815"/>
      <c r="V39" s="816"/>
      <c r="W39" s="816"/>
      <c r="X39" s="816"/>
      <c r="Y39" s="816"/>
      <c r="Z39" s="815">
        <f>Z22-Z31</f>
        <v>269.07999999999993</v>
      </c>
      <c r="AA39" s="816">
        <f t="shared" ref="AA39:AM39" si="83">AA22-AA31</f>
        <v>70.72</v>
      </c>
      <c r="AB39" s="816">
        <f t="shared" si="83"/>
        <v>71.742000000000004</v>
      </c>
      <c r="AC39" s="816">
        <f t="shared" si="83"/>
        <v>69.649999999999977</v>
      </c>
      <c r="AD39" s="816">
        <f t="shared" si="83"/>
        <v>69.742000000000019</v>
      </c>
      <c r="AE39" s="815">
        <f t="shared" si="83"/>
        <v>281.85400000000004</v>
      </c>
      <c r="AF39" s="816">
        <f t="shared" si="83"/>
        <v>71.853999999999985</v>
      </c>
      <c r="AG39" s="816">
        <f t="shared" si="83"/>
        <v>69.14500000000001</v>
      </c>
      <c r="AH39" s="816">
        <f t="shared" si="83"/>
        <v>69.448999999999998</v>
      </c>
      <c r="AI39" s="816">
        <f t="shared" si="83"/>
        <v>71.977000000000004</v>
      </c>
      <c r="AJ39" s="815">
        <f t="shared" si="83"/>
        <v>282.42500000000007</v>
      </c>
      <c r="AK39" s="816">
        <f t="shared" si="83"/>
        <v>68.906999999999982</v>
      </c>
      <c r="AL39" s="816">
        <f t="shared" si="83"/>
        <v>70.26100000000001</v>
      </c>
      <c r="AM39" s="817">
        <f t="shared" si="83"/>
        <v>72.589999999999989</v>
      </c>
      <c r="AN39" s="818">
        <f t="shared" ref="AN39" si="84">AN22-AN31</f>
        <v>72.033105800000016</v>
      </c>
      <c r="AO39" s="819">
        <f t="shared" ref="AO39:AO41" si="85">SUM(AK39,AL39,AM39,AN39)</f>
        <v>283.79110579999997</v>
      </c>
      <c r="AP39" s="818">
        <f t="shared" ref="AP39:AS39" si="86">AP22-AP31</f>
        <v>71.945492010000009</v>
      </c>
      <c r="AQ39" s="818">
        <f t="shared" si="86"/>
        <v>72.437043899999992</v>
      </c>
      <c r="AR39" s="818">
        <f t="shared" si="86"/>
        <v>74.762365370000012</v>
      </c>
      <c r="AS39" s="818">
        <f t="shared" si="86"/>
        <v>74.751465873600011</v>
      </c>
      <c r="AT39" s="819">
        <f t="shared" ref="AT39:AT41" si="87">SUM(AP39,AQ39,AR39,AS39)</f>
        <v>293.89636715360001</v>
      </c>
      <c r="AU39" s="819">
        <f t="shared" ref="AU39:AW39" si="88">AU22-AU31</f>
        <v>302.26150450384205</v>
      </c>
      <c r="AV39" s="819">
        <f t="shared" si="88"/>
        <v>312.15944204738912</v>
      </c>
      <c r="AW39" s="819">
        <f t="shared" si="88"/>
        <v>322.59947403680769</v>
      </c>
      <c r="AX39" s="793"/>
    </row>
    <row r="40" spans="1:50" s="29" customFormat="1" x14ac:dyDescent="0.45">
      <c r="A40" s="61" t="s">
        <v>538</v>
      </c>
      <c r="B40" s="216"/>
      <c r="C40" s="815"/>
      <c r="D40" s="815"/>
      <c r="E40" s="815"/>
      <c r="F40" s="815"/>
      <c r="G40" s="816"/>
      <c r="H40" s="816"/>
      <c r="I40" s="816"/>
      <c r="J40" s="816"/>
      <c r="K40" s="815"/>
      <c r="L40" s="816"/>
      <c r="M40" s="816"/>
      <c r="N40" s="816"/>
      <c r="O40" s="816"/>
      <c r="P40" s="815"/>
      <c r="Q40" s="816"/>
      <c r="R40" s="816"/>
      <c r="S40" s="816"/>
      <c r="T40" s="816"/>
      <c r="U40" s="815"/>
      <c r="V40" s="816"/>
      <c r="W40" s="816"/>
      <c r="X40" s="816"/>
      <c r="Y40" s="816"/>
      <c r="Z40" s="815">
        <f>Z25-Z32</f>
        <v>35.190000000000005</v>
      </c>
      <c r="AA40" s="816">
        <f t="shared" ref="AA40:AM40" si="89">AA25-AA32</f>
        <v>5.7039999999999997</v>
      </c>
      <c r="AB40" s="816">
        <f t="shared" si="89"/>
        <v>7.2190000000000003</v>
      </c>
      <c r="AC40" s="816">
        <f t="shared" si="89"/>
        <v>6.3949999999999996</v>
      </c>
      <c r="AD40" s="816">
        <f t="shared" si="89"/>
        <v>10.402000000000003</v>
      </c>
      <c r="AE40" s="815">
        <f t="shared" si="89"/>
        <v>29.720000000000006</v>
      </c>
      <c r="AF40" s="816">
        <f t="shared" si="89"/>
        <v>6.0389999999999997</v>
      </c>
      <c r="AG40" s="816">
        <f t="shared" si="89"/>
        <v>6.9819999999999993</v>
      </c>
      <c r="AH40" s="816">
        <f t="shared" si="89"/>
        <v>6.8449999999999998</v>
      </c>
      <c r="AI40" s="816">
        <f t="shared" si="89"/>
        <v>8.6750000000000007</v>
      </c>
      <c r="AJ40" s="815">
        <f t="shared" si="89"/>
        <v>28.540999999999997</v>
      </c>
      <c r="AK40" s="816">
        <f t="shared" si="89"/>
        <v>6.1360000000000001</v>
      </c>
      <c r="AL40" s="816">
        <f t="shared" si="89"/>
        <v>7.1039999999999983</v>
      </c>
      <c r="AM40" s="817">
        <f t="shared" si="89"/>
        <v>5.9779999999999998</v>
      </c>
      <c r="AN40" s="818">
        <f t="shared" ref="AN40" si="90">AN25-AN32</f>
        <v>7.1132277600000009</v>
      </c>
      <c r="AO40" s="819">
        <f t="shared" si="85"/>
        <v>26.331227759999997</v>
      </c>
      <c r="AP40" s="818">
        <f t="shared" ref="AP40:AS40" si="91">AP25-AP32</f>
        <v>6.2258775449999986</v>
      </c>
      <c r="AQ40" s="818">
        <f t="shared" si="91"/>
        <v>6.8313240599999991</v>
      </c>
      <c r="AR40" s="818">
        <f t="shared" si="91"/>
        <v>6.4602276299999994</v>
      </c>
      <c r="AS40" s="818">
        <f t="shared" si="91"/>
        <v>7.2219863744000001</v>
      </c>
      <c r="AT40" s="819">
        <f t="shared" si="87"/>
        <v>26.739415609399998</v>
      </c>
      <c r="AU40" s="819">
        <f t="shared" ref="AU40:AW40" si="92">AU25-AU32</f>
        <v>26.903324704356795</v>
      </c>
      <c r="AV40" s="819">
        <f t="shared" si="92"/>
        <v>27.183422609682889</v>
      </c>
      <c r="AW40" s="819">
        <f t="shared" si="92"/>
        <v>27.466857819832203</v>
      </c>
      <c r="AX40" s="793"/>
    </row>
    <row r="41" spans="1:50" s="29" customFormat="1" x14ac:dyDescent="0.45">
      <c r="A41" s="61" t="s">
        <v>531</v>
      </c>
      <c r="B41" s="216"/>
      <c r="C41" s="815"/>
      <c r="D41" s="815"/>
      <c r="E41" s="815"/>
      <c r="F41" s="815"/>
      <c r="G41" s="816"/>
      <c r="H41" s="816"/>
      <c r="I41" s="816"/>
      <c r="J41" s="816"/>
      <c r="K41" s="815"/>
      <c r="L41" s="816"/>
      <c r="M41" s="816"/>
      <c r="N41" s="816"/>
      <c r="O41" s="816"/>
      <c r="P41" s="815"/>
      <c r="Q41" s="816"/>
      <c r="R41" s="816"/>
      <c r="S41" s="816"/>
      <c r="T41" s="816"/>
      <c r="U41" s="815"/>
      <c r="V41" s="816"/>
      <c r="W41" s="816"/>
      <c r="X41" s="816"/>
      <c r="Y41" s="816"/>
      <c r="Z41" s="815">
        <f>-Z33</f>
        <v>-17.78</v>
      </c>
      <c r="AA41" s="816">
        <f t="shared" ref="AA41:AW41" si="93">-AA33</f>
        <v>-4.6710000000000003</v>
      </c>
      <c r="AB41" s="816">
        <f t="shared" si="93"/>
        <v>-5.109</v>
      </c>
      <c r="AC41" s="816">
        <f t="shared" si="93"/>
        <v>-5.9640000000000004</v>
      </c>
      <c r="AD41" s="816">
        <f t="shared" si="93"/>
        <v>-6.3460000000000001</v>
      </c>
      <c r="AE41" s="815">
        <f t="shared" si="93"/>
        <v>-22.09</v>
      </c>
      <c r="AF41" s="816">
        <f t="shared" si="93"/>
        <v>-6.5439999999999996</v>
      </c>
      <c r="AG41" s="816">
        <f t="shared" si="93"/>
        <v>-6.9240000000000004</v>
      </c>
      <c r="AH41" s="816">
        <f t="shared" si="93"/>
        <v>-7.0979999999999999</v>
      </c>
      <c r="AI41" s="816">
        <f t="shared" si="93"/>
        <v>-7.9240000000000004</v>
      </c>
      <c r="AJ41" s="815">
        <f t="shared" si="93"/>
        <v>-28.49</v>
      </c>
      <c r="AK41" s="816">
        <f t="shared" si="93"/>
        <v>-8.4130000000000003</v>
      </c>
      <c r="AL41" s="816">
        <f t="shared" si="93"/>
        <v>-8.843</v>
      </c>
      <c r="AM41" s="817">
        <f t="shared" si="93"/>
        <v>-8.9629999999999992</v>
      </c>
      <c r="AN41" s="818">
        <f t="shared" si="93"/>
        <v>-8.6999999999999993</v>
      </c>
      <c r="AO41" s="819">
        <f t="shared" si="85"/>
        <v>-34.918999999999997</v>
      </c>
      <c r="AP41" s="818">
        <f t="shared" si="93"/>
        <v>-8.6999999999999993</v>
      </c>
      <c r="AQ41" s="818">
        <f t="shared" si="93"/>
        <v>-8.6999999999999993</v>
      </c>
      <c r="AR41" s="818">
        <f t="shared" si="93"/>
        <v>-8.6999999999999993</v>
      </c>
      <c r="AS41" s="818">
        <f t="shared" si="93"/>
        <v>-8.6999999999999993</v>
      </c>
      <c r="AT41" s="819">
        <f t="shared" si="87"/>
        <v>-34.799999999999997</v>
      </c>
      <c r="AU41" s="819">
        <f t="shared" si="93"/>
        <v>-34.799999999999997</v>
      </c>
      <c r="AV41" s="819">
        <f t="shared" si="93"/>
        <v>-34.799999999999997</v>
      </c>
      <c r="AW41" s="819">
        <f t="shared" si="93"/>
        <v>-34.799999999999997</v>
      </c>
      <c r="AX41" s="793"/>
    </row>
    <row r="42" spans="1:50" s="7" customFormat="1" x14ac:dyDescent="0.45">
      <c r="A42" s="53" t="s">
        <v>539</v>
      </c>
      <c r="B42" s="652"/>
      <c r="C42" s="833"/>
      <c r="D42" s="833"/>
      <c r="E42" s="833"/>
      <c r="F42" s="833"/>
      <c r="G42" s="839"/>
      <c r="H42" s="839"/>
      <c r="I42" s="839"/>
      <c r="J42" s="839"/>
      <c r="K42" s="833"/>
      <c r="L42" s="839"/>
      <c r="M42" s="839"/>
      <c r="N42" s="839"/>
      <c r="O42" s="839"/>
      <c r="P42" s="833"/>
      <c r="Q42" s="839"/>
      <c r="R42" s="839"/>
      <c r="S42" s="839"/>
      <c r="T42" s="839"/>
      <c r="U42" s="833"/>
      <c r="V42" s="839"/>
      <c r="W42" s="839"/>
      <c r="X42" s="839"/>
      <c r="Y42" s="839"/>
      <c r="Z42" s="833">
        <f>SUM(Z39:Z41)</f>
        <v>286.4899999999999</v>
      </c>
      <c r="AA42" s="839">
        <f t="shared" ref="AA42:AW42" si="94">SUM(AA39:AA41)</f>
        <v>71.752999999999986</v>
      </c>
      <c r="AB42" s="839">
        <f t="shared" si="94"/>
        <v>73.852000000000004</v>
      </c>
      <c r="AC42" s="839">
        <f t="shared" si="94"/>
        <v>70.080999999999975</v>
      </c>
      <c r="AD42" s="839">
        <f t="shared" si="94"/>
        <v>73.798000000000016</v>
      </c>
      <c r="AE42" s="833">
        <f t="shared" si="94"/>
        <v>289.48400000000009</v>
      </c>
      <c r="AF42" s="839">
        <f t="shared" si="94"/>
        <v>71.34899999999999</v>
      </c>
      <c r="AG42" s="839">
        <f t="shared" si="94"/>
        <v>69.203000000000003</v>
      </c>
      <c r="AH42" s="839">
        <f t="shared" si="94"/>
        <v>69.195999999999998</v>
      </c>
      <c r="AI42" s="839">
        <f t="shared" si="94"/>
        <v>72.727999999999994</v>
      </c>
      <c r="AJ42" s="833">
        <f t="shared" si="94"/>
        <v>282.47600000000006</v>
      </c>
      <c r="AK42" s="839">
        <f t="shared" si="94"/>
        <v>66.629999999999981</v>
      </c>
      <c r="AL42" s="839">
        <f t="shared" si="94"/>
        <v>68.522000000000006</v>
      </c>
      <c r="AM42" s="832">
        <f t="shared" si="94"/>
        <v>69.60499999999999</v>
      </c>
      <c r="AN42" s="839">
        <f t="shared" si="94"/>
        <v>70.446333560000014</v>
      </c>
      <c r="AO42" s="833">
        <f t="shared" si="94"/>
        <v>275.20333355999998</v>
      </c>
      <c r="AP42" s="839">
        <f t="shared" si="94"/>
        <v>69.47136955500001</v>
      </c>
      <c r="AQ42" s="839">
        <f t="shared" si="94"/>
        <v>70.568367959999989</v>
      </c>
      <c r="AR42" s="839">
        <f t="shared" si="94"/>
        <v>72.522593000000015</v>
      </c>
      <c r="AS42" s="839">
        <f t="shared" si="94"/>
        <v>73.273452248000012</v>
      </c>
      <c r="AT42" s="833">
        <f t="shared" si="94"/>
        <v>285.835782763</v>
      </c>
      <c r="AU42" s="833">
        <f t="shared" si="94"/>
        <v>294.36482920819884</v>
      </c>
      <c r="AV42" s="833">
        <f t="shared" si="94"/>
        <v>304.54286465707202</v>
      </c>
      <c r="AW42" s="833">
        <f t="shared" si="94"/>
        <v>315.26633185663991</v>
      </c>
      <c r="AX42" s="795"/>
    </row>
    <row r="43" spans="1:50" s="33" customFormat="1" ht="6.75" customHeight="1" x14ac:dyDescent="0.45">
      <c r="A43" s="187"/>
      <c r="B43" s="52"/>
      <c r="C43" s="405"/>
      <c r="D43" s="405"/>
      <c r="E43" s="405"/>
      <c r="F43" s="405"/>
      <c r="G43" s="371"/>
      <c r="H43" s="371"/>
      <c r="I43" s="371"/>
      <c r="J43" s="371"/>
      <c r="K43" s="405"/>
      <c r="L43" s="371"/>
      <c r="M43" s="371"/>
      <c r="N43" s="371"/>
      <c r="O43" s="371"/>
      <c r="P43" s="405"/>
      <c r="Q43" s="371"/>
      <c r="R43" s="371"/>
      <c r="S43" s="371"/>
      <c r="T43" s="371"/>
      <c r="U43" s="405"/>
      <c r="V43" s="371"/>
      <c r="W43" s="371"/>
      <c r="X43" s="371"/>
      <c r="Y43" s="371"/>
      <c r="Z43" s="405"/>
      <c r="AA43" s="371"/>
      <c r="AB43" s="371"/>
      <c r="AC43" s="371"/>
      <c r="AD43" s="371"/>
      <c r="AE43" s="405"/>
      <c r="AF43" s="371"/>
      <c r="AG43" s="371"/>
      <c r="AH43" s="371"/>
      <c r="AI43" s="371"/>
      <c r="AJ43" s="405"/>
      <c r="AK43" s="371"/>
      <c r="AL43" s="371"/>
      <c r="AM43" s="565"/>
      <c r="AN43" s="46"/>
      <c r="AO43" s="4"/>
      <c r="AP43" s="46"/>
      <c r="AQ43" s="46"/>
      <c r="AR43" s="46"/>
      <c r="AS43" s="46"/>
      <c r="AT43" s="4"/>
      <c r="AU43" s="4"/>
      <c r="AV43" s="4"/>
      <c r="AW43" s="4"/>
      <c r="AX43" s="126"/>
    </row>
    <row r="44" spans="1:50" s="202" customFormat="1" x14ac:dyDescent="0.45">
      <c r="A44" s="710" t="s">
        <v>540</v>
      </c>
      <c r="B44" s="220"/>
      <c r="C44" s="406"/>
      <c r="D44" s="406"/>
      <c r="E44" s="406"/>
      <c r="F44" s="406"/>
      <c r="G44" s="372"/>
      <c r="H44" s="372"/>
      <c r="I44" s="372"/>
      <c r="J44" s="372"/>
      <c r="K44" s="406"/>
      <c r="L44" s="372"/>
      <c r="M44" s="372"/>
      <c r="N44" s="372"/>
      <c r="O44" s="372"/>
      <c r="P44" s="406"/>
      <c r="Q44" s="372"/>
      <c r="R44" s="372"/>
      <c r="S44" s="372"/>
      <c r="T44" s="372"/>
      <c r="U44" s="406"/>
      <c r="V44" s="372"/>
      <c r="W44" s="372"/>
      <c r="X44" s="372"/>
      <c r="Y44" s="372"/>
      <c r="Z44" s="406">
        <f>Z39/Z22</f>
        <v>0.60018959460213006</v>
      </c>
      <c r="AA44" s="372">
        <f t="shared" ref="AA44:AM44" si="95">AA39/AA22</f>
        <v>0.59339811038950141</v>
      </c>
      <c r="AB44" s="372">
        <f t="shared" si="95"/>
        <v>0.60064801868705053</v>
      </c>
      <c r="AC44" s="372">
        <f t="shared" si="95"/>
        <v>0.58530887333294102</v>
      </c>
      <c r="AD44" s="372">
        <f t="shared" si="95"/>
        <v>0.58805376144623012</v>
      </c>
      <c r="AE44" s="406">
        <f t="shared" si="95"/>
        <v>0.5918641619104017</v>
      </c>
      <c r="AF44" s="372">
        <f t="shared" si="95"/>
        <v>0.59874840634296322</v>
      </c>
      <c r="AG44" s="372">
        <f t="shared" si="95"/>
        <v>0.59445308940223707</v>
      </c>
      <c r="AH44" s="372">
        <f t="shared" si="95"/>
        <v>0.59132707797626138</v>
      </c>
      <c r="AI44" s="372">
        <f t="shared" si="95"/>
        <v>0.59905452305848472</v>
      </c>
      <c r="AJ44" s="406">
        <f t="shared" si="95"/>
        <v>0.5959326554425739</v>
      </c>
      <c r="AK44" s="372">
        <f t="shared" si="95"/>
        <v>0.57688347133038076</v>
      </c>
      <c r="AL44" s="372">
        <f t="shared" si="95"/>
        <v>0.58264850027780313</v>
      </c>
      <c r="AM44" s="566">
        <f t="shared" si="95"/>
        <v>0.58171123594605201</v>
      </c>
      <c r="AN44" s="222">
        <f t="shared" ref="AN44:AW44" si="96">AN39/AN22</f>
        <v>0.58000000000000007</v>
      </c>
      <c r="AO44" s="221">
        <f t="shared" si="96"/>
        <v>0.58032853595719303</v>
      </c>
      <c r="AP44" s="222">
        <f t="shared" si="96"/>
        <v>0.57900000000000007</v>
      </c>
      <c r="AQ44" s="222">
        <f t="shared" si="96"/>
        <v>0.58000000000000007</v>
      </c>
      <c r="AR44" s="222">
        <f t="shared" si="96"/>
        <v>0.58100000000000007</v>
      </c>
      <c r="AS44" s="222">
        <f t="shared" si="96"/>
        <v>0.58400000000000007</v>
      </c>
      <c r="AT44" s="221">
        <f t="shared" si="96"/>
        <v>0.58102093484674444</v>
      </c>
      <c r="AU44" s="221">
        <f t="shared" si="96"/>
        <v>0.57899999999999996</v>
      </c>
      <c r="AV44" s="221">
        <f t="shared" si="96"/>
        <v>0.57900000000000007</v>
      </c>
      <c r="AW44" s="221">
        <f t="shared" si="96"/>
        <v>0.57899999999999996</v>
      </c>
      <c r="AX44" s="182"/>
    </row>
    <row r="45" spans="1:50" s="202" customFormat="1" x14ac:dyDescent="0.45">
      <c r="A45" s="710" t="s">
        <v>541</v>
      </c>
      <c r="B45" s="220"/>
      <c r="C45" s="406"/>
      <c r="D45" s="406"/>
      <c r="E45" s="406"/>
      <c r="F45" s="406"/>
      <c r="G45" s="372"/>
      <c r="H45" s="372"/>
      <c r="I45" s="372"/>
      <c r="J45" s="372"/>
      <c r="K45" s="406"/>
      <c r="L45" s="372"/>
      <c r="M45" s="372"/>
      <c r="N45" s="372"/>
      <c r="O45" s="372"/>
      <c r="P45" s="406"/>
      <c r="Q45" s="372"/>
      <c r="R45" s="372"/>
      <c r="S45" s="372"/>
      <c r="T45" s="372"/>
      <c r="U45" s="406"/>
      <c r="V45" s="372"/>
      <c r="W45" s="372"/>
      <c r="X45" s="372"/>
      <c r="Y45" s="372"/>
      <c r="Z45" s="406">
        <f>Z40/Z25</f>
        <v>0.57407135516076935</v>
      </c>
      <c r="AA45" s="372">
        <f t="shared" ref="AA45:AM45" si="97">AA40/AA25</f>
        <v>0.48569482288828336</v>
      </c>
      <c r="AB45" s="372">
        <f t="shared" si="97"/>
        <v>0.54830624335409384</v>
      </c>
      <c r="AC45" s="372">
        <f t="shared" si="97"/>
        <v>0.50283063374744452</v>
      </c>
      <c r="AD45" s="372">
        <f t="shared" si="97"/>
        <v>0.60557722535949243</v>
      </c>
      <c r="AE45" s="406">
        <f t="shared" si="97"/>
        <v>0.54228628774746834</v>
      </c>
      <c r="AF45" s="372">
        <f t="shared" si="97"/>
        <v>0.45774274236337453</v>
      </c>
      <c r="AG45" s="372">
        <f t="shared" si="97"/>
        <v>0.49857183661810905</v>
      </c>
      <c r="AH45" s="372">
        <f t="shared" si="97"/>
        <v>0.51002160792787421</v>
      </c>
      <c r="AI45" s="372">
        <f t="shared" si="97"/>
        <v>0.59279759464261317</v>
      </c>
      <c r="AJ45" s="406">
        <f t="shared" si="97"/>
        <v>0.51656048649822628</v>
      </c>
      <c r="AK45" s="372">
        <f t="shared" si="97"/>
        <v>0.49428065087804096</v>
      </c>
      <c r="AL45" s="372">
        <f t="shared" si="97"/>
        <v>0.5197922001902392</v>
      </c>
      <c r="AM45" s="566">
        <f t="shared" si="97"/>
        <v>0.46151470701767933</v>
      </c>
      <c r="AN45" s="222">
        <f t="shared" ref="AN45:AW45" si="98">AN40/AN25</f>
        <v>0.49199999999999999</v>
      </c>
      <c r="AO45" s="221">
        <f t="shared" si="98"/>
        <v>0.49224811288762493</v>
      </c>
      <c r="AP45" s="222">
        <f t="shared" si="98"/>
        <v>0.49099999999999994</v>
      </c>
      <c r="AQ45" s="222">
        <f t="shared" si="98"/>
        <v>0.49199999999999999</v>
      </c>
      <c r="AR45" s="222">
        <f t="shared" si="98"/>
        <v>0.49299999999999999</v>
      </c>
      <c r="AS45" s="222">
        <f t="shared" si="98"/>
        <v>0.496</v>
      </c>
      <c r="AT45" s="221">
        <f t="shared" si="98"/>
        <v>0.4930818115876478</v>
      </c>
      <c r="AU45" s="221">
        <f t="shared" si="98"/>
        <v>0.49099999999999999</v>
      </c>
      <c r="AV45" s="221">
        <f t="shared" si="98"/>
        <v>0.49099999999999999</v>
      </c>
      <c r="AW45" s="221">
        <f t="shared" si="98"/>
        <v>0.49099999999999999</v>
      </c>
      <c r="AX45" s="182"/>
    </row>
    <row r="46" spans="1:50" s="33" customFormat="1" x14ac:dyDescent="0.45">
      <c r="A46" s="187"/>
      <c r="B46" s="52"/>
      <c r="C46" s="405"/>
      <c r="D46" s="405"/>
      <c r="E46" s="405"/>
      <c r="F46" s="405"/>
      <c r="G46" s="371"/>
      <c r="H46" s="371"/>
      <c r="I46" s="371"/>
      <c r="J46" s="371"/>
      <c r="K46" s="405"/>
      <c r="L46" s="371"/>
      <c r="M46" s="371"/>
      <c r="N46" s="371"/>
      <c r="O46" s="371"/>
      <c r="P46" s="405"/>
      <c r="Q46" s="371"/>
      <c r="R46" s="371"/>
      <c r="S46" s="371"/>
      <c r="T46" s="371"/>
      <c r="U46" s="405"/>
      <c r="V46" s="371"/>
      <c r="W46" s="371"/>
      <c r="X46" s="371"/>
      <c r="Y46" s="371"/>
      <c r="Z46" s="405"/>
      <c r="AA46" s="371"/>
      <c r="AB46" s="371"/>
      <c r="AC46" s="371"/>
      <c r="AD46" s="371"/>
      <c r="AE46" s="405"/>
      <c r="AF46" s="371"/>
      <c r="AG46" s="371"/>
      <c r="AH46" s="371"/>
      <c r="AI46" s="371"/>
      <c r="AJ46" s="405"/>
      <c r="AK46" s="371"/>
      <c r="AL46" s="371"/>
      <c r="AM46" s="565"/>
      <c r="AN46" s="46"/>
      <c r="AO46" s="4"/>
      <c r="AP46" s="46"/>
      <c r="AQ46" s="46"/>
      <c r="AR46" s="46"/>
      <c r="AS46" s="46"/>
      <c r="AT46" s="4"/>
      <c r="AU46" s="4"/>
      <c r="AV46" s="4"/>
      <c r="AW46" s="4"/>
      <c r="AX46" s="126"/>
    </row>
    <row r="47" spans="1:50" s="7" customFormat="1" x14ac:dyDescent="0.45">
      <c r="A47" s="790" t="s">
        <v>543</v>
      </c>
      <c r="B47" s="790"/>
      <c r="C47" s="812"/>
      <c r="D47" s="812"/>
      <c r="E47" s="812"/>
      <c r="F47" s="812"/>
      <c r="G47" s="812"/>
      <c r="H47" s="812"/>
      <c r="I47" s="812"/>
      <c r="J47" s="812"/>
      <c r="K47" s="812"/>
      <c r="L47" s="812"/>
      <c r="M47" s="812"/>
      <c r="N47" s="812"/>
      <c r="O47" s="812"/>
      <c r="P47" s="812"/>
      <c r="Q47" s="812"/>
      <c r="R47" s="812"/>
      <c r="S47" s="812"/>
      <c r="T47" s="812"/>
      <c r="U47" s="812"/>
      <c r="V47" s="812"/>
      <c r="W47" s="812"/>
      <c r="X47" s="812"/>
      <c r="Y47" s="812"/>
      <c r="Z47" s="812"/>
      <c r="AA47" s="812"/>
      <c r="AB47" s="812"/>
      <c r="AC47" s="812"/>
      <c r="AD47" s="812"/>
      <c r="AE47" s="812"/>
      <c r="AF47" s="812"/>
      <c r="AG47" s="812"/>
      <c r="AH47" s="812"/>
      <c r="AI47" s="812"/>
      <c r="AJ47" s="812"/>
      <c r="AK47" s="812"/>
      <c r="AL47" s="812"/>
      <c r="AM47" s="813"/>
      <c r="AN47" s="814"/>
      <c r="AO47" s="814"/>
      <c r="AP47" s="814"/>
      <c r="AQ47" s="814"/>
      <c r="AR47" s="814"/>
      <c r="AS47" s="814"/>
      <c r="AT47" s="814"/>
      <c r="AU47" s="814"/>
      <c r="AV47" s="814"/>
      <c r="AW47" s="814"/>
      <c r="AX47" s="795"/>
    </row>
    <row r="48" spans="1:50" s="29" customFormat="1" hidden="1" outlineLevel="1" x14ac:dyDescent="0.45">
      <c r="A48" s="672" t="s">
        <v>397</v>
      </c>
      <c r="B48" s="216"/>
      <c r="C48" s="815"/>
      <c r="D48" s="815"/>
      <c r="E48" s="815"/>
      <c r="F48" s="815"/>
      <c r="G48" s="816"/>
      <c r="H48" s="816"/>
      <c r="I48" s="816"/>
      <c r="J48" s="816"/>
      <c r="K48" s="815"/>
      <c r="L48" s="816"/>
      <c r="M48" s="816"/>
      <c r="N48" s="816"/>
      <c r="O48" s="816"/>
      <c r="P48" s="815"/>
      <c r="Q48" s="816"/>
      <c r="R48" s="816"/>
      <c r="S48" s="816"/>
      <c r="T48" s="816"/>
      <c r="U48" s="815"/>
      <c r="V48" s="816"/>
      <c r="W48" s="816"/>
      <c r="X48" s="816"/>
      <c r="Y48" s="816"/>
      <c r="Z48" s="815"/>
      <c r="AA48" s="816"/>
      <c r="AB48" s="816"/>
      <c r="AC48" s="816"/>
      <c r="AD48" s="816"/>
      <c r="AE48" s="815"/>
      <c r="AF48" s="816">
        <v>422</v>
      </c>
      <c r="AG48" s="816">
        <v>465.4</v>
      </c>
      <c r="AH48" s="816">
        <v>456</v>
      </c>
      <c r="AI48" s="816">
        <v>451.1</v>
      </c>
      <c r="AJ48" s="815">
        <f>AI48</f>
        <v>451.1</v>
      </c>
      <c r="AK48" s="816">
        <v>492.1</v>
      </c>
      <c r="AL48" s="816">
        <v>492.7</v>
      </c>
      <c r="AM48" s="817">
        <v>488.8</v>
      </c>
      <c r="AN48" s="818"/>
      <c r="AO48" s="819"/>
      <c r="AP48" s="818"/>
      <c r="AQ48" s="818"/>
      <c r="AR48" s="818"/>
      <c r="AS48" s="818"/>
      <c r="AT48" s="819"/>
      <c r="AU48" s="819"/>
      <c r="AV48" s="819"/>
      <c r="AW48" s="819"/>
      <c r="AX48" s="793"/>
    </row>
    <row r="49" spans="1:50" s="29" customFormat="1" hidden="1" outlineLevel="1" x14ac:dyDescent="0.45">
      <c r="A49" s="672"/>
      <c r="B49" s="216"/>
      <c r="C49" s="815"/>
      <c r="D49" s="815"/>
      <c r="E49" s="815"/>
      <c r="F49" s="815"/>
      <c r="G49" s="816"/>
      <c r="H49" s="816"/>
      <c r="I49" s="816"/>
      <c r="J49" s="816"/>
      <c r="K49" s="815"/>
      <c r="L49" s="816"/>
      <c r="M49" s="816"/>
      <c r="N49" s="816"/>
      <c r="O49" s="816"/>
      <c r="P49" s="815"/>
      <c r="Q49" s="816"/>
      <c r="R49" s="816"/>
      <c r="S49" s="816"/>
      <c r="T49" s="816"/>
      <c r="U49" s="815"/>
      <c r="V49" s="816"/>
      <c r="W49" s="816"/>
      <c r="X49" s="816"/>
      <c r="Y49" s="816"/>
      <c r="Z49" s="815"/>
      <c r="AA49" s="816"/>
      <c r="AB49" s="816"/>
      <c r="AC49" s="816"/>
      <c r="AD49" s="816"/>
      <c r="AE49" s="815"/>
      <c r="AF49" s="816"/>
      <c r="AG49" s="816"/>
      <c r="AH49" s="816"/>
      <c r="AI49" s="816"/>
      <c r="AJ49" s="815"/>
      <c r="AK49" s="816"/>
      <c r="AL49" s="816"/>
      <c r="AM49" s="817"/>
      <c r="AN49" s="818"/>
      <c r="AO49" s="819"/>
      <c r="AP49" s="818"/>
      <c r="AQ49" s="818"/>
      <c r="AR49" s="818"/>
      <c r="AS49" s="818"/>
      <c r="AT49" s="819"/>
      <c r="AU49" s="819"/>
      <c r="AV49" s="819"/>
      <c r="AW49" s="819"/>
      <c r="AX49" s="793"/>
    </row>
    <row r="50" spans="1:50" s="29" customFormat="1" hidden="1" outlineLevel="1" x14ac:dyDescent="0.45">
      <c r="A50" s="111" t="s">
        <v>588</v>
      </c>
      <c r="B50" s="216"/>
      <c r="C50" s="815"/>
      <c r="D50" s="815"/>
      <c r="E50" s="815"/>
      <c r="F50" s="815"/>
      <c r="G50" s="816"/>
      <c r="H50" s="816"/>
      <c r="I50" s="816"/>
      <c r="J50" s="816"/>
      <c r="K50" s="815"/>
      <c r="L50" s="816"/>
      <c r="M50" s="816"/>
      <c r="N50" s="816"/>
      <c r="O50" s="816"/>
      <c r="P50" s="815"/>
      <c r="Q50" s="816"/>
      <c r="R50" s="816"/>
      <c r="S50" s="816"/>
      <c r="T50" s="816"/>
      <c r="U50" s="815"/>
      <c r="V50" s="816"/>
      <c r="W50" s="816"/>
      <c r="X50" s="816"/>
      <c r="Y50" s="816"/>
      <c r="Z50" s="815"/>
      <c r="AA50" s="816"/>
      <c r="AB50" s="816"/>
      <c r="AC50" s="816"/>
      <c r="AD50" s="816"/>
      <c r="AE50" s="815"/>
      <c r="AF50" s="816">
        <v>2.952</v>
      </c>
      <c r="AG50" s="816">
        <v>3.3919999999999999</v>
      </c>
      <c r="AH50" s="816">
        <v>3.77</v>
      </c>
      <c r="AI50" s="816">
        <v>4.8159999999999998</v>
      </c>
      <c r="AJ50" s="815">
        <f t="shared" ref="AJ50:AJ51" si="99">AI50</f>
        <v>4.8159999999999998</v>
      </c>
      <c r="AK50" s="816">
        <v>5.12</v>
      </c>
      <c r="AL50" s="816">
        <v>5.9889999999999999</v>
      </c>
      <c r="AM50" s="817">
        <v>6.6379999999999999</v>
      </c>
      <c r="AN50" s="818"/>
      <c r="AO50" s="819"/>
      <c r="AP50" s="818"/>
      <c r="AQ50" s="818"/>
      <c r="AR50" s="818"/>
      <c r="AS50" s="818"/>
      <c r="AT50" s="819"/>
      <c r="AU50" s="819"/>
      <c r="AV50" s="819"/>
      <c r="AW50" s="819"/>
      <c r="AX50" s="793"/>
    </row>
    <row r="51" spans="1:50" s="29" customFormat="1" hidden="1" outlineLevel="1" x14ac:dyDescent="0.45">
      <c r="A51" s="111" t="s">
        <v>589</v>
      </c>
      <c r="B51" s="216"/>
      <c r="C51" s="815"/>
      <c r="D51" s="815"/>
      <c r="E51" s="815"/>
      <c r="F51" s="815"/>
      <c r="G51" s="816"/>
      <c r="H51" s="816"/>
      <c r="I51" s="816"/>
      <c r="J51" s="816"/>
      <c r="K51" s="815"/>
      <c r="L51" s="816"/>
      <c r="M51" s="816"/>
      <c r="N51" s="816"/>
      <c r="O51" s="816"/>
      <c r="P51" s="815"/>
      <c r="Q51" s="816"/>
      <c r="R51" s="816"/>
      <c r="S51" s="816"/>
      <c r="T51" s="816"/>
      <c r="U51" s="815"/>
      <c r="V51" s="816"/>
      <c r="W51" s="816"/>
      <c r="X51" s="816"/>
      <c r="Y51" s="816"/>
      <c r="Z51" s="815"/>
      <c r="AA51" s="816"/>
      <c r="AB51" s="816"/>
      <c r="AC51" s="816"/>
      <c r="AD51" s="816"/>
      <c r="AE51" s="815"/>
      <c r="AF51" s="816">
        <v>9.5399999999999991</v>
      </c>
      <c r="AG51" s="816">
        <v>11.179</v>
      </c>
      <c r="AH51" s="816">
        <v>11.983000000000001</v>
      </c>
      <c r="AI51" s="816">
        <v>14.781000000000001</v>
      </c>
      <c r="AJ51" s="815">
        <f t="shared" si="99"/>
        <v>14.781000000000001</v>
      </c>
      <c r="AK51" s="816">
        <v>14.877000000000001</v>
      </c>
      <c r="AL51" s="816">
        <v>16.981000000000002</v>
      </c>
      <c r="AM51" s="817">
        <v>17.318000000000001</v>
      </c>
      <c r="AN51" s="818"/>
      <c r="AO51" s="819"/>
      <c r="AP51" s="818"/>
      <c r="AQ51" s="818"/>
      <c r="AR51" s="818"/>
      <c r="AS51" s="818"/>
      <c r="AT51" s="819"/>
      <c r="AU51" s="819"/>
      <c r="AV51" s="819"/>
      <c r="AW51" s="819"/>
      <c r="AX51" s="793"/>
    </row>
    <row r="52" spans="1:50" s="7" customFormat="1" hidden="1" outlineLevel="1" x14ac:dyDescent="0.45">
      <c r="A52" s="104" t="s">
        <v>590</v>
      </c>
      <c r="B52" s="652"/>
      <c r="C52" s="833"/>
      <c r="D52" s="833"/>
      <c r="E52" s="833"/>
      <c r="F52" s="833"/>
      <c r="G52" s="839"/>
      <c r="H52" s="839"/>
      <c r="I52" s="839"/>
      <c r="J52" s="839"/>
      <c r="K52" s="833"/>
      <c r="L52" s="839"/>
      <c r="M52" s="839"/>
      <c r="N52" s="839"/>
      <c r="O52" s="839"/>
      <c r="P52" s="833"/>
      <c r="Q52" s="839"/>
      <c r="R52" s="839"/>
      <c r="S52" s="839"/>
      <c r="T52" s="839"/>
      <c r="U52" s="833"/>
      <c r="V52" s="839"/>
      <c r="W52" s="839"/>
      <c r="X52" s="839"/>
      <c r="Y52" s="839"/>
      <c r="Z52" s="833"/>
      <c r="AA52" s="839"/>
      <c r="AB52" s="839"/>
      <c r="AC52" s="839"/>
      <c r="AD52" s="839"/>
      <c r="AE52" s="833"/>
      <c r="AF52" s="839">
        <f t="shared" ref="AF52:AL52" si="100">SUM(AF50:AF51)</f>
        <v>12.491999999999999</v>
      </c>
      <c r="AG52" s="839">
        <f t="shared" si="100"/>
        <v>14.571</v>
      </c>
      <c r="AH52" s="839">
        <f t="shared" si="100"/>
        <v>15.753</v>
      </c>
      <c r="AI52" s="839">
        <f t="shared" si="100"/>
        <v>19.597000000000001</v>
      </c>
      <c r="AJ52" s="833">
        <f t="shared" si="100"/>
        <v>19.597000000000001</v>
      </c>
      <c r="AK52" s="839">
        <f t="shared" si="100"/>
        <v>19.997</v>
      </c>
      <c r="AL52" s="839">
        <f t="shared" si="100"/>
        <v>22.970000000000002</v>
      </c>
      <c r="AM52" s="832">
        <f>SUM(AM50:AM51)</f>
        <v>23.956000000000003</v>
      </c>
      <c r="AN52" s="839"/>
      <c r="AO52" s="833"/>
      <c r="AP52" s="839"/>
      <c r="AQ52" s="839"/>
      <c r="AR52" s="839"/>
      <c r="AS52" s="839"/>
      <c r="AT52" s="833"/>
      <c r="AU52" s="833"/>
      <c r="AV52" s="833"/>
      <c r="AW52" s="833"/>
      <c r="AX52" s="795"/>
    </row>
    <row r="53" spans="1:50" s="29" customFormat="1" collapsed="1" x14ac:dyDescent="0.45">
      <c r="A53" s="672"/>
      <c r="B53" s="216"/>
      <c r="C53" s="815"/>
      <c r="D53" s="815"/>
      <c r="E53" s="815"/>
      <c r="F53" s="815"/>
      <c r="G53" s="816"/>
      <c r="H53" s="816"/>
      <c r="I53" s="816"/>
      <c r="J53" s="816"/>
      <c r="K53" s="815"/>
      <c r="L53" s="816"/>
      <c r="M53" s="816"/>
      <c r="N53" s="816"/>
      <c r="O53" s="816"/>
      <c r="P53" s="815"/>
      <c r="Q53" s="816"/>
      <c r="R53" s="816"/>
      <c r="S53" s="816"/>
      <c r="T53" s="816"/>
      <c r="U53" s="815"/>
      <c r="V53" s="816"/>
      <c r="W53" s="816"/>
      <c r="X53" s="816"/>
      <c r="Y53" s="816"/>
      <c r="Z53" s="815"/>
      <c r="AA53" s="816"/>
      <c r="AB53" s="816"/>
      <c r="AC53" s="816"/>
      <c r="AD53" s="816"/>
      <c r="AE53" s="815"/>
      <c r="AF53" s="816"/>
      <c r="AG53" s="816"/>
      <c r="AH53" s="816"/>
      <c r="AI53" s="816"/>
      <c r="AJ53" s="815"/>
      <c r="AK53" s="816"/>
      <c r="AL53" s="816"/>
      <c r="AM53" s="817"/>
      <c r="AN53" s="818"/>
      <c r="AO53" s="819"/>
      <c r="AP53" s="818"/>
      <c r="AQ53" s="818"/>
      <c r="AR53" s="818"/>
      <c r="AS53" s="818"/>
      <c r="AT53" s="819"/>
      <c r="AU53" s="819"/>
      <c r="AV53" s="819"/>
      <c r="AW53" s="819"/>
      <c r="AX53" s="793"/>
    </row>
    <row r="54" spans="1:50" s="7" customFormat="1" x14ac:dyDescent="0.45">
      <c r="A54" s="790" t="s">
        <v>592</v>
      </c>
      <c r="B54" s="790"/>
      <c r="C54" s="812"/>
      <c r="D54" s="812"/>
      <c r="E54" s="812"/>
      <c r="F54" s="812"/>
      <c r="G54" s="812"/>
      <c r="H54" s="812"/>
      <c r="I54" s="812"/>
      <c r="J54" s="812"/>
      <c r="K54" s="812"/>
      <c r="L54" s="812"/>
      <c r="M54" s="812"/>
      <c r="N54" s="812"/>
      <c r="O54" s="812"/>
      <c r="P54" s="812"/>
      <c r="Q54" s="812"/>
      <c r="R54" s="812"/>
      <c r="S54" s="812"/>
      <c r="T54" s="812"/>
      <c r="U54" s="812"/>
      <c r="V54" s="812"/>
      <c r="W54" s="812"/>
      <c r="X54" s="812"/>
      <c r="Y54" s="812"/>
      <c r="Z54" s="812"/>
      <c r="AA54" s="812"/>
      <c r="AB54" s="812"/>
      <c r="AC54" s="812"/>
      <c r="AD54" s="812"/>
      <c r="AE54" s="812"/>
      <c r="AF54" s="812"/>
      <c r="AG54" s="812"/>
      <c r="AH54" s="812"/>
      <c r="AI54" s="812"/>
      <c r="AJ54" s="812"/>
      <c r="AK54" s="812"/>
      <c r="AL54" s="812"/>
      <c r="AM54" s="813"/>
      <c r="AN54" s="814"/>
      <c r="AO54" s="814"/>
      <c r="AP54" s="814"/>
      <c r="AQ54" s="814"/>
      <c r="AR54" s="814"/>
      <c r="AS54" s="814"/>
      <c r="AT54" s="814"/>
      <c r="AU54" s="814"/>
      <c r="AV54" s="814"/>
      <c r="AW54" s="814"/>
      <c r="AX54" s="795"/>
    </row>
    <row r="55" spans="1:50" s="73" customFormat="1" hidden="1" outlineLevel="1" x14ac:dyDescent="0.45">
      <c r="A55" s="673" t="s">
        <v>401</v>
      </c>
      <c r="B55" s="674"/>
      <c r="C55" s="675"/>
      <c r="D55" s="675"/>
      <c r="E55" s="675"/>
      <c r="F55" s="675"/>
      <c r="G55" s="676"/>
      <c r="H55" s="676"/>
      <c r="I55" s="676"/>
      <c r="J55" s="676"/>
      <c r="K55" s="675"/>
      <c r="L55" s="676"/>
      <c r="M55" s="676"/>
      <c r="N55" s="676"/>
      <c r="O55" s="676"/>
      <c r="P55" s="675"/>
      <c r="Q55" s="676"/>
      <c r="R55" s="676"/>
      <c r="S55" s="676"/>
      <c r="T55" s="676">
        <v>90000</v>
      </c>
      <c r="U55" s="675">
        <f>T55</f>
        <v>90000</v>
      </c>
      <c r="V55" s="676">
        <v>90000</v>
      </c>
      <c r="W55" s="676">
        <v>90000</v>
      </c>
      <c r="X55" s="676">
        <v>90000</v>
      </c>
      <c r="Y55" s="676">
        <v>90000</v>
      </c>
      <c r="Z55" s="675">
        <f>Y55</f>
        <v>90000</v>
      </c>
      <c r="AA55" s="676">
        <v>90000</v>
      </c>
      <c r="AB55" s="676">
        <v>90000</v>
      </c>
      <c r="AC55" s="676">
        <v>90000</v>
      </c>
      <c r="AD55" s="676">
        <v>90000</v>
      </c>
      <c r="AE55" s="675">
        <f>AD55</f>
        <v>90000</v>
      </c>
      <c r="AF55" s="676">
        <v>90000</v>
      </c>
      <c r="AG55" s="676">
        <v>90000</v>
      </c>
      <c r="AH55" s="676">
        <v>90000</v>
      </c>
      <c r="AI55" s="676">
        <v>90000</v>
      </c>
      <c r="AJ55" s="675">
        <f>AI55</f>
        <v>90000</v>
      </c>
      <c r="AK55" s="676">
        <v>90000</v>
      </c>
      <c r="AL55" s="676">
        <v>90000</v>
      </c>
      <c r="AM55" s="772">
        <v>90000</v>
      </c>
      <c r="AN55" s="677"/>
      <c r="AO55" s="678"/>
      <c r="AP55" s="677"/>
      <c r="AQ55" s="677"/>
      <c r="AR55" s="677"/>
      <c r="AS55" s="677"/>
      <c r="AT55" s="678"/>
      <c r="AU55" s="678"/>
      <c r="AV55" s="678"/>
      <c r="AW55" s="678"/>
      <c r="AX55" s="72"/>
    </row>
    <row r="56" spans="1:50" s="29" customFormat="1" hidden="1" outlineLevel="1" x14ac:dyDescent="0.45">
      <c r="A56" s="672"/>
      <c r="B56" s="216"/>
      <c r="C56" s="815"/>
      <c r="D56" s="815"/>
      <c r="E56" s="815"/>
      <c r="F56" s="815"/>
      <c r="G56" s="816"/>
      <c r="H56" s="816"/>
      <c r="I56" s="816"/>
      <c r="J56" s="816"/>
      <c r="K56" s="815"/>
      <c r="L56" s="816"/>
      <c r="M56" s="816"/>
      <c r="N56" s="816"/>
      <c r="O56" s="816"/>
      <c r="P56" s="815"/>
      <c r="Q56" s="816"/>
      <c r="R56" s="816"/>
      <c r="S56" s="816"/>
      <c r="T56" s="816"/>
      <c r="U56" s="815"/>
      <c r="V56" s="816"/>
      <c r="W56" s="816"/>
      <c r="X56" s="816"/>
      <c r="Y56" s="816"/>
      <c r="Z56" s="815"/>
      <c r="AA56" s="816"/>
      <c r="AB56" s="816"/>
      <c r="AC56" s="816"/>
      <c r="AD56" s="816"/>
      <c r="AE56" s="815"/>
      <c r="AF56" s="816"/>
      <c r="AG56" s="816"/>
      <c r="AH56" s="816"/>
      <c r="AI56" s="816"/>
      <c r="AJ56" s="815"/>
      <c r="AK56" s="816"/>
      <c r="AL56" s="816"/>
      <c r="AM56" s="817"/>
      <c r="AN56" s="818"/>
      <c r="AO56" s="819"/>
      <c r="AP56" s="818"/>
      <c r="AQ56" s="818"/>
      <c r="AR56" s="818"/>
      <c r="AS56" s="818"/>
      <c r="AT56" s="819"/>
      <c r="AU56" s="819"/>
      <c r="AV56" s="819"/>
      <c r="AW56" s="819"/>
      <c r="AX56" s="793"/>
    </row>
    <row r="57" spans="1:50" s="35" customFormat="1" hidden="1" outlineLevel="1" x14ac:dyDescent="0.45">
      <c r="A57" s="711" t="s">
        <v>544</v>
      </c>
      <c r="B57" s="712"/>
      <c r="C57" s="713"/>
      <c r="D57" s="713"/>
      <c r="E57" s="713"/>
      <c r="F57" s="713"/>
      <c r="G57" s="714"/>
      <c r="H57" s="714"/>
      <c r="I57" s="714"/>
      <c r="J57" s="714"/>
      <c r="K57" s="713"/>
      <c r="L57" s="714"/>
      <c r="M57" s="714"/>
      <c r="N57" s="714"/>
      <c r="O57" s="714"/>
      <c r="P57" s="713"/>
      <c r="Q57" s="714"/>
      <c r="R57" s="714"/>
      <c r="S57" s="714"/>
      <c r="T57" s="714"/>
      <c r="U57" s="713"/>
      <c r="V57" s="714"/>
      <c r="W57" s="714"/>
      <c r="X57" s="714"/>
      <c r="Y57" s="714"/>
      <c r="Z57" s="713">
        <f t="shared" ref="Z57:AM57" si="101">((Z18*1000000)/Z55)/Z3</f>
        <v>2.8650837138508369</v>
      </c>
      <c r="AA57" s="714">
        <f t="shared" si="101"/>
        <v>3.1227106227106227</v>
      </c>
      <c r="AB57" s="714">
        <f t="shared" si="101"/>
        <v>3.2352657004830916</v>
      </c>
      <c r="AC57" s="714">
        <f t="shared" si="101"/>
        <v>3.2120772946859906</v>
      </c>
      <c r="AD57" s="714">
        <f t="shared" si="101"/>
        <v>3.3785185185185185</v>
      </c>
      <c r="AE57" s="713">
        <f t="shared" si="101"/>
        <v>3.2366818873668191</v>
      </c>
      <c r="AF57" s="714">
        <f t="shared" si="101"/>
        <v>3.4588522588522586</v>
      </c>
      <c r="AG57" s="714">
        <f t="shared" si="101"/>
        <v>3.5332125603864735</v>
      </c>
      <c r="AH57" s="714">
        <f t="shared" si="101"/>
        <v>3.6274154589371981</v>
      </c>
      <c r="AI57" s="714">
        <f t="shared" si="101"/>
        <v>3.6893827160493826</v>
      </c>
      <c r="AJ57" s="713">
        <f t="shared" si="101"/>
        <v>3.5769254185692541</v>
      </c>
      <c r="AK57" s="714">
        <f t="shared" si="101"/>
        <v>3.6805860805860808</v>
      </c>
      <c r="AL57" s="714">
        <f t="shared" si="101"/>
        <v>3.7935990338164252</v>
      </c>
      <c r="AM57" s="715">
        <f t="shared" si="101"/>
        <v>4.0051932367149758</v>
      </c>
      <c r="AN57" s="716"/>
      <c r="AO57" s="717"/>
      <c r="AP57" s="716"/>
      <c r="AQ57" s="716"/>
      <c r="AR57" s="716"/>
      <c r="AS57" s="716"/>
      <c r="AT57" s="717"/>
      <c r="AU57" s="717"/>
      <c r="AV57" s="717"/>
      <c r="AW57" s="717"/>
      <c r="AX57" s="134"/>
    </row>
    <row r="58" spans="1:50" s="726" customFormat="1" hidden="1" outlineLevel="1" x14ac:dyDescent="0.45">
      <c r="A58" s="718" t="s">
        <v>545</v>
      </c>
      <c r="B58" s="719"/>
      <c r="C58" s="720"/>
      <c r="D58" s="720"/>
      <c r="E58" s="720"/>
      <c r="F58" s="720"/>
      <c r="G58" s="721"/>
      <c r="H58" s="721"/>
      <c r="I58" s="721"/>
      <c r="J58" s="721"/>
      <c r="K58" s="720"/>
      <c r="L58" s="721"/>
      <c r="M58" s="721"/>
      <c r="N58" s="721"/>
      <c r="O58" s="721"/>
      <c r="P58" s="720"/>
      <c r="Q58" s="721"/>
      <c r="R58" s="721"/>
      <c r="S58" s="721"/>
      <c r="T58" s="721"/>
      <c r="U58" s="720"/>
      <c r="V58" s="721"/>
      <c r="W58" s="721"/>
      <c r="X58" s="721"/>
      <c r="Y58" s="721"/>
      <c r="Z58" s="720">
        <f>Z57*Z3</f>
        <v>1045.7555555555555</v>
      </c>
      <c r="AA58" s="721">
        <f>AA57*AE3</f>
        <v>1139.7893772893774</v>
      </c>
      <c r="AB58" s="721">
        <f>AB57*AE3</f>
        <v>1180.8719806763283</v>
      </c>
      <c r="AC58" s="721">
        <f>AC57*AE3</f>
        <v>1172.4082125603866</v>
      </c>
      <c r="AD58" s="721">
        <f>AD57*AE3</f>
        <v>1233.1592592592592</v>
      </c>
      <c r="AE58" s="720">
        <f>AE57*AE3</f>
        <v>1181.3888888888889</v>
      </c>
      <c r="AF58" s="721">
        <f>AF57*AJ3</f>
        <v>1262.4810744810743</v>
      </c>
      <c r="AG58" s="721">
        <f>AG57*AJ3</f>
        <v>1289.6225845410629</v>
      </c>
      <c r="AH58" s="721">
        <f>AH57*AJ3</f>
        <v>1324.0066425120774</v>
      </c>
      <c r="AI58" s="721">
        <f>AI57*AJ3</f>
        <v>1346.6246913580246</v>
      </c>
      <c r="AJ58" s="720">
        <f>AJ57*AJ3</f>
        <v>1305.5777777777778</v>
      </c>
      <c r="AK58" s="721">
        <f>AK57*AO3</f>
        <v>1347.0945054945055</v>
      </c>
      <c r="AL58" s="721">
        <f>AL57*AO3</f>
        <v>1388.4572463768116</v>
      </c>
      <c r="AM58" s="722">
        <f>AM57*AO3</f>
        <v>1465.9007246376812</v>
      </c>
      <c r="AN58" s="723"/>
      <c r="AO58" s="724"/>
      <c r="AP58" s="723"/>
      <c r="AQ58" s="723"/>
      <c r="AR58" s="723"/>
      <c r="AS58" s="723"/>
      <c r="AT58" s="724"/>
      <c r="AU58" s="724"/>
      <c r="AV58" s="724"/>
      <c r="AW58" s="724"/>
      <c r="AX58" s="725"/>
    </row>
    <row r="59" spans="1:50" s="7" customFormat="1" hidden="1" outlineLevel="1" x14ac:dyDescent="0.45">
      <c r="A59" s="105" t="s">
        <v>546</v>
      </c>
      <c r="B59" s="727"/>
      <c r="C59" s="834"/>
      <c r="D59" s="834"/>
      <c r="E59" s="834"/>
      <c r="F59" s="834"/>
      <c r="G59" s="835"/>
      <c r="H59" s="835"/>
      <c r="I59" s="835"/>
      <c r="J59" s="835"/>
      <c r="K59" s="834"/>
      <c r="L59" s="835"/>
      <c r="M59" s="835"/>
      <c r="N59" s="835"/>
      <c r="O59" s="835"/>
      <c r="P59" s="834"/>
      <c r="Q59" s="835"/>
      <c r="R59" s="835"/>
      <c r="S59" s="835"/>
      <c r="T59" s="835"/>
      <c r="U59" s="834"/>
      <c r="V59" s="835"/>
      <c r="W59" s="835"/>
      <c r="X59" s="835"/>
      <c r="Y59" s="835"/>
      <c r="Z59" s="834">
        <f t="shared" ref="Z59:AM59" si="102">Z58*Z55/1000000</f>
        <v>94.117999999999995</v>
      </c>
      <c r="AA59" s="835">
        <f t="shared" si="102"/>
        <v>102.58104395604396</v>
      </c>
      <c r="AB59" s="835">
        <f t="shared" si="102"/>
        <v>106.27847826086955</v>
      </c>
      <c r="AC59" s="835">
        <f t="shared" si="102"/>
        <v>105.5167391304348</v>
      </c>
      <c r="AD59" s="835">
        <f t="shared" si="102"/>
        <v>110.98433333333332</v>
      </c>
      <c r="AE59" s="834">
        <f t="shared" si="102"/>
        <v>106.325</v>
      </c>
      <c r="AF59" s="835">
        <f t="shared" si="102"/>
        <v>113.62329670329669</v>
      </c>
      <c r="AG59" s="835">
        <f t="shared" si="102"/>
        <v>116.06603260869565</v>
      </c>
      <c r="AH59" s="835">
        <f t="shared" si="102"/>
        <v>119.16059782608697</v>
      </c>
      <c r="AI59" s="835">
        <f t="shared" si="102"/>
        <v>121.1962222222222</v>
      </c>
      <c r="AJ59" s="834">
        <f t="shared" si="102"/>
        <v>117.502</v>
      </c>
      <c r="AK59" s="835">
        <f t="shared" si="102"/>
        <v>121.23850549450549</v>
      </c>
      <c r="AL59" s="835">
        <f t="shared" si="102"/>
        <v>124.96115217391305</v>
      </c>
      <c r="AM59" s="836">
        <f t="shared" si="102"/>
        <v>131.93106521739131</v>
      </c>
      <c r="AN59" s="837"/>
      <c r="AO59" s="838"/>
      <c r="AP59" s="837"/>
      <c r="AQ59" s="837"/>
      <c r="AR59" s="837"/>
      <c r="AS59" s="837"/>
      <c r="AT59" s="838"/>
      <c r="AU59" s="838"/>
      <c r="AV59" s="838"/>
      <c r="AW59" s="838"/>
      <c r="AX59" s="795"/>
    </row>
    <row r="60" spans="1:50" s="202" customFormat="1" hidden="1" outlineLevel="1" x14ac:dyDescent="0.45">
      <c r="A60" s="138" t="s">
        <v>547</v>
      </c>
      <c r="B60" s="220"/>
      <c r="C60" s="406"/>
      <c r="D60" s="406"/>
      <c r="E60" s="406"/>
      <c r="F60" s="406"/>
      <c r="G60" s="372"/>
      <c r="H60" s="372"/>
      <c r="I60" s="372"/>
      <c r="J60" s="372"/>
      <c r="K60" s="406"/>
      <c r="L60" s="372"/>
      <c r="M60" s="372"/>
      <c r="N60" s="372"/>
      <c r="O60" s="372"/>
      <c r="P60" s="406"/>
      <c r="Q60" s="372"/>
      <c r="R60" s="372"/>
      <c r="S60" s="372"/>
      <c r="T60" s="372"/>
      <c r="U60" s="406"/>
      <c r="V60" s="372"/>
      <c r="W60" s="372"/>
      <c r="X60" s="372"/>
      <c r="Y60" s="372"/>
      <c r="Z60" s="406"/>
      <c r="AA60" s="372"/>
      <c r="AB60" s="372"/>
      <c r="AC60" s="372"/>
      <c r="AD60" s="372"/>
      <c r="AE60" s="406">
        <f>AE59/Z59-1</f>
        <v>0.12969888862916767</v>
      </c>
      <c r="AF60" s="372">
        <f t="shared" ref="AF60:AM60" si="103">AF59/AA59-1</f>
        <v>0.10764418377321583</v>
      </c>
      <c r="AG60" s="372">
        <f t="shared" si="103"/>
        <v>9.2093474690159827E-2</v>
      </c>
      <c r="AH60" s="372">
        <f t="shared" si="103"/>
        <v>0.12930515867047676</v>
      </c>
      <c r="AI60" s="372">
        <f t="shared" si="103"/>
        <v>9.2011985675655827E-2</v>
      </c>
      <c r="AJ60" s="406">
        <f t="shared" si="103"/>
        <v>0.10512109099459188</v>
      </c>
      <c r="AK60" s="372">
        <f t="shared" si="103"/>
        <v>6.7021544103708974E-2</v>
      </c>
      <c r="AL60" s="372">
        <f t="shared" si="103"/>
        <v>7.6638439044490747E-2</v>
      </c>
      <c r="AM60" s="566">
        <f t="shared" si="103"/>
        <v>0.10717021921913017</v>
      </c>
      <c r="AN60" s="222"/>
      <c r="AO60" s="221"/>
      <c r="AP60" s="222"/>
      <c r="AQ60" s="222"/>
      <c r="AR60" s="222"/>
      <c r="AS60" s="222"/>
      <c r="AT60" s="221"/>
      <c r="AU60" s="221"/>
      <c r="AV60" s="221"/>
      <c r="AW60" s="221"/>
      <c r="AX60" s="182"/>
    </row>
    <row r="61" spans="1:50" s="29" customFormat="1" hidden="1" outlineLevel="1" x14ac:dyDescent="0.45">
      <c r="A61" s="672"/>
      <c r="B61" s="216"/>
      <c r="C61" s="815"/>
      <c r="D61" s="815"/>
      <c r="E61" s="815"/>
      <c r="F61" s="815"/>
      <c r="G61" s="816"/>
      <c r="H61" s="816"/>
      <c r="I61" s="816"/>
      <c r="J61" s="816"/>
      <c r="K61" s="815"/>
      <c r="L61" s="816"/>
      <c r="M61" s="816"/>
      <c r="N61" s="816"/>
      <c r="O61" s="816"/>
      <c r="P61" s="815"/>
      <c r="Q61" s="816"/>
      <c r="R61" s="816"/>
      <c r="S61" s="816"/>
      <c r="T61" s="816"/>
      <c r="U61" s="815"/>
      <c r="V61" s="816"/>
      <c r="W61" s="816"/>
      <c r="X61" s="816"/>
      <c r="Y61" s="816"/>
      <c r="Z61" s="815"/>
      <c r="AA61" s="816"/>
      <c r="AB61" s="816"/>
      <c r="AC61" s="816"/>
      <c r="AD61" s="816"/>
      <c r="AE61" s="815"/>
      <c r="AF61" s="816"/>
      <c r="AG61" s="816"/>
      <c r="AH61" s="816"/>
      <c r="AI61" s="816"/>
      <c r="AJ61" s="815"/>
      <c r="AK61" s="816"/>
      <c r="AL61" s="816"/>
      <c r="AM61" s="817"/>
      <c r="AN61" s="818"/>
      <c r="AO61" s="819"/>
      <c r="AP61" s="818"/>
      <c r="AQ61" s="818"/>
      <c r="AR61" s="818"/>
      <c r="AS61" s="818"/>
      <c r="AT61" s="819"/>
      <c r="AU61" s="819"/>
      <c r="AV61" s="819"/>
      <c r="AW61" s="819"/>
      <c r="AX61" s="793"/>
    </row>
    <row r="62" spans="1:50" s="35" customFormat="1" hidden="1" outlineLevel="1" x14ac:dyDescent="0.45">
      <c r="A62" s="711" t="s">
        <v>548</v>
      </c>
      <c r="B62" s="712"/>
      <c r="C62" s="713"/>
      <c r="D62" s="713"/>
      <c r="E62" s="713"/>
      <c r="F62" s="713"/>
      <c r="G62" s="714"/>
      <c r="H62" s="714"/>
      <c r="I62" s="714"/>
      <c r="J62" s="714"/>
      <c r="K62" s="713"/>
      <c r="L62" s="714"/>
      <c r="M62" s="714"/>
      <c r="N62" s="714"/>
      <c r="O62" s="714"/>
      <c r="P62" s="713"/>
      <c r="Q62" s="714"/>
      <c r="R62" s="714"/>
      <c r="S62" s="714"/>
      <c r="T62" s="714"/>
      <c r="U62" s="713"/>
      <c r="V62" s="714"/>
      <c r="W62" s="714"/>
      <c r="X62" s="714"/>
      <c r="Y62" s="714"/>
      <c r="Z62" s="713">
        <f>((Z19*1000000)/Z55)/Z3</f>
        <v>4.8341552511415529</v>
      </c>
      <c r="AA62" s="714">
        <f t="shared" ref="AA62:AM62" si="104">((AA19*1000000)/AA55)/AA3</f>
        <v>5.0202686202686202</v>
      </c>
      <c r="AB62" s="714">
        <f t="shared" si="104"/>
        <v>5.0353864734299512</v>
      </c>
      <c r="AC62" s="714">
        <f t="shared" si="104"/>
        <v>4.8746376811594203</v>
      </c>
      <c r="AD62" s="714">
        <f t="shared" si="104"/>
        <v>5.016543209876545</v>
      </c>
      <c r="AE62" s="713">
        <f t="shared" si="104"/>
        <v>4.9864535768645357</v>
      </c>
      <c r="AF62" s="714">
        <f t="shared" si="104"/>
        <v>5.0363858363858363</v>
      </c>
      <c r="AG62" s="714">
        <f t="shared" si="104"/>
        <v>4.7818840579710145</v>
      </c>
      <c r="AH62" s="714">
        <f t="shared" si="104"/>
        <v>4.7963768115942029</v>
      </c>
      <c r="AI62" s="714">
        <f t="shared" si="104"/>
        <v>4.9681481481481491</v>
      </c>
      <c r="AJ62" s="713">
        <f t="shared" si="104"/>
        <v>4.8949162861491624</v>
      </c>
      <c r="AK62" s="714">
        <f t="shared" si="104"/>
        <v>4.8415140415140412</v>
      </c>
      <c r="AL62" s="714">
        <f t="shared" si="104"/>
        <v>4.7536231884057969</v>
      </c>
      <c r="AM62" s="715">
        <f t="shared" si="104"/>
        <v>4.8231884057971017</v>
      </c>
      <c r="AN62" s="716"/>
      <c r="AO62" s="717"/>
      <c r="AP62" s="716"/>
      <c r="AQ62" s="716"/>
      <c r="AR62" s="716"/>
      <c r="AS62" s="716"/>
      <c r="AT62" s="717"/>
      <c r="AU62" s="717"/>
      <c r="AV62" s="717"/>
      <c r="AW62" s="717"/>
      <c r="AX62" s="134"/>
    </row>
    <row r="63" spans="1:50" s="726" customFormat="1" hidden="1" outlineLevel="1" x14ac:dyDescent="0.45">
      <c r="A63" s="718" t="s">
        <v>549</v>
      </c>
      <c r="B63" s="719"/>
      <c r="C63" s="720"/>
      <c r="D63" s="720"/>
      <c r="E63" s="720"/>
      <c r="F63" s="720"/>
      <c r="G63" s="721"/>
      <c r="H63" s="721"/>
      <c r="I63" s="721"/>
      <c r="J63" s="721"/>
      <c r="K63" s="720"/>
      <c r="L63" s="721"/>
      <c r="M63" s="721"/>
      <c r="N63" s="721"/>
      <c r="O63" s="721"/>
      <c r="P63" s="720"/>
      <c r="Q63" s="721"/>
      <c r="R63" s="721"/>
      <c r="S63" s="721"/>
      <c r="T63" s="721"/>
      <c r="U63" s="720"/>
      <c r="V63" s="721"/>
      <c r="W63" s="721"/>
      <c r="X63" s="721"/>
      <c r="Y63" s="721"/>
      <c r="Z63" s="720">
        <f>Z62*Z3</f>
        <v>1764.4666666666667</v>
      </c>
      <c r="AA63" s="721">
        <f>AA62*AE3</f>
        <v>1832.3980463980463</v>
      </c>
      <c r="AB63" s="721">
        <f>AB62*AE3</f>
        <v>1837.9160628019322</v>
      </c>
      <c r="AC63" s="721">
        <f>AC62*AE3</f>
        <v>1779.2427536231885</v>
      </c>
      <c r="AD63" s="721">
        <f>AD62*AE3</f>
        <v>1831.0382716049389</v>
      </c>
      <c r="AE63" s="720">
        <f>AE62*AE3</f>
        <v>1820.0555555555554</v>
      </c>
      <c r="AF63" s="721">
        <f>AF62*AJ3</f>
        <v>1838.2808302808303</v>
      </c>
      <c r="AG63" s="721">
        <f>AG62*AJ3</f>
        <v>1745.3876811594203</v>
      </c>
      <c r="AH63" s="721">
        <f>AH62*AJ3</f>
        <v>1750.677536231884</v>
      </c>
      <c r="AI63" s="721">
        <f>AI62*AJ3</f>
        <v>1813.3740740740743</v>
      </c>
      <c r="AJ63" s="720">
        <f>AJ62*AJ3</f>
        <v>1786.6444444444444</v>
      </c>
      <c r="AK63" s="721">
        <f>AK62*AO3</f>
        <v>1771.9941391941391</v>
      </c>
      <c r="AL63" s="721">
        <f>AL62*AO3</f>
        <v>1739.8260869565217</v>
      </c>
      <c r="AM63" s="722">
        <f>AM62*AO3</f>
        <v>1765.2869565217393</v>
      </c>
      <c r="AN63" s="723"/>
      <c r="AO63" s="724"/>
      <c r="AP63" s="723"/>
      <c r="AQ63" s="723"/>
      <c r="AR63" s="723"/>
      <c r="AS63" s="723"/>
      <c r="AT63" s="724"/>
      <c r="AU63" s="724"/>
      <c r="AV63" s="724"/>
      <c r="AW63" s="724"/>
      <c r="AX63" s="725"/>
    </row>
    <row r="64" spans="1:50" s="7" customFormat="1" hidden="1" outlineLevel="1" x14ac:dyDescent="0.45">
      <c r="A64" s="105" t="s">
        <v>550</v>
      </c>
      <c r="B64" s="727"/>
      <c r="C64" s="834"/>
      <c r="D64" s="834"/>
      <c r="E64" s="834"/>
      <c r="F64" s="834"/>
      <c r="G64" s="835"/>
      <c r="H64" s="835"/>
      <c r="I64" s="835"/>
      <c r="J64" s="835"/>
      <c r="K64" s="834"/>
      <c r="L64" s="835"/>
      <c r="M64" s="835"/>
      <c r="N64" s="835"/>
      <c r="O64" s="835"/>
      <c r="P64" s="834"/>
      <c r="Q64" s="835"/>
      <c r="R64" s="835"/>
      <c r="S64" s="835"/>
      <c r="T64" s="835"/>
      <c r="U64" s="834"/>
      <c r="V64" s="835"/>
      <c r="W64" s="835"/>
      <c r="X64" s="835"/>
      <c r="Y64" s="835"/>
      <c r="Z64" s="834">
        <f>Z63*Z55/1000000</f>
        <v>158.80199999999999</v>
      </c>
      <c r="AA64" s="835">
        <f t="shared" ref="AA64:AM64" si="105">AA63*AA55/1000000</f>
        <v>164.91582417582416</v>
      </c>
      <c r="AB64" s="835">
        <f t="shared" si="105"/>
        <v>165.41244565217391</v>
      </c>
      <c r="AC64" s="835">
        <f t="shared" si="105"/>
        <v>160.13184782608695</v>
      </c>
      <c r="AD64" s="835">
        <f t="shared" si="105"/>
        <v>164.7934444444445</v>
      </c>
      <c r="AE64" s="834">
        <f t="shared" si="105"/>
        <v>163.80500000000001</v>
      </c>
      <c r="AF64" s="835">
        <f t="shared" si="105"/>
        <v>165.44527472527471</v>
      </c>
      <c r="AG64" s="835">
        <f t="shared" si="105"/>
        <v>157.08489130434782</v>
      </c>
      <c r="AH64" s="835">
        <f t="shared" si="105"/>
        <v>157.56097826086958</v>
      </c>
      <c r="AI64" s="835">
        <f t="shared" si="105"/>
        <v>163.20366666666669</v>
      </c>
      <c r="AJ64" s="834">
        <f t="shared" si="105"/>
        <v>160.798</v>
      </c>
      <c r="AK64" s="835">
        <f t="shared" si="105"/>
        <v>159.47947252747252</v>
      </c>
      <c r="AL64" s="835">
        <f t="shared" si="105"/>
        <v>156.58434782608697</v>
      </c>
      <c r="AM64" s="836">
        <f t="shared" si="105"/>
        <v>158.87582608695652</v>
      </c>
      <c r="AN64" s="837"/>
      <c r="AO64" s="838"/>
      <c r="AP64" s="837"/>
      <c r="AQ64" s="837"/>
      <c r="AR64" s="837"/>
      <c r="AS64" s="837"/>
      <c r="AT64" s="838"/>
      <c r="AU64" s="838"/>
      <c r="AV64" s="838"/>
      <c r="AW64" s="838"/>
      <c r="AX64" s="795"/>
    </row>
    <row r="65" spans="1:50" s="202" customFormat="1" hidden="1" outlineLevel="1" x14ac:dyDescent="0.45">
      <c r="A65" s="138" t="s">
        <v>551</v>
      </c>
      <c r="B65" s="220"/>
      <c r="C65" s="406"/>
      <c r="D65" s="406"/>
      <c r="E65" s="406"/>
      <c r="F65" s="406"/>
      <c r="G65" s="372"/>
      <c r="H65" s="372"/>
      <c r="I65" s="372"/>
      <c r="J65" s="372"/>
      <c r="K65" s="406"/>
      <c r="L65" s="372"/>
      <c r="M65" s="372"/>
      <c r="N65" s="372"/>
      <c r="O65" s="372"/>
      <c r="P65" s="406"/>
      <c r="Q65" s="372"/>
      <c r="R65" s="372"/>
      <c r="S65" s="372"/>
      <c r="T65" s="372"/>
      <c r="U65" s="406"/>
      <c r="V65" s="372"/>
      <c r="W65" s="372"/>
      <c r="X65" s="372"/>
      <c r="Y65" s="372"/>
      <c r="Z65" s="406"/>
      <c r="AA65" s="372"/>
      <c r="AB65" s="372"/>
      <c r="AC65" s="372"/>
      <c r="AD65" s="372"/>
      <c r="AE65" s="406">
        <f>AE64/Z64-1</f>
        <v>3.1504640999483691E-2</v>
      </c>
      <c r="AF65" s="372">
        <f t="shared" ref="AF65:AM65" si="106">AF64/AA64-1</f>
        <v>3.2104290300614124E-3</v>
      </c>
      <c r="AG65" s="372">
        <f t="shared" si="106"/>
        <v>-5.0344182476674826E-2</v>
      </c>
      <c r="AH65" s="372">
        <f t="shared" si="106"/>
        <v>-1.6054704920469676E-2</v>
      </c>
      <c r="AI65" s="372">
        <f t="shared" si="106"/>
        <v>-9.6470935669638047E-3</v>
      </c>
      <c r="AJ65" s="406">
        <f t="shared" si="106"/>
        <v>-1.8357193003876615E-2</v>
      </c>
      <c r="AK65" s="372">
        <f t="shared" si="106"/>
        <v>-3.6059066707758936E-2</v>
      </c>
      <c r="AL65" s="372">
        <f t="shared" si="106"/>
        <v>-3.1864520776289096E-3</v>
      </c>
      <c r="AM65" s="566">
        <f t="shared" si="106"/>
        <v>8.3450092821204525E-3</v>
      </c>
      <c r="AN65" s="222"/>
      <c r="AO65" s="221"/>
      <c r="AP65" s="222"/>
      <c r="AQ65" s="222"/>
      <c r="AR65" s="222"/>
      <c r="AS65" s="222"/>
      <c r="AT65" s="221"/>
      <c r="AU65" s="221"/>
      <c r="AV65" s="221"/>
      <c r="AW65" s="221"/>
      <c r="AX65" s="182"/>
    </row>
    <row r="66" spans="1:50" s="29" customFormat="1" hidden="1" outlineLevel="1" x14ac:dyDescent="0.45">
      <c r="A66" s="672"/>
      <c r="B66" s="216"/>
      <c r="C66" s="815"/>
      <c r="D66" s="815"/>
      <c r="E66" s="815"/>
      <c r="F66" s="815"/>
      <c r="G66" s="816"/>
      <c r="H66" s="816"/>
      <c r="I66" s="816"/>
      <c r="J66" s="816"/>
      <c r="K66" s="815"/>
      <c r="L66" s="816"/>
      <c r="M66" s="816"/>
      <c r="N66" s="816"/>
      <c r="O66" s="816"/>
      <c r="P66" s="815"/>
      <c r="Q66" s="816"/>
      <c r="R66" s="816"/>
      <c r="S66" s="816"/>
      <c r="T66" s="816"/>
      <c r="U66" s="815"/>
      <c r="V66" s="816"/>
      <c r="W66" s="816"/>
      <c r="X66" s="816"/>
      <c r="Y66" s="816"/>
      <c r="Z66" s="815"/>
      <c r="AA66" s="816"/>
      <c r="AB66" s="816"/>
      <c r="AC66" s="816"/>
      <c r="AD66" s="816"/>
      <c r="AE66" s="815"/>
      <c r="AF66" s="816"/>
      <c r="AG66" s="816"/>
      <c r="AH66" s="816"/>
      <c r="AI66" s="816"/>
      <c r="AJ66" s="815"/>
      <c r="AK66" s="816"/>
      <c r="AL66" s="816"/>
      <c r="AM66" s="817"/>
      <c r="AN66" s="818"/>
      <c r="AO66" s="819"/>
      <c r="AP66" s="818"/>
      <c r="AQ66" s="818"/>
      <c r="AR66" s="818"/>
      <c r="AS66" s="818"/>
      <c r="AT66" s="819"/>
      <c r="AU66" s="819"/>
      <c r="AV66" s="819"/>
      <c r="AW66" s="819"/>
      <c r="AX66" s="793"/>
    </row>
    <row r="67" spans="1:50" s="35" customFormat="1" hidden="1" outlineLevel="1" x14ac:dyDescent="0.45">
      <c r="A67" s="711" t="s">
        <v>552</v>
      </c>
      <c r="B67" s="712"/>
      <c r="C67" s="713"/>
      <c r="D67" s="713"/>
      <c r="E67" s="713"/>
      <c r="F67" s="713"/>
      <c r="G67" s="714"/>
      <c r="H67" s="714"/>
      <c r="I67" s="714"/>
      <c r="J67" s="714"/>
      <c r="K67" s="713"/>
      <c r="L67" s="714"/>
      <c r="M67" s="714"/>
      <c r="N67" s="714"/>
      <c r="O67" s="714"/>
      <c r="P67" s="713"/>
      <c r="Q67" s="714"/>
      <c r="R67" s="714"/>
      <c r="S67" s="714"/>
      <c r="T67" s="714"/>
      <c r="U67" s="713"/>
      <c r="V67" s="714"/>
      <c r="W67" s="714"/>
      <c r="X67" s="714"/>
      <c r="Y67" s="714"/>
      <c r="Z67" s="713">
        <f>((Z20*1000000)/Z55)/Z3</f>
        <v>3.2406088280060885</v>
      </c>
      <c r="AA67" s="714">
        <f t="shared" ref="AA67:AM67" si="107">((AA20*1000000)/AA55)/AA3</f>
        <v>3.5622710622710625</v>
      </c>
      <c r="AB67" s="714">
        <f t="shared" si="107"/>
        <v>3.3770531400966179</v>
      </c>
      <c r="AC67" s="714">
        <f t="shared" si="107"/>
        <v>3.4907004830917874</v>
      </c>
      <c r="AD67" s="714">
        <f t="shared" si="107"/>
        <v>3.3667901234567923</v>
      </c>
      <c r="AE67" s="713">
        <f t="shared" si="107"/>
        <v>3.4493455098934551</v>
      </c>
      <c r="AF67" s="714">
        <f t="shared" si="107"/>
        <v>3.2075702075702077</v>
      </c>
      <c r="AG67" s="714">
        <f t="shared" si="107"/>
        <v>2.8414251207729468</v>
      </c>
      <c r="AH67" s="714">
        <f t="shared" si="107"/>
        <v>2.9288647342995171</v>
      </c>
      <c r="AI67" s="714">
        <f t="shared" si="107"/>
        <v>2.9820987654320992</v>
      </c>
      <c r="AJ67" s="713">
        <f t="shared" si="107"/>
        <v>2.9894368340943682</v>
      </c>
      <c r="AK67" s="714">
        <f t="shared" si="107"/>
        <v>3.1356532356532356</v>
      </c>
      <c r="AL67" s="714">
        <f t="shared" si="107"/>
        <v>3.0457729468599033</v>
      </c>
      <c r="AM67" s="715">
        <f t="shared" si="107"/>
        <v>3.2403381642512072</v>
      </c>
      <c r="AN67" s="716"/>
      <c r="AO67" s="717"/>
      <c r="AP67" s="716"/>
      <c r="AQ67" s="716"/>
      <c r="AR67" s="716"/>
      <c r="AS67" s="716"/>
      <c r="AT67" s="717"/>
      <c r="AU67" s="717"/>
      <c r="AV67" s="717"/>
      <c r="AW67" s="717"/>
      <c r="AX67" s="134"/>
    </row>
    <row r="68" spans="1:50" s="726" customFormat="1" hidden="1" outlineLevel="1" x14ac:dyDescent="0.45">
      <c r="A68" s="718" t="s">
        <v>553</v>
      </c>
      <c r="B68" s="719"/>
      <c r="C68" s="720"/>
      <c r="D68" s="720"/>
      <c r="E68" s="720"/>
      <c r="F68" s="720"/>
      <c r="G68" s="721"/>
      <c r="H68" s="721"/>
      <c r="I68" s="721"/>
      <c r="J68" s="721"/>
      <c r="K68" s="720"/>
      <c r="L68" s="721"/>
      <c r="M68" s="721"/>
      <c r="N68" s="721"/>
      <c r="O68" s="721"/>
      <c r="P68" s="720"/>
      <c r="Q68" s="721"/>
      <c r="R68" s="721"/>
      <c r="S68" s="721"/>
      <c r="T68" s="721"/>
      <c r="U68" s="720"/>
      <c r="V68" s="721"/>
      <c r="W68" s="721"/>
      <c r="X68" s="721"/>
      <c r="Y68" s="721"/>
      <c r="Z68" s="720">
        <f>Z67*Z3</f>
        <v>1182.8222222222223</v>
      </c>
      <c r="AA68" s="721">
        <f>AA67*AE3</f>
        <v>1300.2289377289378</v>
      </c>
      <c r="AB68" s="721">
        <f>AB67*AE3</f>
        <v>1232.6243961352654</v>
      </c>
      <c r="AC68" s="721">
        <f>AC67*AE3</f>
        <v>1274.1056763285023</v>
      </c>
      <c r="AD68" s="721">
        <f>AD67*AE3</f>
        <v>1228.8783950617292</v>
      </c>
      <c r="AE68" s="720">
        <f>AE67*AE3</f>
        <v>1259.0111111111112</v>
      </c>
      <c r="AF68" s="721">
        <f>AF67*AJ3</f>
        <v>1170.7631257631258</v>
      </c>
      <c r="AG68" s="721">
        <f>AG67*AJ3</f>
        <v>1037.1201690821256</v>
      </c>
      <c r="AH68" s="721">
        <f>AH67*AJ3</f>
        <v>1069.0356280193237</v>
      </c>
      <c r="AI68" s="721">
        <f>AI67*AJ3</f>
        <v>1088.4660493827162</v>
      </c>
      <c r="AJ68" s="720">
        <f>AJ67*AJ3</f>
        <v>1091.1444444444444</v>
      </c>
      <c r="AK68" s="721">
        <f>AK67*AO3</f>
        <v>1147.6490842490841</v>
      </c>
      <c r="AL68" s="721">
        <f>AL67*AO3</f>
        <v>1114.7528985507247</v>
      </c>
      <c r="AM68" s="722">
        <f>AM67*AO3</f>
        <v>1185.9637681159418</v>
      </c>
      <c r="AN68" s="723"/>
      <c r="AO68" s="724"/>
      <c r="AP68" s="723"/>
      <c r="AQ68" s="723"/>
      <c r="AR68" s="723"/>
      <c r="AS68" s="723"/>
      <c r="AT68" s="724"/>
      <c r="AU68" s="724"/>
      <c r="AV68" s="724"/>
      <c r="AW68" s="724"/>
      <c r="AX68" s="725"/>
    </row>
    <row r="69" spans="1:50" s="7" customFormat="1" hidden="1" outlineLevel="1" x14ac:dyDescent="0.45">
      <c r="A69" s="105" t="s">
        <v>554</v>
      </c>
      <c r="B69" s="727"/>
      <c r="C69" s="834"/>
      <c r="D69" s="834"/>
      <c r="E69" s="834"/>
      <c r="F69" s="834"/>
      <c r="G69" s="835"/>
      <c r="H69" s="835"/>
      <c r="I69" s="835"/>
      <c r="J69" s="835"/>
      <c r="K69" s="834"/>
      <c r="L69" s="835"/>
      <c r="M69" s="835"/>
      <c r="N69" s="835"/>
      <c r="O69" s="835"/>
      <c r="P69" s="834"/>
      <c r="Q69" s="835"/>
      <c r="R69" s="835"/>
      <c r="S69" s="835"/>
      <c r="T69" s="835"/>
      <c r="U69" s="834"/>
      <c r="V69" s="835"/>
      <c r="W69" s="835"/>
      <c r="X69" s="835"/>
      <c r="Y69" s="835"/>
      <c r="Z69" s="834">
        <f>Z68*Z55/1000000</f>
        <v>106.45400000000002</v>
      </c>
      <c r="AA69" s="835">
        <f t="shared" ref="AA69:AM69" si="108">AA68*AA55/1000000</f>
        <v>117.02060439560441</v>
      </c>
      <c r="AB69" s="835">
        <f t="shared" si="108"/>
        <v>110.93619565217389</v>
      </c>
      <c r="AC69" s="835">
        <f t="shared" si="108"/>
        <v>114.6695108695652</v>
      </c>
      <c r="AD69" s="835">
        <f t="shared" si="108"/>
        <v>110.59905555555562</v>
      </c>
      <c r="AE69" s="834">
        <f t="shared" si="108"/>
        <v>113.31100000000001</v>
      </c>
      <c r="AF69" s="835">
        <f t="shared" si="108"/>
        <v>105.36868131868131</v>
      </c>
      <c r="AG69" s="835">
        <f t="shared" si="108"/>
        <v>93.340815217391295</v>
      </c>
      <c r="AH69" s="835">
        <f t="shared" si="108"/>
        <v>96.213206521739124</v>
      </c>
      <c r="AI69" s="835">
        <f t="shared" si="108"/>
        <v>97.961944444444441</v>
      </c>
      <c r="AJ69" s="834">
        <f t="shared" si="108"/>
        <v>98.203000000000003</v>
      </c>
      <c r="AK69" s="835">
        <f t="shared" si="108"/>
        <v>103.28841758241758</v>
      </c>
      <c r="AL69" s="835">
        <f t="shared" si="108"/>
        <v>100.32776086956522</v>
      </c>
      <c r="AM69" s="836">
        <f t="shared" si="108"/>
        <v>106.73673913043477</v>
      </c>
      <c r="AN69" s="837"/>
      <c r="AO69" s="838"/>
      <c r="AP69" s="837"/>
      <c r="AQ69" s="837"/>
      <c r="AR69" s="837"/>
      <c r="AS69" s="837"/>
      <c r="AT69" s="838"/>
      <c r="AU69" s="838"/>
      <c r="AV69" s="838"/>
      <c r="AW69" s="838"/>
      <c r="AX69" s="795"/>
    </row>
    <row r="70" spans="1:50" s="202" customFormat="1" hidden="1" outlineLevel="1" x14ac:dyDescent="0.45">
      <c r="A70" s="138" t="s">
        <v>555</v>
      </c>
      <c r="B70" s="220"/>
      <c r="C70" s="406"/>
      <c r="D70" s="406"/>
      <c r="E70" s="406"/>
      <c r="F70" s="406"/>
      <c r="G70" s="372"/>
      <c r="H70" s="372"/>
      <c r="I70" s="372"/>
      <c r="J70" s="372"/>
      <c r="K70" s="406"/>
      <c r="L70" s="372"/>
      <c r="M70" s="372"/>
      <c r="N70" s="372"/>
      <c r="O70" s="372"/>
      <c r="P70" s="406"/>
      <c r="Q70" s="372"/>
      <c r="R70" s="372"/>
      <c r="S70" s="372"/>
      <c r="T70" s="372"/>
      <c r="U70" s="406"/>
      <c r="V70" s="372"/>
      <c r="W70" s="372"/>
      <c r="X70" s="372"/>
      <c r="Y70" s="372"/>
      <c r="Z70" s="406"/>
      <c r="AA70" s="372"/>
      <c r="AB70" s="372"/>
      <c r="AC70" s="372"/>
      <c r="AD70" s="372"/>
      <c r="AE70" s="406">
        <f>AE69/Z69-1</f>
        <v>6.441279801604427E-2</v>
      </c>
      <c r="AF70" s="372">
        <f t="shared" ref="AF70:AM70" si="109">AF69/AA69-1</f>
        <v>-9.9571550985432911E-2</v>
      </c>
      <c r="AG70" s="372">
        <f t="shared" si="109"/>
        <v>-0.15860811100779626</v>
      </c>
      <c r="AH70" s="372">
        <f t="shared" si="109"/>
        <v>-0.160952150295817</v>
      </c>
      <c r="AI70" s="372">
        <f t="shared" si="109"/>
        <v>-0.11426056983609023</v>
      </c>
      <c r="AJ70" s="406">
        <f t="shared" si="109"/>
        <v>-0.13333215663086551</v>
      </c>
      <c r="AK70" s="372">
        <f t="shared" si="109"/>
        <v>-1.9742713966136693E-2</v>
      </c>
      <c r="AL70" s="372">
        <f t="shared" si="109"/>
        <v>7.4854131452583683E-2</v>
      </c>
      <c r="AM70" s="566">
        <f t="shared" si="109"/>
        <v>0.10937721534431843</v>
      </c>
      <c r="AN70" s="222"/>
      <c r="AO70" s="221"/>
      <c r="AP70" s="222"/>
      <c r="AQ70" s="222"/>
      <c r="AR70" s="222"/>
      <c r="AS70" s="222"/>
      <c r="AT70" s="221"/>
      <c r="AU70" s="221"/>
      <c r="AV70" s="221"/>
      <c r="AW70" s="221"/>
      <c r="AX70" s="182"/>
    </row>
    <row r="71" spans="1:50" s="29" customFormat="1" hidden="1" outlineLevel="1" x14ac:dyDescent="0.45">
      <c r="A71" s="672"/>
      <c r="B71" s="216"/>
      <c r="C71" s="815"/>
      <c r="D71" s="815"/>
      <c r="E71" s="815"/>
      <c r="F71" s="815"/>
      <c r="G71" s="816"/>
      <c r="H71" s="816"/>
      <c r="I71" s="816"/>
      <c r="J71" s="816"/>
      <c r="K71" s="815"/>
      <c r="L71" s="816"/>
      <c r="M71" s="816"/>
      <c r="N71" s="816"/>
      <c r="O71" s="816"/>
      <c r="P71" s="815"/>
      <c r="Q71" s="816"/>
      <c r="R71" s="816"/>
      <c r="S71" s="816"/>
      <c r="T71" s="816"/>
      <c r="U71" s="815"/>
      <c r="V71" s="816"/>
      <c r="W71" s="816"/>
      <c r="X71" s="816"/>
      <c r="Y71" s="816"/>
      <c r="Z71" s="815"/>
      <c r="AA71" s="816"/>
      <c r="AB71" s="816"/>
      <c r="AC71" s="816"/>
      <c r="AD71" s="816"/>
      <c r="AE71" s="815"/>
      <c r="AF71" s="816"/>
      <c r="AG71" s="816"/>
      <c r="AH71" s="816"/>
      <c r="AI71" s="816"/>
      <c r="AJ71" s="815"/>
      <c r="AK71" s="816"/>
      <c r="AL71" s="816"/>
      <c r="AM71" s="817"/>
      <c r="AN71" s="818"/>
      <c r="AO71" s="819"/>
      <c r="AP71" s="818"/>
      <c r="AQ71" s="818"/>
      <c r="AR71" s="818"/>
      <c r="AS71" s="818"/>
      <c r="AT71" s="819"/>
      <c r="AU71" s="819"/>
      <c r="AV71" s="819"/>
      <c r="AW71" s="819"/>
      <c r="AX71" s="793"/>
    </row>
    <row r="72" spans="1:50" s="35" customFormat="1" hidden="1" outlineLevel="1" x14ac:dyDescent="0.45">
      <c r="A72" s="711" t="s">
        <v>556</v>
      </c>
      <c r="B72" s="712"/>
      <c r="C72" s="713"/>
      <c r="D72" s="713"/>
      <c r="E72" s="713"/>
      <c r="F72" s="713"/>
      <c r="G72" s="714"/>
      <c r="H72" s="714"/>
      <c r="I72" s="714"/>
      <c r="J72" s="714"/>
      <c r="K72" s="713"/>
      <c r="L72" s="714"/>
      <c r="M72" s="714"/>
      <c r="N72" s="714"/>
      <c r="O72" s="714"/>
      <c r="P72" s="713"/>
      <c r="Q72" s="714"/>
      <c r="R72" s="714"/>
      <c r="S72" s="714"/>
      <c r="T72" s="714"/>
      <c r="U72" s="713"/>
      <c r="V72" s="714"/>
      <c r="W72" s="714"/>
      <c r="X72" s="714"/>
      <c r="Y72" s="714"/>
      <c r="Z72" s="713">
        <f>((Z21*1000000)/Z55)/Z3</f>
        <v>2.7077929984779301</v>
      </c>
      <c r="AA72" s="714">
        <f t="shared" ref="AA72:AM72" si="110">((AA21*1000000)/AA55)/AA3</f>
        <v>2.8463980463980465</v>
      </c>
      <c r="AB72" s="714">
        <f t="shared" si="110"/>
        <v>2.7775362318840577</v>
      </c>
      <c r="AC72" s="714">
        <f t="shared" si="110"/>
        <v>2.7942028985507248</v>
      </c>
      <c r="AD72" s="714">
        <f t="shared" si="110"/>
        <v>2.8798765432098765</v>
      </c>
      <c r="AE72" s="713">
        <f t="shared" si="110"/>
        <v>2.8241400304414004</v>
      </c>
      <c r="AF72" s="714">
        <f t="shared" si="110"/>
        <v>2.9500610500610502</v>
      </c>
      <c r="AG72" s="714">
        <f t="shared" si="110"/>
        <v>2.8914251207729471</v>
      </c>
      <c r="AH72" s="714">
        <f t="shared" si="110"/>
        <v>2.8316425120772948</v>
      </c>
      <c r="AI72" s="714">
        <f t="shared" si="110"/>
        <v>3.1938271604938278</v>
      </c>
      <c r="AJ72" s="713">
        <f t="shared" si="110"/>
        <v>2.9655403348554032</v>
      </c>
      <c r="AK72" s="714">
        <f t="shared" si="110"/>
        <v>2.9267399267399266</v>
      </c>
      <c r="AL72" s="714">
        <f t="shared" si="110"/>
        <v>2.9708937198067629</v>
      </c>
      <c r="AM72" s="715">
        <f t="shared" si="110"/>
        <v>3.0021739130434781</v>
      </c>
      <c r="AN72" s="716"/>
      <c r="AO72" s="717"/>
      <c r="AP72" s="716"/>
      <c r="AQ72" s="716"/>
      <c r="AR72" s="716"/>
      <c r="AS72" s="716"/>
      <c r="AT72" s="717"/>
      <c r="AU72" s="717"/>
      <c r="AV72" s="717"/>
      <c r="AW72" s="717"/>
      <c r="AX72" s="134"/>
    </row>
    <row r="73" spans="1:50" s="726" customFormat="1" hidden="1" outlineLevel="1" x14ac:dyDescent="0.45">
      <c r="A73" s="718" t="s">
        <v>557</v>
      </c>
      <c r="B73" s="719"/>
      <c r="C73" s="720"/>
      <c r="D73" s="720"/>
      <c r="E73" s="720"/>
      <c r="F73" s="720"/>
      <c r="G73" s="721"/>
      <c r="H73" s="721"/>
      <c r="I73" s="721"/>
      <c r="J73" s="721"/>
      <c r="K73" s="720"/>
      <c r="L73" s="721"/>
      <c r="M73" s="721"/>
      <c r="N73" s="721"/>
      <c r="O73" s="721"/>
      <c r="P73" s="720"/>
      <c r="Q73" s="721"/>
      <c r="R73" s="721"/>
      <c r="S73" s="721"/>
      <c r="T73" s="721"/>
      <c r="U73" s="720"/>
      <c r="V73" s="721"/>
      <c r="W73" s="721"/>
      <c r="X73" s="721"/>
      <c r="Y73" s="721"/>
      <c r="Z73" s="720">
        <f>Z72*Z3</f>
        <v>988.34444444444443</v>
      </c>
      <c r="AA73" s="721">
        <f>AA72*AE3</f>
        <v>1038.935286935287</v>
      </c>
      <c r="AB73" s="721">
        <f>AB72*AE3</f>
        <v>1013.8007246376811</v>
      </c>
      <c r="AC73" s="721">
        <f>AC72*AE3</f>
        <v>1019.8840579710145</v>
      </c>
      <c r="AD73" s="721">
        <f>AD72*AE3</f>
        <v>1051.154938271605</v>
      </c>
      <c r="AE73" s="720">
        <f>AE72*AE3</f>
        <v>1030.8111111111111</v>
      </c>
      <c r="AF73" s="721">
        <f>AF72*AJ3</f>
        <v>1076.7722832722834</v>
      </c>
      <c r="AG73" s="721">
        <f>AG72*AJ3</f>
        <v>1055.3701690821256</v>
      </c>
      <c r="AH73" s="721">
        <f>AH72*AJ3</f>
        <v>1033.5495169082126</v>
      </c>
      <c r="AI73" s="721">
        <f>AI72*AJ3</f>
        <v>1165.7469135802471</v>
      </c>
      <c r="AJ73" s="720">
        <f>AJ72*AJ3</f>
        <v>1082.4222222222222</v>
      </c>
      <c r="AK73" s="721">
        <f>AK72*AO3</f>
        <v>1071.1868131868132</v>
      </c>
      <c r="AL73" s="721">
        <f>AL72*AO3</f>
        <v>1087.3471014492752</v>
      </c>
      <c r="AM73" s="722">
        <f>AM72*AO3</f>
        <v>1098.7956521739129</v>
      </c>
      <c r="AN73" s="723"/>
      <c r="AO73" s="724"/>
      <c r="AP73" s="723"/>
      <c r="AQ73" s="723"/>
      <c r="AR73" s="723"/>
      <c r="AS73" s="723"/>
      <c r="AT73" s="724"/>
      <c r="AU73" s="724"/>
      <c r="AV73" s="724"/>
      <c r="AW73" s="724"/>
      <c r="AX73" s="725"/>
    </row>
    <row r="74" spans="1:50" s="7" customFormat="1" hidden="1" outlineLevel="1" x14ac:dyDescent="0.45">
      <c r="A74" s="105" t="s">
        <v>558</v>
      </c>
      <c r="B74" s="727"/>
      <c r="C74" s="834"/>
      <c r="D74" s="834"/>
      <c r="E74" s="834"/>
      <c r="F74" s="834"/>
      <c r="G74" s="835"/>
      <c r="H74" s="835"/>
      <c r="I74" s="835"/>
      <c r="J74" s="835"/>
      <c r="K74" s="834"/>
      <c r="L74" s="835"/>
      <c r="M74" s="835"/>
      <c r="N74" s="835"/>
      <c r="O74" s="835"/>
      <c r="P74" s="834"/>
      <c r="Q74" s="835"/>
      <c r="R74" s="835"/>
      <c r="S74" s="835"/>
      <c r="T74" s="835"/>
      <c r="U74" s="834"/>
      <c r="V74" s="835"/>
      <c r="W74" s="835"/>
      <c r="X74" s="835"/>
      <c r="Y74" s="835"/>
      <c r="Z74" s="834">
        <f>Z73*Z55/1000000</f>
        <v>88.950999999999993</v>
      </c>
      <c r="AA74" s="835">
        <f t="shared" ref="AA74:AM74" si="111">AA73*AA55/1000000</f>
        <v>93.504175824175817</v>
      </c>
      <c r="AB74" s="835">
        <f t="shared" si="111"/>
        <v>91.2420652173913</v>
      </c>
      <c r="AC74" s="835">
        <f t="shared" si="111"/>
        <v>91.789565217391313</v>
      </c>
      <c r="AD74" s="835">
        <f t="shared" si="111"/>
        <v>94.603944444444451</v>
      </c>
      <c r="AE74" s="834">
        <f t="shared" si="111"/>
        <v>92.772999999999996</v>
      </c>
      <c r="AF74" s="835">
        <f t="shared" si="111"/>
        <v>96.90950549450551</v>
      </c>
      <c r="AG74" s="835">
        <f t="shared" si="111"/>
        <v>94.983315217391294</v>
      </c>
      <c r="AH74" s="835">
        <f t="shared" si="111"/>
        <v>93.01945652173913</v>
      </c>
      <c r="AI74" s="835">
        <f t="shared" si="111"/>
        <v>104.91722222222224</v>
      </c>
      <c r="AJ74" s="834">
        <f t="shared" si="111"/>
        <v>97.418000000000006</v>
      </c>
      <c r="AK74" s="835">
        <f t="shared" si="111"/>
        <v>96.406813186813196</v>
      </c>
      <c r="AL74" s="835">
        <f t="shared" si="111"/>
        <v>97.861239130434768</v>
      </c>
      <c r="AM74" s="836">
        <f t="shared" si="111"/>
        <v>98.891608695652153</v>
      </c>
      <c r="AN74" s="837"/>
      <c r="AO74" s="838"/>
      <c r="AP74" s="837"/>
      <c r="AQ74" s="837"/>
      <c r="AR74" s="837"/>
      <c r="AS74" s="837"/>
      <c r="AT74" s="838"/>
      <c r="AU74" s="838"/>
      <c r="AV74" s="838"/>
      <c r="AW74" s="838"/>
      <c r="AX74" s="795"/>
    </row>
    <row r="75" spans="1:50" s="202" customFormat="1" hidden="1" outlineLevel="1" x14ac:dyDescent="0.45">
      <c r="A75" s="138" t="s">
        <v>559</v>
      </c>
      <c r="B75" s="220"/>
      <c r="C75" s="406"/>
      <c r="D75" s="406"/>
      <c r="E75" s="406"/>
      <c r="F75" s="406"/>
      <c r="G75" s="372"/>
      <c r="H75" s="372"/>
      <c r="I75" s="372"/>
      <c r="J75" s="372"/>
      <c r="K75" s="406"/>
      <c r="L75" s="372"/>
      <c r="M75" s="372"/>
      <c r="N75" s="372"/>
      <c r="O75" s="372"/>
      <c r="P75" s="406"/>
      <c r="Q75" s="372"/>
      <c r="R75" s="372"/>
      <c r="S75" s="372"/>
      <c r="T75" s="372"/>
      <c r="U75" s="406"/>
      <c r="V75" s="372"/>
      <c r="W75" s="372"/>
      <c r="X75" s="372"/>
      <c r="Y75" s="372"/>
      <c r="Z75" s="406"/>
      <c r="AA75" s="372"/>
      <c r="AB75" s="372"/>
      <c r="AC75" s="372"/>
      <c r="AD75" s="372"/>
      <c r="AE75" s="406">
        <f>AE74/Z74-1</f>
        <v>4.296747647581256E-2</v>
      </c>
      <c r="AF75" s="372">
        <f t="shared" ref="AF75:AM75" si="112">AF74/AA74-1</f>
        <v>3.6419011667810697E-2</v>
      </c>
      <c r="AG75" s="372">
        <f t="shared" si="112"/>
        <v>4.1003565527437003E-2</v>
      </c>
      <c r="AH75" s="372">
        <f t="shared" si="112"/>
        <v>1.3399031811894835E-2</v>
      </c>
      <c r="AI75" s="372">
        <f t="shared" si="112"/>
        <v>0.10901530415398475</v>
      </c>
      <c r="AJ75" s="406">
        <f t="shared" si="112"/>
        <v>5.0068446638569464E-2</v>
      </c>
      <c r="AK75" s="372">
        <f t="shared" si="112"/>
        <v>-5.1872342669296856E-3</v>
      </c>
      <c r="AL75" s="372">
        <f t="shared" si="112"/>
        <v>3.0299257363850529E-2</v>
      </c>
      <c r="AM75" s="566">
        <f t="shared" si="112"/>
        <v>6.312821417679082E-2</v>
      </c>
      <c r="AN75" s="222"/>
      <c r="AO75" s="221"/>
      <c r="AP75" s="222"/>
      <c r="AQ75" s="222"/>
      <c r="AR75" s="222"/>
      <c r="AS75" s="222"/>
      <c r="AT75" s="221"/>
      <c r="AU75" s="221"/>
      <c r="AV75" s="221"/>
      <c r="AW75" s="221"/>
      <c r="AX75" s="182"/>
    </row>
    <row r="76" spans="1:50" s="29" customFormat="1" hidden="1" outlineLevel="1" x14ac:dyDescent="0.45">
      <c r="A76" s="672"/>
      <c r="B76" s="216"/>
      <c r="C76" s="815"/>
      <c r="D76" s="815"/>
      <c r="E76" s="815"/>
      <c r="F76" s="815"/>
      <c r="G76" s="816"/>
      <c r="H76" s="816"/>
      <c r="I76" s="816"/>
      <c r="J76" s="816"/>
      <c r="K76" s="815"/>
      <c r="L76" s="816"/>
      <c r="M76" s="816"/>
      <c r="N76" s="816"/>
      <c r="O76" s="816"/>
      <c r="P76" s="815"/>
      <c r="Q76" s="816"/>
      <c r="R76" s="816"/>
      <c r="S76" s="816"/>
      <c r="T76" s="816"/>
      <c r="U76" s="815"/>
      <c r="V76" s="816"/>
      <c r="W76" s="816"/>
      <c r="X76" s="816"/>
      <c r="Y76" s="816"/>
      <c r="Z76" s="815"/>
      <c r="AA76" s="816"/>
      <c r="AB76" s="816"/>
      <c r="AC76" s="816"/>
      <c r="AD76" s="816"/>
      <c r="AE76" s="815"/>
      <c r="AF76" s="816"/>
      <c r="AG76" s="816"/>
      <c r="AH76" s="816"/>
      <c r="AI76" s="816"/>
      <c r="AJ76" s="815"/>
      <c r="AK76" s="816"/>
      <c r="AL76" s="816"/>
      <c r="AM76" s="817"/>
      <c r="AN76" s="818"/>
      <c r="AO76" s="819"/>
      <c r="AP76" s="818"/>
      <c r="AQ76" s="818"/>
      <c r="AR76" s="818"/>
      <c r="AS76" s="818"/>
      <c r="AT76" s="819"/>
      <c r="AU76" s="819"/>
      <c r="AV76" s="819"/>
      <c r="AW76" s="819"/>
      <c r="AX76" s="793"/>
    </row>
    <row r="77" spans="1:50" s="29" customFormat="1" hidden="1" outlineLevel="1" x14ac:dyDescent="0.45">
      <c r="A77" s="56" t="s">
        <v>403</v>
      </c>
      <c r="B77" s="57"/>
      <c r="C77" s="840"/>
      <c r="D77" s="840"/>
      <c r="E77" s="840"/>
      <c r="F77" s="840"/>
      <c r="G77" s="841"/>
      <c r="H77" s="841"/>
      <c r="I77" s="841"/>
      <c r="J77" s="841"/>
      <c r="K77" s="840"/>
      <c r="L77" s="841"/>
      <c r="M77" s="841"/>
      <c r="N77" s="841"/>
      <c r="O77" s="841"/>
      <c r="P77" s="840"/>
      <c r="Q77" s="841"/>
      <c r="R77" s="841"/>
      <c r="S77" s="841"/>
      <c r="T77" s="841"/>
      <c r="U77" s="840"/>
      <c r="V77" s="841"/>
      <c r="W77" s="841"/>
      <c r="X77" s="841"/>
      <c r="Y77" s="841"/>
      <c r="Z77" s="840"/>
      <c r="AA77" s="841"/>
      <c r="AB77" s="841"/>
      <c r="AC77" s="841"/>
      <c r="AD77" s="841"/>
      <c r="AE77" s="840"/>
      <c r="AF77" s="841">
        <v>29.1</v>
      </c>
      <c r="AG77" s="841">
        <v>36.1</v>
      </c>
      <c r="AH77" s="841">
        <v>32.799999999999997</v>
      </c>
      <c r="AI77" s="841">
        <v>35.4</v>
      </c>
      <c r="AJ77" s="840">
        <v>133.5</v>
      </c>
      <c r="AK77" s="841">
        <v>31.7</v>
      </c>
      <c r="AL77" s="841">
        <v>36.6</v>
      </c>
      <c r="AM77" s="842">
        <v>30.6</v>
      </c>
      <c r="AN77" s="843"/>
      <c r="AO77" s="844"/>
      <c r="AP77" s="843"/>
      <c r="AQ77" s="843"/>
      <c r="AR77" s="843"/>
      <c r="AS77" s="843"/>
      <c r="AT77" s="844"/>
      <c r="AU77" s="844"/>
      <c r="AV77" s="844"/>
      <c r="AW77" s="844"/>
      <c r="AX77" s="793"/>
    </row>
    <row r="78" spans="1:50" s="29" customFormat="1" collapsed="1" x14ac:dyDescent="0.45">
      <c r="A78" s="672"/>
      <c r="B78" s="216"/>
      <c r="C78" s="815"/>
      <c r="D78" s="815"/>
      <c r="E78" s="815"/>
      <c r="F78" s="815"/>
      <c r="G78" s="816"/>
      <c r="H78" s="816"/>
      <c r="I78" s="816"/>
      <c r="J78" s="816"/>
      <c r="K78" s="815"/>
      <c r="L78" s="816"/>
      <c r="M78" s="816"/>
      <c r="N78" s="816"/>
      <c r="O78" s="816"/>
      <c r="P78" s="815"/>
      <c r="Q78" s="816"/>
      <c r="R78" s="816"/>
      <c r="S78" s="816"/>
      <c r="T78" s="816"/>
      <c r="U78" s="815"/>
      <c r="V78" s="816"/>
      <c r="W78" s="816"/>
      <c r="X78" s="816"/>
      <c r="Y78" s="816"/>
      <c r="Z78" s="815"/>
      <c r="AA78" s="816"/>
      <c r="AB78" s="816"/>
      <c r="AC78" s="816"/>
      <c r="AD78" s="816"/>
      <c r="AE78" s="815"/>
      <c r="AF78" s="816"/>
      <c r="AG78" s="816"/>
      <c r="AH78" s="816"/>
      <c r="AI78" s="816"/>
      <c r="AJ78" s="815"/>
      <c r="AK78" s="816"/>
      <c r="AL78" s="816"/>
      <c r="AM78" s="817"/>
      <c r="AN78" s="818"/>
      <c r="AO78" s="819"/>
      <c r="AP78" s="818"/>
      <c r="AQ78" s="818"/>
      <c r="AR78" s="818"/>
      <c r="AS78" s="818"/>
      <c r="AT78" s="819"/>
      <c r="AU78" s="819"/>
      <c r="AV78" s="819"/>
      <c r="AW78" s="819"/>
      <c r="AX78" s="793"/>
    </row>
    <row r="79" spans="1:50" s="7" customFormat="1" x14ac:dyDescent="0.45">
      <c r="A79" s="790" t="s">
        <v>439</v>
      </c>
      <c r="B79" s="790"/>
      <c r="C79" s="812"/>
      <c r="D79" s="812"/>
      <c r="E79" s="812"/>
      <c r="F79" s="812"/>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812"/>
      <c r="AG79" s="812"/>
      <c r="AH79" s="812"/>
      <c r="AI79" s="812"/>
      <c r="AJ79" s="812"/>
      <c r="AK79" s="812"/>
      <c r="AL79" s="812"/>
      <c r="AM79" s="813"/>
      <c r="AN79" s="814"/>
      <c r="AO79" s="814"/>
      <c r="AP79" s="814"/>
      <c r="AQ79" s="814"/>
      <c r="AR79" s="814"/>
      <c r="AS79" s="814"/>
      <c r="AT79" s="814"/>
      <c r="AU79" s="814"/>
      <c r="AV79" s="814"/>
      <c r="AW79" s="814"/>
      <c r="AX79" s="795"/>
    </row>
    <row r="80" spans="1:50" s="29" customFormat="1" hidden="1" outlineLevel="1" x14ac:dyDescent="0.45">
      <c r="A80" s="61" t="s">
        <v>409</v>
      </c>
      <c r="B80" s="57"/>
      <c r="C80" s="840">
        <f>C227</f>
        <v>89.760999999999996</v>
      </c>
      <c r="D80" s="840">
        <f t="shared" ref="D80:Z80" si="113">D227</f>
        <v>106.514</v>
      </c>
      <c r="E80" s="840">
        <f t="shared" si="113"/>
        <v>122.407</v>
      </c>
      <c r="F80" s="840">
        <f t="shared" si="113"/>
        <v>88.572000000000003</v>
      </c>
      <c r="G80" s="841">
        <f t="shared" si="113"/>
        <v>15.972</v>
      </c>
      <c r="H80" s="841">
        <f t="shared" si="113"/>
        <v>15.561999999999999</v>
      </c>
      <c r="I80" s="841">
        <f t="shared" si="113"/>
        <v>14.114000000000001</v>
      </c>
      <c r="J80" s="841">
        <f t="shared" si="113"/>
        <v>15.186</v>
      </c>
      <c r="K80" s="840">
        <f t="shared" si="113"/>
        <v>60.834000000000003</v>
      </c>
      <c r="L80" s="841">
        <f t="shared" si="113"/>
        <v>19.760999999999999</v>
      </c>
      <c r="M80" s="841">
        <f t="shared" si="113"/>
        <v>19.315999999999999</v>
      </c>
      <c r="N80" s="841">
        <f t="shared" si="113"/>
        <v>21.428000000000001</v>
      </c>
      <c r="O80" s="841">
        <f t="shared" si="113"/>
        <v>21.143999999999998</v>
      </c>
      <c r="P80" s="840">
        <f t="shared" si="113"/>
        <v>81.649000000000001</v>
      </c>
      <c r="Q80" s="841">
        <f t="shared" si="113"/>
        <v>16.189</v>
      </c>
      <c r="R80" s="841">
        <f t="shared" si="113"/>
        <v>19.687000000000001</v>
      </c>
      <c r="S80" s="841">
        <f t="shared" si="113"/>
        <v>16.149999999999999</v>
      </c>
      <c r="T80" s="841">
        <f t="shared" si="113"/>
        <v>18.497</v>
      </c>
      <c r="U80" s="840">
        <f t="shared" si="113"/>
        <v>70.522999999999996</v>
      </c>
      <c r="V80" s="841">
        <f t="shared" si="113"/>
        <v>14.789</v>
      </c>
      <c r="W80" s="841">
        <f t="shared" si="113"/>
        <v>17.181999999999999</v>
      </c>
      <c r="X80" s="841">
        <f t="shared" si="113"/>
        <v>16.995000000000001</v>
      </c>
      <c r="Y80" s="841">
        <f t="shared" si="113"/>
        <v>16.581</v>
      </c>
      <c r="Z80" s="840">
        <f t="shared" si="113"/>
        <v>65.546999999999997</v>
      </c>
      <c r="AA80" s="841"/>
      <c r="AB80" s="841"/>
      <c r="AC80" s="841"/>
      <c r="AD80" s="841"/>
      <c r="AE80" s="840"/>
      <c r="AF80" s="841"/>
      <c r="AG80" s="841"/>
      <c r="AH80" s="841"/>
      <c r="AI80" s="841"/>
      <c r="AJ80" s="840"/>
      <c r="AK80" s="841"/>
      <c r="AL80" s="841"/>
      <c r="AM80" s="842"/>
      <c r="AN80" s="843"/>
      <c r="AO80" s="844"/>
      <c r="AP80" s="843"/>
      <c r="AQ80" s="843"/>
      <c r="AR80" s="843"/>
      <c r="AS80" s="843"/>
      <c r="AT80" s="844"/>
      <c r="AU80" s="844"/>
      <c r="AV80" s="844"/>
      <c r="AW80" s="844"/>
      <c r="AX80" s="793"/>
    </row>
    <row r="81" spans="1:50" s="29" customFormat="1" hidden="1" outlineLevel="1" x14ac:dyDescent="0.45">
      <c r="A81" s="61" t="s">
        <v>426</v>
      </c>
      <c r="B81" s="57"/>
      <c r="C81" s="840">
        <f>C228</f>
        <v>14.375999999999999</v>
      </c>
      <c r="D81" s="840">
        <f t="shared" ref="D81:Z81" si="114">D228</f>
        <v>18.015000000000001</v>
      </c>
      <c r="E81" s="840">
        <f t="shared" si="114"/>
        <v>26.390999999999998</v>
      </c>
      <c r="F81" s="840">
        <f t="shared" si="114"/>
        <v>35.008000000000003</v>
      </c>
      <c r="G81" s="841">
        <f t="shared" si="114"/>
        <v>6.5750000000000002</v>
      </c>
      <c r="H81" s="841">
        <f t="shared" si="114"/>
        <v>7.8090000000000002</v>
      </c>
      <c r="I81" s="841">
        <f t="shared" si="114"/>
        <v>5.0460000000000003</v>
      </c>
      <c r="J81" s="841">
        <f t="shared" si="114"/>
        <v>6.5179999999999998</v>
      </c>
      <c r="K81" s="840">
        <f t="shared" si="114"/>
        <v>25.948</v>
      </c>
      <c r="L81" s="841">
        <f t="shared" si="114"/>
        <v>9.7149999999999999</v>
      </c>
      <c r="M81" s="841">
        <f t="shared" si="114"/>
        <v>9.6869999999999994</v>
      </c>
      <c r="N81" s="841">
        <f t="shared" si="114"/>
        <v>11.864000000000001</v>
      </c>
      <c r="O81" s="841">
        <f t="shared" si="114"/>
        <v>13.326000000000001</v>
      </c>
      <c r="P81" s="840">
        <f t="shared" si="114"/>
        <v>44.591999999999999</v>
      </c>
      <c r="Q81" s="841">
        <f t="shared" si="114"/>
        <v>12.246</v>
      </c>
      <c r="R81" s="841">
        <f t="shared" si="114"/>
        <v>12.436999999999999</v>
      </c>
      <c r="S81" s="841">
        <f t="shared" si="114"/>
        <v>11.705</v>
      </c>
      <c r="T81" s="841">
        <f t="shared" si="114"/>
        <v>19.015000000000001</v>
      </c>
      <c r="U81" s="840">
        <f t="shared" si="114"/>
        <v>55.402999999999999</v>
      </c>
      <c r="V81" s="841">
        <f t="shared" si="114"/>
        <v>19.875</v>
      </c>
      <c r="W81" s="841">
        <f t="shared" si="114"/>
        <v>21.49</v>
      </c>
      <c r="X81" s="841">
        <f t="shared" si="114"/>
        <v>22.545999999999999</v>
      </c>
      <c r="Y81" s="841">
        <f t="shared" si="114"/>
        <v>23.138999999999999</v>
      </c>
      <c r="Z81" s="840">
        <f t="shared" si="114"/>
        <v>87.05</v>
      </c>
      <c r="AA81" s="841"/>
      <c r="AB81" s="841"/>
      <c r="AC81" s="841"/>
      <c r="AD81" s="841"/>
      <c r="AE81" s="840"/>
      <c r="AF81" s="841"/>
      <c r="AG81" s="841"/>
      <c r="AH81" s="841"/>
      <c r="AI81" s="841"/>
      <c r="AJ81" s="840"/>
      <c r="AK81" s="841"/>
      <c r="AL81" s="841"/>
      <c r="AM81" s="842"/>
      <c r="AN81" s="843"/>
      <c r="AO81" s="844"/>
      <c r="AP81" s="843"/>
      <c r="AQ81" s="843"/>
      <c r="AR81" s="843"/>
      <c r="AS81" s="843"/>
      <c r="AT81" s="844"/>
      <c r="AU81" s="844"/>
      <c r="AV81" s="844"/>
      <c r="AW81" s="844"/>
      <c r="AX81" s="793"/>
    </row>
    <row r="82" spans="1:50" s="7" customFormat="1" hidden="1" outlineLevel="1" x14ac:dyDescent="0.45">
      <c r="A82" s="53" t="s">
        <v>427</v>
      </c>
      <c r="B82" s="87"/>
      <c r="C82" s="845">
        <f>SUM(C80:C81)</f>
        <v>104.137</v>
      </c>
      <c r="D82" s="845">
        <f t="shared" ref="D82:Z82" si="115">SUM(D80:D81)</f>
        <v>124.529</v>
      </c>
      <c r="E82" s="845">
        <f t="shared" si="115"/>
        <v>148.798</v>
      </c>
      <c r="F82" s="845">
        <f t="shared" si="115"/>
        <v>123.58000000000001</v>
      </c>
      <c r="G82" s="846">
        <f t="shared" si="115"/>
        <v>22.547000000000001</v>
      </c>
      <c r="H82" s="846">
        <f t="shared" si="115"/>
        <v>23.370999999999999</v>
      </c>
      <c r="I82" s="846">
        <f t="shared" si="115"/>
        <v>19.16</v>
      </c>
      <c r="J82" s="846">
        <f t="shared" si="115"/>
        <v>21.704000000000001</v>
      </c>
      <c r="K82" s="845">
        <f t="shared" si="115"/>
        <v>86.782000000000011</v>
      </c>
      <c r="L82" s="846">
        <f t="shared" si="115"/>
        <v>29.475999999999999</v>
      </c>
      <c r="M82" s="846">
        <f t="shared" si="115"/>
        <v>29.003</v>
      </c>
      <c r="N82" s="846">
        <f t="shared" si="115"/>
        <v>33.292000000000002</v>
      </c>
      <c r="O82" s="846">
        <f t="shared" si="115"/>
        <v>34.47</v>
      </c>
      <c r="P82" s="845">
        <f t="shared" si="115"/>
        <v>126.241</v>
      </c>
      <c r="Q82" s="846">
        <f t="shared" si="115"/>
        <v>28.435000000000002</v>
      </c>
      <c r="R82" s="846">
        <f t="shared" si="115"/>
        <v>32.124000000000002</v>
      </c>
      <c r="S82" s="846">
        <f t="shared" si="115"/>
        <v>27.854999999999997</v>
      </c>
      <c r="T82" s="846">
        <f t="shared" si="115"/>
        <v>37.512</v>
      </c>
      <c r="U82" s="845">
        <f t="shared" si="115"/>
        <v>125.92599999999999</v>
      </c>
      <c r="V82" s="846">
        <f t="shared" si="115"/>
        <v>34.664000000000001</v>
      </c>
      <c r="W82" s="846">
        <f t="shared" si="115"/>
        <v>38.671999999999997</v>
      </c>
      <c r="X82" s="846">
        <f t="shared" si="115"/>
        <v>39.540999999999997</v>
      </c>
      <c r="Y82" s="846">
        <f t="shared" si="115"/>
        <v>39.72</v>
      </c>
      <c r="Z82" s="845">
        <f t="shared" si="115"/>
        <v>152.59699999999998</v>
      </c>
      <c r="AA82" s="846"/>
      <c r="AB82" s="846"/>
      <c r="AC82" s="846"/>
      <c r="AD82" s="846"/>
      <c r="AE82" s="845"/>
      <c r="AF82" s="846"/>
      <c r="AG82" s="846"/>
      <c r="AH82" s="846"/>
      <c r="AI82" s="846"/>
      <c r="AJ82" s="845"/>
      <c r="AK82" s="846"/>
      <c r="AL82" s="846"/>
      <c r="AM82" s="847"/>
      <c r="AN82" s="846"/>
      <c r="AO82" s="845"/>
      <c r="AP82" s="846"/>
      <c r="AQ82" s="846"/>
      <c r="AR82" s="846"/>
      <c r="AS82" s="846"/>
      <c r="AT82" s="845"/>
      <c r="AU82" s="845"/>
      <c r="AV82" s="845"/>
      <c r="AW82" s="845"/>
      <c r="AX82" s="795"/>
    </row>
    <row r="83" spans="1:50" s="29" customFormat="1" hidden="1" outlineLevel="1" x14ac:dyDescent="0.45">
      <c r="A83" s="637" t="s">
        <v>405</v>
      </c>
      <c r="B83" s="683"/>
      <c r="C83" s="840">
        <f>C230</f>
        <v>89.191999999999993</v>
      </c>
      <c r="D83" s="840">
        <f t="shared" ref="D83:Z83" si="116">D230</f>
        <v>110.01900000000001</v>
      </c>
      <c r="E83" s="840">
        <f t="shared" si="116"/>
        <v>138.83199999999999</v>
      </c>
      <c r="F83" s="840">
        <f t="shared" si="116"/>
        <v>156.77099999999999</v>
      </c>
      <c r="G83" s="841">
        <f t="shared" si="116"/>
        <v>38.607999999999997</v>
      </c>
      <c r="H83" s="841">
        <f t="shared" si="116"/>
        <v>40.313000000000002</v>
      </c>
      <c r="I83" s="841">
        <f t="shared" si="116"/>
        <v>39.762999999999998</v>
      </c>
      <c r="J83" s="841">
        <f t="shared" si="116"/>
        <v>41.375999999999998</v>
      </c>
      <c r="K83" s="840">
        <f t="shared" si="116"/>
        <v>160.06</v>
      </c>
      <c r="L83" s="841">
        <f t="shared" si="116"/>
        <v>40.805</v>
      </c>
      <c r="M83" s="841">
        <f t="shared" si="116"/>
        <v>42.134999999999998</v>
      </c>
      <c r="N83" s="841">
        <f t="shared" si="116"/>
        <v>43.045000000000002</v>
      </c>
      <c r="O83" s="841">
        <f t="shared" si="116"/>
        <v>43.234000000000002</v>
      </c>
      <c r="P83" s="840">
        <f t="shared" si="116"/>
        <v>169.21899999999999</v>
      </c>
      <c r="Q83" s="841">
        <f t="shared" si="116"/>
        <v>43.713000000000001</v>
      </c>
      <c r="R83" s="841">
        <f t="shared" si="116"/>
        <v>42.176000000000002</v>
      </c>
      <c r="S83" s="841">
        <f t="shared" si="116"/>
        <v>39.518999999999998</v>
      </c>
      <c r="T83" s="841">
        <f t="shared" si="116"/>
        <v>39.792000000000002</v>
      </c>
      <c r="U83" s="840">
        <f t="shared" si="116"/>
        <v>165.2</v>
      </c>
      <c r="V83" s="841">
        <f t="shared" si="116"/>
        <v>38.006999999999998</v>
      </c>
      <c r="W83" s="841">
        <f t="shared" si="116"/>
        <v>38.973999999999997</v>
      </c>
      <c r="X83" s="841">
        <f t="shared" si="116"/>
        <v>39.923999999999999</v>
      </c>
      <c r="Y83" s="841">
        <f t="shared" si="116"/>
        <v>41.898000000000003</v>
      </c>
      <c r="Z83" s="840">
        <f t="shared" si="116"/>
        <v>158.803</v>
      </c>
      <c r="AA83" s="841"/>
      <c r="AB83" s="841"/>
      <c r="AC83" s="841"/>
      <c r="AD83" s="841"/>
      <c r="AE83" s="840"/>
      <c r="AF83" s="841"/>
      <c r="AG83" s="841"/>
      <c r="AH83" s="841"/>
      <c r="AI83" s="841"/>
      <c r="AJ83" s="840"/>
      <c r="AK83" s="841"/>
      <c r="AL83" s="841"/>
      <c r="AM83" s="842"/>
      <c r="AN83" s="841"/>
      <c r="AO83" s="840"/>
      <c r="AP83" s="841"/>
      <c r="AQ83" s="841"/>
      <c r="AR83" s="841"/>
      <c r="AS83" s="841"/>
      <c r="AT83" s="840"/>
      <c r="AU83" s="840"/>
      <c r="AV83" s="840"/>
      <c r="AW83" s="840"/>
      <c r="AX83" s="793"/>
    </row>
    <row r="84" spans="1:50" s="29" customFormat="1" hidden="1" outlineLevel="1" x14ac:dyDescent="0.45">
      <c r="A84" s="637" t="s">
        <v>428</v>
      </c>
      <c r="B84" s="683"/>
      <c r="C84" s="840">
        <f>C231</f>
        <v>36.664999999999999</v>
      </c>
      <c r="D84" s="840">
        <f t="shared" ref="D84:Z84" si="117">D231</f>
        <v>45.064999999999998</v>
      </c>
      <c r="E84" s="840">
        <f t="shared" si="117"/>
        <v>45.572000000000003</v>
      </c>
      <c r="F84" s="840">
        <f t="shared" si="117"/>
        <v>59.219000000000001</v>
      </c>
      <c r="G84" s="841">
        <f t="shared" si="117"/>
        <v>16.015000000000001</v>
      </c>
      <c r="H84" s="841">
        <f t="shared" si="117"/>
        <v>15.467000000000001</v>
      </c>
      <c r="I84" s="841">
        <f t="shared" si="117"/>
        <v>16.178000000000001</v>
      </c>
      <c r="J84" s="841">
        <f t="shared" si="117"/>
        <v>15.316000000000001</v>
      </c>
      <c r="K84" s="840">
        <f t="shared" si="117"/>
        <v>62.975999999999999</v>
      </c>
      <c r="L84" s="841">
        <f t="shared" si="117"/>
        <v>16.693000000000001</v>
      </c>
      <c r="M84" s="841">
        <f t="shared" si="117"/>
        <v>17.431999999999999</v>
      </c>
      <c r="N84" s="841">
        <f t="shared" si="117"/>
        <v>20.391999999999999</v>
      </c>
      <c r="O84" s="841">
        <f t="shared" si="117"/>
        <v>19.72</v>
      </c>
      <c r="P84" s="840">
        <f t="shared" si="117"/>
        <v>74.236999999999995</v>
      </c>
      <c r="Q84" s="841">
        <f t="shared" si="117"/>
        <v>20.242999999999999</v>
      </c>
      <c r="R84" s="841">
        <f t="shared" si="117"/>
        <v>20.792999999999999</v>
      </c>
      <c r="S84" s="841">
        <f t="shared" si="117"/>
        <v>21.594000000000001</v>
      </c>
      <c r="T84" s="841">
        <f t="shared" si="117"/>
        <v>20.376000000000001</v>
      </c>
      <c r="U84" s="840">
        <f t="shared" si="117"/>
        <v>83.006</v>
      </c>
      <c r="V84" s="841">
        <f t="shared" si="117"/>
        <v>21.053000000000001</v>
      </c>
      <c r="W84" s="841">
        <f t="shared" si="117"/>
        <v>20.936</v>
      </c>
      <c r="X84" s="841">
        <f t="shared" si="117"/>
        <v>20.047999999999998</v>
      </c>
      <c r="Y84" s="841">
        <f t="shared" si="117"/>
        <v>20.515000000000001</v>
      </c>
      <c r="Z84" s="840">
        <f t="shared" si="117"/>
        <v>82.552000000000007</v>
      </c>
      <c r="AA84" s="841"/>
      <c r="AB84" s="841"/>
      <c r="AC84" s="841"/>
      <c r="AD84" s="841"/>
      <c r="AE84" s="840"/>
      <c r="AF84" s="841"/>
      <c r="AG84" s="841"/>
      <c r="AH84" s="841"/>
      <c r="AI84" s="841"/>
      <c r="AJ84" s="840"/>
      <c r="AK84" s="841"/>
      <c r="AL84" s="841"/>
      <c r="AM84" s="842"/>
      <c r="AN84" s="841"/>
      <c r="AO84" s="840"/>
      <c r="AP84" s="841"/>
      <c r="AQ84" s="841"/>
      <c r="AR84" s="841"/>
      <c r="AS84" s="841"/>
      <c r="AT84" s="840"/>
      <c r="AU84" s="840"/>
      <c r="AV84" s="840"/>
      <c r="AW84" s="840"/>
      <c r="AX84" s="793"/>
    </row>
    <row r="85" spans="1:50" s="29" customFormat="1" hidden="1" outlineLevel="1" x14ac:dyDescent="0.45">
      <c r="A85" s="637" t="s">
        <v>407</v>
      </c>
      <c r="B85" s="683"/>
      <c r="C85" s="840">
        <f>C232</f>
        <v>35.034999999999997</v>
      </c>
      <c r="D85" s="840">
        <f t="shared" ref="D85:Z85" si="118">D232</f>
        <v>41.021999999999998</v>
      </c>
      <c r="E85" s="840">
        <f t="shared" si="118"/>
        <v>49.259</v>
      </c>
      <c r="F85" s="840">
        <f t="shared" si="118"/>
        <v>59.709000000000003</v>
      </c>
      <c r="G85" s="841">
        <f t="shared" si="118"/>
        <v>16.692</v>
      </c>
      <c r="H85" s="841">
        <f t="shared" si="118"/>
        <v>16.545000000000002</v>
      </c>
      <c r="I85" s="841">
        <f t="shared" si="118"/>
        <v>16.637</v>
      </c>
      <c r="J85" s="841">
        <f t="shared" si="118"/>
        <v>17.420999999999999</v>
      </c>
      <c r="K85" s="840">
        <f t="shared" si="118"/>
        <v>67.295000000000002</v>
      </c>
      <c r="L85" s="841">
        <f t="shared" si="118"/>
        <v>18.318999999999999</v>
      </c>
      <c r="M85" s="841">
        <f t="shared" si="118"/>
        <v>18.905999999999999</v>
      </c>
      <c r="N85" s="841">
        <f t="shared" si="118"/>
        <v>19.050999999999998</v>
      </c>
      <c r="O85" s="841">
        <f t="shared" si="118"/>
        <v>20.082000000000001</v>
      </c>
      <c r="P85" s="840">
        <f t="shared" si="118"/>
        <v>76.358000000000004</v>
      </c>
      <c r="Q85" s="841">
        <f t="shared" si="118"/>
        <v>20.189</v>
      </c>
      <c r="R85" s="841">
        <f t="shared" si="118"/>
        <v>20.581</v>
      </c>
      <c r="S85" s="841">
        <f t="shared" si="118"/>
        <v>20.643000000000001</v>
      </c>
      <c r="T85" s="841">
        <f t="shared" si="118"/>
        <v>20.93</v>
      </c>
      <c r="U85" s="840">
        <f t="shared" si="118"/>
        <v>82.343000000000004</v>
      </c>
      <c r="V85" s="841">
        <f t="shared" si="118"/>
        <v>22.123999999999999</v>
      </c>
      <c r="W85" s="841">
        <f t="shared" si="118"/>
        <v>21.613</v>
      </c>
      <c r="X85" s="841">
        <f t="shared" si="118"/>
        <v>21.79</v>
      </c>
      <c r="Y85" s="841">
        <f t="shared" si="118"/>
        <v>23.423999999999999</v>
      </c>
      <c r="Z85" s="840">
        <f t="shared" si="118"/>
        <v>88.950999999999993</v>
      </c>
      <c r="AA85" s="841"/>
      <c r="AB85" s="841"/>
      <c r="AC85" s="841"/>
      <c r="AD85" s="841"/>
      <c r="AE85" s="840"/>
      <c r="AF85" s="841"/>
      <c r="AG85" s="841"/>
      <c r="AH85" s="841"/>
      <c r="AI85" s="841"/>
      <c r="AJ85" s="840"/>
      <c r="AK85" s="841"/>
      <c r="AL85" s="841"/>
      <c r="AM85" s="842"/>
      <c r="AN85" s="841"/>
      <c r="AO85" s="840"/>
      <c r="AP85" s="841"/>
      <c r="AQ85" s="841"/>
      <c r="AR85" s="841"/>
      <c r="AS85" s="841"/>
      <c r="AT85" s="840"/>
      <c r="AU85" s="840"/>
      <c r="AV85" s="840"/>
      <c r="AW85" s="840"/>
      <c r="AX85" s="793"/>
    </row>
    <row r="86" spans="1:50" s="29" customFormat="1" hidden="1" outlineLevel="1" x14ac:dyDescent="0.45">
      <c r="A86" s="214" t="s">
        <v>429</v>
      </c>
      <c r="B86" s="682"/>
      <c r="C86" s="848">
        <f>C233</f>
        <v>26.782</v>
      </c>
      <c r="D86" s="848">
        <f t="shared" ref="D86:Z86" si="119">D233</f>
        <v>32.728000000000002</v>
      </c>
      <c r="E86" s="848">
        <f t="shared" si="119"/>
        <v>47.374000000000002</v>
      </c>
      <c r="F86" s="848">
        <f t="shared" si="119"/>
        <v>60.95</v>
      </c>
      <c r="G86" s="849">
        <f t="shared" si="119"/>
        <v>15.667</v>
      </c>
      <c r="H86" s="849">
        <f t="shared" si="119"/>
        <v>15.385</v>
      </c>
      <c r="I86" s="849">
        <f t="shared" si="119"/>
        <v>17.116</v>
      </c>
      <c r="J86" s="849">
        <f t="shared" si="119"/>
        <v>19.385999999999999</v>
      </c>
      <c r="K86" s="848">
        <f t="shared" si="119"/>
        <v>67.554000000000002</v>
      </c>
      <c r="L86" s="849">
        <f t="shared" si="119"/>
        <v>12.601000000000001</v>
      </c>
      <c r="M86" s="849">
        <f t="shared" si="119"/>
        <v>13.042999999999999</v>
      </c>
      <c r="N86" s="849">
        <f t="shared" si="119"/>
        <v>7.6440000000000001</v>
      </c>
      <c r="O86" s="849">
        <f t="shared" si="119"/>
        <v>10.882</v>
      </c>
      <c r="P86" s="848">
        <f t="shared" si="119"/>
        <v>44.17</v>
      </c>
      <c r="Q86" s="849">
        <f t="shared" si="119"/>
        <v>9.5839999999999996</v>
      </c>
      <c r="R86" s="849">
        <f t="shared" si="119"/>
        <v>9.6950000000000003</v>
      </c>
      <c r="S86" s="849">
        <f t="shared" si="119"/>
        <v>7.4210000000000003</v>
      </c>
      <c r="T86" s="849">
        <f t="shared" si="119"/>
        <v>9.3019999999999996</v>
      </c>
      <c r="U86" s="848">
        <f t="shared" si="119"/>
        <v>36.002000000000002</v>
      </c>
      <c r="V86" s="849">
        <f t="shared" si="119"/>
        <v>6.3570000000000002</v>
      </c>
      <c r="W86" s="849">
        <f t="shared" si="119"/>
        <v>6.9710000000000001</v>
      </c>
      <c r="X86" s="849">
        <f t="shared" si="119"/>
        <v>6.5650000000000004</v>
      </c>
      <c r="Y86" s="849">
        <f t="shared" si="119"/>
        <v>6.8280000000000003</v>
      </c>
      <c r="Z86" s="848">
        <f t="shared" si="119"/>
        <v>26.721</v>
      </c>
      <c r="AA86" s="849"/>
      <c r="AB86" s="849"/>
      <c r="AC86" s="849"/>
      <c r="AD86" s="849"/>
      <c r="AE86" s="848"/>
      <c r="AF86" s="849"/>
      <c r="AG86" s="849"/>
      <c r="AH86" s="849"/>
      <c r="AI86" s="849"/>
      <c r="AJ86" s="848"/>
      <c r="AK86" s="849"/>
      <c r="AL86" s="849"/>
      <c r="AM86" s="850"/>
      <c r="AN86" s="849"/>
      <c r="AO86" s="848"/>
      <c r="AP86" s="849"/>
      <c r="AQ86" s="849"/>
      <c r="AR86" s="849"/>
      <c r="AS86" s="849"/>
      <c r="AT86" s="848"/>
      <c r="AU86" s="848"/>
      <c r="AV86" s="848"/>
      <c r="AW86" s="848"/>
      <c r="AX86" s="793"/>
    </row>
    <row r="87" spans="1:50" s="7" customFormat="1" hidden="1" outlineLevel="1" x14ac:dyDescent="0.45">
      <c r="A87" s="54" t="s">
        <v>430</v>
      </c>
      <c r="B87" s="55"/>
      <c r="C87" s="851">
        <f>SUM(C83:C86)</f>
        <v>187.67400000000001</v>
      </c>
      <c r="D87" s="851">
        <f t="shared" ref="D87:Z87" si="120">SUM(D83:D86)</f>
        <v>228.834</v>
      </c>
      <c r="E87" s="851">
        <f t="shared" si="120"/>
        <v>281.03700000000003</v>
      </c>
      <c r="F87" s="851">
        <f t="shared" si="120"/>
        <v>336.64899999999994</v>
      </c>
      <c r="G87" s="852">
        <f t="shared" si="120"/>
        <v>86.981999999999999</v>
      </c>
      <c r="H87" s="852">
        <f t="shared" si="120"/>
        <v>87.710000000000008</v>
      </c>
      <c r="I87" s="852">
        <f t="shared" si="120"/>
        <v>89.694000000000003</v>
      </c>
      <c r="J87" s="852">
        <f t="shared" si="120"/>
        <v>93.498999999999995</v>
      </c>
      <c r="K87" s="851">
        <f t="shared" si="120"/>
        <v>357.88499999999999</v>
      </c>
      <c r="L87" s="852">
        <f t="shared" si="120"/>
        <v>88.418000000000006</v>
      </c>
      <c r="M87" s="852">
        <f t="shared" si="120"/>
        <v>91.515999999999991</v>
      </c>
      <c r="N87" s="852">
        <f t="shared" si="120"/>
        <v>90.132000000000005</v>
      </c>
      <c r="O87" s="852">
        <f t="shared" si="120"/>
        <v>93.918000000000006</v>
      </c>
      <c r="P87" s="851">
        <f t="shared" si="120"/>
        <v>363.98399999999998</v>
      </c>
      <c r="Q87" s="852">
        <f t="shared" si="120"/>
        <v>93.729000000000013</v>
      </c>
      <c r="R87" s="852">
        <f t="shared" si="120"/>
        <v>93.245000000000005</v>
      </c>
      <c r="S87" s="852">
        <f t="shared" si="120"/>
        <v>89.177000000000007</v>
      </c>
      <c r="T87" s="852">
        <f t="shared" si="120"/>
        <v>90.4</v>
      </c>
      <c r="U87" s="851">
        <f t="shared" si="120"/>
        <v>366.55099999999999</v>
      </c>
      <c r="V87" s="852">
        <f t="shared" si="120"/>
        <v>87.540999999999997</v>
      </c>
      <c r="W87" s="852">
        <f t="shared" si="120"/>
        <v>88.494</v>
      </c>
      <c r="X87" s="852">
        <f t="shared" si="120"/>
        <v>88.326999999999998</v>
      </c>
      <c r="Y87" s="852">
        <f t="shared" si="120"/>
        <v>92.665000000000006</v>
      </c>
      <c r="Z87" s="851">
        <f t="shared" si="120"/>
        <v>357.02700000000004</v>
      </c>
      <c r="AA87" s="852"/>
      <c r="AB87" s="852"/>
      <c r="AC87" s="852"/>
      <c r="AD87" s="852"/>
      <c r="AE87" s="851"/>
      <c r="AF87" s="852"/>
      <c r="AG87" s="852"/>
      <c r="AH87" s="852"/>
      <c r="AI87" s="852"/>
      <c r="AJ87" s="851"/>
      <c r="AK87" s="852"/>
      <c r="AL87" s="852"/>
      <c r="AM87" s="853"/>
      <c r="AN87" s="854"/>
      <c r="AO87" s="855"/>
      <c r="AP87" s="854"/>
      <c r="AQ87" s="854"/>
      <c r="AR87" s="854"/>
      <c r="AS87" s="854"/>
      <c r="AT87" s="855"/>
      <c r="AU87" s="855"/>
      <c r="AV87" s="855"/>
      <c r="AW87" s="855"/>
      <c r="AX87" s="795"/>
    </row>
    <row r="88" spans="1:50" s="29" customFormat="1" ht="6.75" hidden="1" customHeight="1" outlineLevel="1" x14ac:dyDescent="0.45">
      <c r="A88" s="56"/>
      <c r="B88" s="57"/>
      <c r="C88" s="840"/>
      <c r="D88" s="840"/>
      <c r="E88" s="840"/>
      <c r="F88" s="840"/>
      <c r="G88" s="841"/>
      <c r="H88" s="841"/>
      <c r="I88" s="841"/>
      <c r="J88" s="841"/>
      <c r="K88" s="840"/>
      <c r="L88" s="841"/>
      <c r="M88" s="841"/>
      <c r="N88" s="841"/>
      <c r="O88" s="841"/>
      <c r="P88" s="840"/>
      <c r="Q88" s="841"/>
      <c r="R88" s="841"/>
      <c r="S88" s="841"/>
      <c r="T88" s="841"/>
      <c r="U88" s="840"/>
      <c r="V88" s="841"/>
      <c r="W88" s="841"/>
      <c r="X88" s="841"/>
      <c r="Y88" s="841"/>
      <c r="Z88" s="840"/>
      <c r="AA88" s="841"/>
      <c r="AB88" s="841"/>
      <c r="AC88" s="841"/>
      <c r="AD88" s="841"/>
      <c r="AE88" s="840"/>
      <c r="AF88" s="841"/>
      <c r="AG88" s="841"/>
      <c r="AH88" s="841"/>
      <c r="AI88" s="841"/>
      <c r="AJ88" s="840"/>
      <c r="AK88" s="841"/>
      <c r="AL88" s="841"/>
      <c r="AM88" s="842"/>
      <c r="AN88" s="843"/>
      <c r="AO88" s="844"/>
      <c r="AP88" s="843"/>
      <c r="AQ88" s="843"/>
      <c r="AR88" s="843"/>
      <c r="AS88" s="843"/>
      <c r="AT88" s="844"/>
      <c r="AU88" s="844"/>
      <c r="AV88" s="844"/>
      <c r="AW88" s="844"/>
      <c r="AX88" s="793"/>
    </row>
    <row r="89" spans="1:50" s="51" customFormat="1" hidden="1" outlineLevel="1" x14ac:dyDescent="0.45">
      <c r="A89" s="705" t="s">
        <v>448</v>
      </c>
      <c r="B89" s="684"/>
      <c r="C89" s="411"/>
      <c r="D89" s="411">
        <f>IFERROR(D80/C80-1,"N/A")</f>
        <v>0.18664007753924317</v>
      </c>
      <c r="E89" s="411">
        <f t="shared" ref="E89:F89" si="121">IFERROR(E80/D80-1,"N/A")</f>
        <v>0.14921043243141741</v>
      </c>
      <c r="F89" s="411">
        <f t="shared" si="121"/>
        <v>-0.27641393057586572</v>
      </c>
      <c r="G89" s="685"/>
      <c r="H89" s="685"/>
      <c r="I89" s="685"/>
      <c r="J89" s="685"/>
      <c r="K89" s="411">
        <f>IFERROR(K80/F80-1,"N/A")</f>
        <v>-0.3131689472971142</v>
      </c>
      <c r="L89" s="685">
        <f t="shared" ref="L89:Z96" si="122">IFERROR(L80/G80-1,"N/A")</f>
        <v>0.23722764838467314</v>
      </c>
      <c r="M89" s="685">
        <f t="shared" si="122"/>
        <v>0.24122863385169002</v>
      </c>
      <c r="N89" s="685">
        <f t="shared" si="122"/>
        <v>0.5182088706249115</v>
      </c>
      <c r="O89" s="685">
        <f t="shared" si="122"/>
        <v>0.39233504543658615</v>
      </c>
      <c r="P89" s="411">
        <f t="shared" si="122"/>
        <v>0.34216063385606721</v>
      </c>
      <c r="Q89" s="685">
        <f t="shared" si="122"/>
        <v>-0.18076008299175139</v>
      </c>
      <c r="R89" s="685">
        <f t="shared" si="122"/>
        <v>1.9206875129426537E-2</v>
      </c>
      <c r="S89" s="685">
        <f t="shared" si="122"/>
        <v>-0.24631323501960056</v>
      </c>
      <c r="T89" s="685">
        <f t="shared" si="122"/>
        <v>-0.12518917896329917</v>
      </c>
      <c r="U89" s="411">
        <f t="shared" si="122"/>
        <v>-0.13626621269090866</v>
      </c>
      <c r="V89" s="685">
        <f t="shared" si="122"/>
        <v>-8.6478473037247539E-2</v>
      </c>
      <c r="W89" s="685">
        <f t="shared" si="122"/>
        <v>-0.12724132676385447</v>
      </c>
      <c r="X89" s="685">
        <f t="shared" si="122"/>
        <v>5.2321981424148678E-2</v>
      </c>
      <c r="Y89" s="685">
        <f t="shared" si="122"/>
        <v>-0.10358436503216739</v>
      </c>
      <c r="Z89" s="411">
        <f t="shared" si="122"/>
        <v>-7.0558541185145263E-2</v>
      </c>
      <c r="AA89" s="685"/>
      <c r="AB89" s="685"/>
      <c r="AC89" s="685"/>
      <c r="AD89" s="685"/>
      <c r="AE89" s="411"/>
      <c r="AF89" s="685"/>
      <c r="AG89" s="685"/>
      <c r="AH89" s="685"/>
      <c r="AI89" s="685"/>
      <c r="AJ89" s="411"/>
      <c r="AK89" s="685"/>
      <c r="AL89" s="685"/>
      <c r="AM89" s="686"/>
      <c r="AN89" s="58"/>
      <c r="AO89" s="27"/>
      <c r="AP89" s="58"/>
      <c r="AQ89" s="58"/>
      <c r="AR89" s="58"/>
      <c r="AS89" s="58"/>
      <c r="AT89" s="27"/>
      <c r="AU89" s="27"/>
      <c r="AV89" s="27"/>
      <c r="AW89" s="27"/>
      <c r="AX89" s="58"/>
    </row>
    <row r="90" spans="1:50" s="51" customFormat="1" hidden="1" outlineLevel="1" x14ac:dyDescent="0.45">
      <c r="A90" s="705" t="s">
        <v>449</v>
      </c>
      <c r="B90" s="684"/>
      <c r="C90" s="411"/>
      <c r="D90" s="411">
        <f t="shared" ref="D90:F96" si="123">IFERROR(D81/C81-1,"N/A")</f>
        <v>0.25313021702838068</v>
      </c>
      <c r="E90" s="411">
        <f t="shared" si="123"/>
        <v>0.46494587843463764</v>
      </c>
      <c r="F90" s="411">
        <f t="shared" si="123"/>
        <v>0.32651282634231382</v>
      </c>
      <c r="G90" s="685"/>
      <c r="H90" s="685"/>
      <c r="I90" s="685"/>
      <c r="J90" s="685"/>
      <c r="K90" s="411">
        <f t="shared" ref="K90:K96" si="124">IFERROR(K81/F81-1,"N/A")</f>
        <v>-0.25879798903107865</v>
      </c>
      <c r="L90" s="685">
        <f t="shared" si="122"/>
        <v>0.47756653992395437</v>
      </c>
      <c r="M90" s="685">
        <f t="shared" si="122"/>
        <v>0.24049174029965403</v>
      </c>
      <c r="N90" s="685">
        <f t="shared" si="122"/>
        <v>1.3511692429647244</v>
      </c>
      <c r="O90" s="685">
        <f t="shared" si="122"/>
        <v>1.0444921755139616</v>
      </c>
      <c r="P90" s="411">
        <f t="shared" si="122"/>
        <v>0.71851395097888071</v>
      </c>
      <c r="Q90" s="685">
        <f t="shared" si="122"/>
        <v>0.26052496139989723</v>
      </c>
      <c r="R90" s="685">
        <f t="shared" si="122"/>
        <v>0.28388561990296268</v>
      </c>
      <c r="S90" s="685">
        <f t="shared" si="122"/>
        <v>-1.3401888064733747E-2</v>
      </c>
      <c r="T90" s="685">
        <f t="shared" si="122"/>
        <v>0.42690980039021453</v>
      </c>
      <c r="U90" s="411">
        <f t="shared" si="122"/>
        <v>0.24244259059921069</v>
      </c>
      <c r="V90" s="685">
        <f t="shared" si="122"/>
        <v>0.62297893189612918</v>
      </c>
      <c r="W90" s="685">
        <f t="shared" si="122"/>
        <v>0.72790865964460871</v>
      </c>
      <c r="X90" s="685">
        <f t="shared" si="122"/>
        <v>0.92618539085860729</v>
      </c>
      <c r="Y90" s="685">
        <f t="shared" si="122"/>
        <v>0.21688140941362066</v>
      </c>
      <c r="Z90" s="411">
        <f t="shared" si="122"/>
        <v>0.57121455516849262</v>
      </c>
      <c r="AA90" s="685"/>
      <c r="AB90" s="685"/>
      <c r="AC90" s="685"/>
      <c r="AD90" s="685"/>
      <c r="AE90" s="411"/>
      <c r="AF90" s="685"/>
      <c r="AG90" s="685"/>
      <c r="AH90" s="685"/>
      <c r="AI90" s="685"/>
      <c r="AJ90" s="411"/>
      <c r="AK90" s="685"/>
      <c r="AL90" s="685"/>
      <c r="AM90" s="686"/>
      <c r="AN90" s="58"/>
      <c r="AO90" s="27"/>
      <c r="AP90" s="58"/>
      <c r="AQ90" s="58"/>
      <c r="AR90" s="58"/>
      <c r="AS90" s="58"/>
      <c r="AT90" s="27"/>
      <c r="AU90" s="27"/>
      <c r="AV90" s="27"/>
      <c r="AW90" s="27"/>
      <c r="AX90" s="58"/>
    </row>
    <row r="91" spans="1:50" s="33" customFormat="1" hidden="1" outlineLevel="1" x14ac:dyDescent="0.45">
      <c r="A91" s="706" t="s">
        <v>450</v>
      </c>
      <c r="B91" s="689"/>
      <c r="C91" s="690"/>
      <c r="D91" s="690">
        <f t="shared" si="123"/>
        <v>0.19581896924244013</v>
      </c>
      <c r="E91" s="690">
        <f t="shared" si="123"/>
        <v>0.19488633169783753</v>
      </c>
      <c r="F91" s="690">
        <f t="shared" si="123"/>
        <v>-0.1694780843828545</v>
      </c>
      <c r="G91" s="691"/>
      <c r="H91" s="691"/>
      <c r="I91" s="691"/>
      <c r="J91" s="691"/>
      <c r="K91" s="690">
        <f t="shared" si="124"/>
        <v>-0.29776662890435346</v>
      </c>
      <c r="L91" s="691">
        <f t="shared" si="122"/>
        <v>0.30731361156694903</v>
      </c>
      <c r="M91" s="691">
        <f t="shared" si="122"/>
        <v>0.24098241410294818</v>
      </c>
      <c r="N91" s="691">
        <f t="shared" si="122"/>
        <v>0.73757828810020887</v>
      </c>
      <c r="O91" s="691">
        <f t="shared" si="122"/>
        <v>0.58818650939918893</v>
      </c>
      <c r="P91" s="690">
        <f t="shared" si="122"/>
        <v>0.45469106496738942</v>
      </c>
      <c r="Q91" s="691">
        <f t="shared" si="122"/>
        <v>-3.5316867960374476E-2</v>
      </c>
      <c r="R91" s="691">
        <f t="shared" si="122"/>
        <v>0.10760955763196911</v>
      </c>
      <c r="S91" s="691">
        <f t="shared" si="122"/>
        <v>-0.1633125075093117</v>
      </c>
      <c r="T91" s="691">
        <f t="shared" si="122"/>
        <v>8.8250652741514335E-2</v>
      </c>
      <c r="U91" s="690">
        <f t="shared" si="122"/>
        <v>-2.4952273825461502E-3</v>
      </c>
      <c r="V91" s="691">
        <f t="shared" si="122"/>
        <v>0.21906101635308595</v>
      </c>
      <c r="W91" s="691">
        <f t="shared" si="122"/>
        <v>0.20383513883700632</v>
      </c>
      <c r="X91" s="691">
        <f t="shared" si="122"/>
        <v>0.4195297074133908</v>
      </c>
      <c r="Y91" s="691">
        <f t="shared" si="122"/>
        <v>5.8861164427383095E-2</v>
      </c>
      <c r="Z91" s="690">
        <f t="shared" si="122"/>
        <v>0.21179899305941574</v>
      </c>
      <c r="AA91" s="691"/>
      <c r="AB91" s="691"/>
      <c r="AC91" s="691"/>
      <c r="AD91" s="691"/>
      <c r="AE91" s="690"/>
      <c r="AF91" s="691"/>
      <c r="AG91" s="691"/>
      <c r="AH91" s="691"/>
      <c r="AI91" s="691"/>
      <c r="AJ91" s="690"/>
      <c r="AK91" s="691"/>
      <c r="AL91" s="691"/>
      <c r="AM91" s="692"/>
      <c r="AN91" s="691"/>
      <c r="AO91" s="690"/>
      <c r="AP91" s="691"/>
      <c r="AQ91" s="691"/>
      <c r="AR91" s="691"/>
      <c r="AS91" s="691"/>
      <c r="AT91" s="690"/>
      <c r="AU91" s="690"/>
      <c r="AV91" s="690"/>
      <c r="AW91" s="690"/>
      <c r="AX91" s="126"/>
    </row>
    <row r="92" spans="1:50" s="51" customFormat="1" hidden="1" outlineLevel="1" x14ac:dyDescent="0.45">
      <c r="A92" s="707" t="s">
        <v>451</v>
      </c>
      <c r="B92" s="687"/>
      <c r="C92" s="411"/>
      <c r="D92" s="411">
        <f t="shared" si="123"/>
        <v>0.23350748946093836</v>
      </c>
      <c r="E92" s="411">
        <f t="shared" si="123"/>
        <v>0.26189112789609048</v>
      </c>
      <c r="F92" s="411">
        <f t="shared" si="123"/>
        <v>0.12921372594214575</v>
      </c>
      <c r="G92" s="685"/>
      <c r="H92" s="685"/>
      <c r="I92" s="685"/>
      <c r="J92" s="685"/>
      <c r="K92" s="411">
        <f t="shared" si="124"/>
        <v>2.0979645470144526E-2</v>
      </c>
      <c r="L92" s="685">
        <f t="shared" si="122"/>
        <v>5.6905304600082918E-2</v>
      </c>
      <c r="M92" s="685">
        <f t="shared" si="122"/>
        <v>4.5196338650063117E-2</v>
      </c>
      <c r="N92" s="685">
        <f t="shared" si="122"/>
        <v>8.2539043834720882E-2</v>
      </c>
      <c r="O92" s="685">
        <f t="shared" si="122"/>
        <v>4.4905259087393734E-2</v>
      </c>
      <c r="P92" s="411">
        <f t="shared" si="122"/>
        <v>5.7222291640634637E-2</v>
      </c>
      <c r="Q92" s="685">
        <f t="shared" si="122"/>
        <v>7.1265776252910307E-2</v>
      </c>
      <c r="R92" s="685">
        <f t="shared" si="122"/>
        <v>9.7306277441555622E-4</v>
      </c>
      <c r="S92" s="685">
        <f t="shared" si="122"/>
        <v>-8.1914275757927868E-2</v>
      </c>
      <c r="T92" s="685">
        <f t="shared" si="122"/>
        <v>-7.9613267335893023E-2</v>
      </c>
      <c r="U92" s="411">
        <f t="shared" si="122"/>
        <v>-2.3750288088217109E-2</v>
      </c>
      <c r="V92" s="685">
        <f t="shared" si="122"/>
        <v>-0.13053325097796997</v>
      </c>
      <c r="W92" s="685">
        <f t="shared" si="122"/>
        <v>-7.591995447647959E-2</v>
      </c>
      <c r="X92" s="685">
        <f t="shared" si="122"/>
        <v>1.0248235026189878E-2</v>
      </c>
      <c r="Y92" s="685">
        <f t="shared" si="122"/>
        <v>5.2925211097708091E-2</v>
      </c>
      <c r="Z92" s="411">
        <f t="shared" si="122"/>
        <v>-3.8722760290556879E-2</v>
      </c>
      <c r="AA92" s="685"/>
      <c r="AB92" s="685"/>
      <c r="AC92" s="685"/>
      <c r="AD92" s="685"/>
      <c r="AE92" s="411"/>
      <c r="AF92" s="685"/>
      <c r="AG92" s="685"/>
      <c r="AH92" s="685"/>
      <c r="AI92" s="685"/>
      <c r="AJ92" s="411"/>
      <c r="AK92" s="685"/>
      <c r="AL92" s="685"/>
      <c r="AM92" s="686"/>
      <c r="AN92" s="685"/>
      <c r="AO92" s="411"/>
      <c r="AP92" s="685"/>
      <c r="AQ92" s="685"/>
      <c r="AR92" s="685"/>
      <c r="AS92" s="685"/>
      <c r="AT92" s="411"/>
      <c r="AU92" s="411"/>
      <c r="AV92" s="411"/>
      <c r="AW92" s="411"/>
      <c r="AX92" s="58"/>
    </row>
    <row r="93" spans="1:50" s="51" customFormat="1" hidden="1" outlineLevel="1" x14ac:dyDescent="0.45">
      <c r="A93" s="707" t="s">
        <v>452</v>
      </c>
      <c r="B93" s="687"/>
      <c r="C93" s="411"/>
      <c r="D93" s="411">
        <f t="shared" si="123"/>
        <v>0.22910132278739948</v>
      </c>
      <c r="E93" s="411">
        <f t="shared" si="123"/>
        <v>1.1250416065683E-2</v>
      </c>
      <c r="F93" s="411">
        <f t="shared" si="123"/>
        <v>0.29946019485649078</v>
      </c>
      <c r="G93" s="685"/>
      <c r="H93" s="685"/>
      <c r="I93" s="685"/>
      <c r="J93" s="685"/>
      <c r="K93" s="411">
        <f t="shared" si="124"/>
        <v>6.3442476232290268E-2</v>
      </c>
      <c r="L93" s="685">
        <f t="shared" si="122"/>
        <v>4.2335310646269164E-2</v>
      </c>
      <c r="M93" s="685">
        <f t="shared" si="122"/>
        <v>0.12704467576129819</v>
      </c>
      <c r="N93" s="685">
        <f t="shared" si="122"/>
        <v>0.2604771912473729</v>
      </c>
      <c r="O93" s="685">
        <f t="shared" si="122"/>
        <v>0.28754243927918499</v>
      </c>
      <c r="P93" s="411">
        <f t="shared" si="122"/>
        <v>0.17881415142276413</v>
      </c>
      <c r="Q93" s="685">
        <f t="shared" si="122"/>
        <v>0.21266399089438659</v>
      </c>
      <c r="R93" s="685">
        <f t="shared" si="122"/>
        <v>0.192806333180358</v>
      </c>
      <c r="S93" s="685">
        <f t="shared" si="122"/>
        <v>5.8944684189878416E-2</v>
      </c>
      <c r="T93" s="685">
        <f t="shared" si="122"/>
        <v>3.326572008113593E-2</v>
      </c>
      <c r="U93" s="411">
        <f t="shared" si="122"/>
        <v>0.11812169133989792</v>
      </c>
      <c r="V93" s="685">
        <f t="shared" si="122"/>
        <v>4.0013831941905886E-2</v>
      </c>
      <c r="W93" s="685">
        <f t="shared" si="122"/>
        <v>6.8773144808349507E-3</v>
      </c>
      <c r="X93" s="685">
        <f t="shared" si="122"/>
        <v>-7.1593961285542407E-2</v>
      </c>
      <c r="Y93" s="685">
        <f t="shared" si="122"/>
        <v>6.8217510797015102E-3</v>
      </c>
      <c r="Z93" s="411">
        <f t="shared" si="122"/>
        <v>-5.4694841336769828E-3</v>
      </c>
      <c r="AA93" s="685"/>
      <c r="AB93" s="685"/>
      <c r="AC93" s="685"/>
      <c r="AD93" s="685"/>
      <c r="AE93" s="411"/>
      <c r="AF93" s="685"/>
      <c r="AG93" s="685"/>
      <c r="AH93" s="685"/>
      <c r="AI93" s="685"/>
      <c r="AJ93" s="411"/>
      <c r="AK93" s="685"/>
      <c r="AL93" s="685"/>
      <c r="AM93" s="686"/>
      <c r="AN93" s="685"/>
      <c r="AO93" s="411"/>
      <c r="AP93" s="685"/>
      <c r="AQ93" s="685"/>
      <c r="AR93" s="685"/>
      <c r="AS93" s="685"/>
      <c r="AT93" s="411"/>
      <c r="AU93" s="411"/>
      <c r="AV93" s="411"/>
      <c r="AW93" s="411"/>
      <c r="AX93" s="58"/>
    </row>
    <row r="94" spans="1:50" s="51" customFormat="1" hidden="1" outlineLevel="1" x14ac:dyDescent="0.45">
      <c r="A94" s="707" t="s">
        <v>453</v>
      </c>
      <c r="B94" s="687"/>
      <c r="C94" s="411"/>
      <c r="D94" s="411">
        <f t="shared" si="123"/>
        <v>0.17088625660054246</v>
      </c>
      <c r="E94" s="411">
        <f t="shared" si="123"/>
        <v>0.20079469552922835</v>
      </c>
      <c r="F94" s="411">
        <f t="shared" si="123"/>
        <v>0.2121439736900872</v>
      </c>
      <c r="G94" s="685"/>
      <c r="H94" s="685"/>
      <c r="I94" s="685"/>
      <c r="J94" s="685"/>
      <c r="K94" s="411">
        <f t="shared" si="124"/>
        <v>0.12704952352241694</v>
      </c>
      <c r="L94" s="685">
        <f t="shared" si="122"/>
        <v>9.7471842798945607E-2</v>
      </c>
      <c r="M94" s="685">
        <f t="shared" si="122"/>
        <v>0.14270172257479574</v>
      </c>
      <c r="N94" s="685">
        <f t="shared" si="122"/>
        <v>0.1450982749293741</v>
      </c>
      <c r="O94" s="685">
        <f t="shared" si="122"/>
        <v>0.15274668503530231</v>
      </c>
      <c r="P94" s="411">
        <f t="shared" si="122"/>
        <v>0.13467568169997768</v>
      </c>
      <c r="Q94" s="685">
        <f t="shared" si="122"/>
        <v>0.10207980784977355</v>
      </c>
      <c r="R94" s="685">
        <f t="shared" si="122"/>
        <v>8.8596212842483979E-2</v>
      </c>
      <c r="S94" s="685">
        <f t="shared" si="122"/>
        <v>8.3565167182825251E-2</v>
      </c>
      <c r="T94" s="685">
        <f t="shared" si="122"/>
        <v>4.2226869833681846E-2</v>
      </c>
      <c r="U94" s="411">
        <f t="shared" si="122"/>
        <v>7.8380785248435059E-2</v>
      </c>
      <c r="V94" s="685">
        <f t="shared" si="122"/>
        <v>9.5844271633067413E-2</v>
      </c>
      <c r="W94" s="685">
        <f t="shared" si="122"/>
        <v>5.0143336086681867E-2</v>
      </c>
      <c r="X94" s="685">
        <f t="shared" si="122"/>
        <v>5.5563629317444185E-2</v>
      </c>
      <c r="Y94" s="685">
        <f t="shared" si="122"/>
        <v>0.11915910176779732</v>
      </c>
      <c r="Z94" s="411">
        <f t="shared" si="122"/>
        <v>8.0249687283679094E-2</v>
      </c>
      <c r="AA94" s="685"/>
      <c r="AB94" s="685"/>
      <c r="AC94" s="685"/>
      <c r="AD94" s="685"/>
      <c r="AE94" s="411"/>
      <c r="AF94" s="685"/>
      <c r="AG94" s="685"/>
      <c r="AH94" s="685"/>
      <c r="AI94" s="685"/>
      <c r="AJ94" s="411"/>
      <c r="AK94" s="685"/>
      <c r="AL94" s="685"/>
      <c r="AM94" s="686"/>
      <c r="AN94" s="685"/>
      <c r="AO94" s="411"/>
      <c r="AP94" s="685"/>
      <c r="AQ94" s="685"/>
      <c r="AR94" s="685"/>
      <c r="AS94" s="685"/>
      <c r="AT94" s="411"/>
      <c r="AU94" s="411"/>
      <c r="AV94" s="411"/>
      <c r="AW94" s="411"/>
      <c r="AX94" s="58"/>
    </row>
    <row r="95" spans="1:50" s="51" customFormat="1" hidden="1" outlineLevel="1" x14ac:dyDescent="0.45">
      <c r="A95" s="708" t="s">
        <v>454</v>
      </c>
      <c r="B95" s="693"/>
      <c r="C95" s="694"/>
      <c r="D95" s="694">
        <f t="shared" si="123"/>
        <v>0.22201478605033231</v>
      </c>
      <c r="E95" s="694">
        <f t="shared" si="123"/>
        <v>0.44750672207284281</v>
      </c>
      <c r="F95" s="694">
        <f t="shared" si="123"/>
        <v>0.28657069278507197</v>
      </c>
      <c r="G95" s="695"/>
      <c r="H95" s="695"/>
      <c r="I95" s="695"/>
      <c r="J95" s="695"/>
      <c r="K95" s="694">
        <f t="shared" si="124"/>
        <v>0.10835110746513532</v>
      </c>
      <c r="L95" s="695">
        <f t="shared" si="122"/>
        <v>-0.195697963873109</v>
      </c>
      <c r="M95" s="695">
        <f t="shared" si="122"/>
        <v>-0.1522261943451414</v>
      </c>
      <c r="N95" s="695">
        <f t="shared" si="122"/>
        <v>-0.55340032717924748</v>
      </c>
      <c r="O95" s="695">
        <f t="shared" si="122"/>
        <v>-0.43866707933560301</v>
      </c>
      <c r="P95" s="694">
        <f t="shared" si="122"/>
        <v>-0.34615270746365867</v>
      </c>
      <c r="Q95" s="695">
        <f t="shared" si="122"/>
        <v>-0.23942544242520447</v>
      </c>
      <c r="R95" s="695">
        <f t="shared" si="122"/>
        <v>-0.25668941194510464</v>
      </c>
      <c r="S95" s="695">
        <f t="shared" si="122"/>
        <v>-2.9173207744636276E-2</v>
      </c>
      <c r="T95" s="695">
        <f t="shared" si="122"/>
        <v>-0.14519389818048156</v>
      </c>
      <c r="U95" s="694">
        <f t="shared" si="122"/>
        <v>-0.18492189268734438</v>
      </c>
      <c r="V95" s="695">
        <f t="shared" si="122"/>
        <v>-0.33670701168614348</v>
      </c>
      <c r="W95" s="695">
        <f t="shared" si="122"/>
        <v>-0.28096957194430117</v>
      </c>
      <c r="X95" s="695">
        <f t="shared" si="122"/>
        <v>-0.1153483358038</v>
      </c>
      <c r="Y95" s="695">
        <f t="shared" si="122"/>
        <v>-0.26596430875080623</v>
      </c>
      <c r="Z95" s="694">
        <f t="shared" si="122"/>
        <v>-0.25779123382034341</v>
      </c>
      <c r="AA95" s="695"/>
      <c r="AB95" s="695"/>
      <c r="AC95" s="695"/>
      <c r="AD95" s="695"/>
      <c r="AE95" s="694"/>
      <c r="AF95" s="695"/>
      <c r="AG95" s="695"/>
      <c r="AH95" s="695"/>
      <c r="AI95" s="695"/>
      <c r="AJ95" s="694"/>
      <c r="AK95" s="695"/>
      <c r="AL95" s="695"/>
      <c r="AM95" s="696"/>
      <c r="AN95" s="695"/>
      <c r="AO95" s="694"/>
      <c r="AP95" s="695"/>
      <c r="AQ95" s="695"/>
      <c r="AR95" s="695"/>
      <c r="AS95" s="695"/>
      <c r="AT95" s="694"/>
      <c r="AU95" s="694"/>
      <c r="AV95" s="694"/>
      <c r="AW95" s="694"/>
      <c r="AX95" s="58"/>
    </row>
    <row r="96" spans="1:50" s="33" customFormat="1" hidden="1" outlineLevel="1" x14ac:dyDescent="0.45">
      <c r="A96" s="187" t="s">
        <v>455</v>
      </c>
      <c r="B96" s="688"/>
      <c r="C96" s="414"/>
      <c r="D96" s="414">
        <f t="shared" si="123"/>
        <v>0.21931647431183854</v>
      </c>
      <c r="E96" s="414">
        <f t="shared" si="123"/>
        <v>0.22812606518262157</v>
      </c>
      <c r="F96" s="414">
        <f t="shared" si="123"/>
        <v>0.19788141774926404</v>
      </c>
      <c r="G96" s="413"/>
      <c r="H96" s="413"/>
      <c r="I96" s="413"/>
      <c r="J96" s="413"/>
      <c r="K96" s="414">
        <f t="shared" si="124"/>
        <v>6.3080537889612209E-2</v>
      </c>
      <c r="L96" s="413">
        <f t="shared" si="122"/>
        <v>1.6509162815295131E-2</v>
      </c>
      <c r="M96" s="413">
        <f t="shared" si="122"/>
        <v>4.3392999657963616E-2</v>
      </c>
      <c r="N96" s="413">
        <f t="shared" si="122"/>
        <v>4.8832697839320538E-3</v>
      </c>
      <c r="O96" s="413">
        <f t="shared" si="122"/>
        <v>4.4813313511375963E-3</v>
      </c>
      <c r="P96" s="414">
        <f t="shared" si="122"/>
        <v>1.7041787166268474E-2</v>
      </c>
      <c r="Q96" s="413">
        <f t="shared" si="122"/>
        <v>6.0066954692483465E-2</v>
      </c>
      <c r="R96" s="413">
        <f t="shared" si="122"/>
        <v>1.8892871191922955E-2</v>
      </c>
      <c r="S96" s="413">
        <f t="shared" si="122"/>
        <v>-1.0595570940398535E-2</v>
      </c>
      <c r="T96" s="413">
        <f t="shared" si="122"/>
        <v>-3.7458208224195544E-2</v>
      </c>
      <c r="U96" s="414">
        <f t="shared" si="122"/>
        <v>7.0525078025407417E-3</v>
      </c>
      <c r="V96" s="413">
        <f t="shared" si="122"/>
        <v>-6.6020121840625778E-2</v>
      </c>
      <c r="W96" s="413">
        <f t="shared" si="122"/>
        <v>-5.0951793661858646E-2</v>
      </c>
      <c r="X96" s="413">
        <f t="shared" si="122"/>
        <v>-9.531605683079758E-3</v>
      </c>
      <c r="Y96" s="413">
        <f t="shared" si="122"/>
        <v>2.5055309734513198E-2</v>
      </c>
      <c r="Z96" s="414">
        <f t="shared" si="122"/>
        <v>-2.5982741828558531E-2</v>
      </c>
      <c r="AA96" s="413"/>
      <c r="AB96" s="413"/>
      <c r="AC96" s="413"/>
      <c r="AD96" s="413"/>
      <c r="AE96" s="414"/>
      <c r="AF96" s="413"/>
      <c r="AG96" s="413"/>
      <c r="AH96" s="413"/>
      <c r="AI96" s="413"/>
      <c r="AJ96" s="414"/>
      <c r="AK96" s="413"/>
      <c r="AL96" s="413"/>
      <c r="AM96" s="603"/>
      <c r="AN96" s="126"/>
      <c r="AO96" s="129"/>
      <c r="AP96" s="126"/>
      <c r="AQ96" s="126"/>
      <c r="AR96" s="126"/>
      <c r="AS96" s="126"/>
      <c r="AT96" s="129"/>
      <c r="AU96" s="129"/>
      <c r="AV96" s="129"/>
      <c r="AW96" s="129"/>
      <c r="AX96" s="126"/>
    </row>
    <row r="97" spans="1:50" s="29" customFormat="1" hidden="1" outlineLevel="1" x14ac:dyDescent="0.45">
      <c r="A97" s="56"/>
      <c r="B97" s="57"/>
      <c r="C97" s="840"/>
      <c r="D97" s="840"/>
      <c r="E97" s="840"/>
      <c r="F97" s="840"/>
      <c r="G97" s="841"/>
      <c r="H97" s="841"/>
      <c r="I97" s="841"/>
      <c r="J97" s="841"/>
      <c r="K97" s="840"/>
      <c r="L97" s="841"/>
      <c r="M97" s="841"/>
      <c r="N97" s="841"/>
      <c r="O97" s="841"/>
      <c r="P97" s="840"/>
      <c r="Q97" s="841"/>
      <c r="R97" s="841"/>
      <c r="S97" s="841"/>
      <c r="T97" s="841"/>
      <c r="U97" s="840"/>
      <c r="V97" s="841"/>
      <c r="W97" s="841"/>
      <c r="X97" s="841"/>
      <c r="Y97" s="841"/>
      <c r="Z97" s="840"/>
      <c r="AA97" s="841"/>
      <c r="AB97" s="841"/>
      <c r="AC97" s="841"/>
      <c r="AD97" s="841"/>
      <c r="AE97" s="840"/>
      <c r="AF97" s="841"/>
      <c r="AG97" s="841"/>
      <c r="AH97" s="841"/>
      <c r="AI97" s="841"/>
      <c r="AJ97" s="840"/>
      <c r="AK97" s="841"/>
      <c r="AL97" s="841"/>
      <c r="AM97" s="842"/>
      <c r="AN97" s="843"/>
      <c r="AO97" s="844"/>
      <c r="AP97" s="843"/>
      <c r="AQ97" s="843"/>
      <c r="AR97" s="843"/>
      <c r="AS97" s="843"/>
      <c r="AT97" s="844"/>
      <c r="AU97" s="844"/>
      <c r="AV97" s="844"/>
      <c r="AW97" s="844"/>
      <c r="AX97" s="793"/>
    </row>
    <row r="98" spans="1:50" s="29" customFormat="1" hidden="1" outlineLevel="1" x14ac:dyDescent="0.45">
      <c r="A98" s="61" t="s">
        <v>431</v>
      </c>
      <c r="B98" s="57"/>
      <c r="C98" s="840">
        <f>C227-C238</f>
        <v>77.646000000000001</v>
      </c>
      <c r="D98" s="840">
        <f t="shared" ref="D98:Z98" si="125">D227-D238</f>
        <v>86.734999999999999</v>
      </c>
      <c r="E98" s="840">
        <f t="shared" si="125"/>
        <v>104.008</v>
      </c>
      <c r="F98" s="840">
        <f t="shared" si="125"/>
        <v>66.822000000000003</v>
      </c>
      <c r="G98" s="841">
        <f t="shared" si="125"/>
        <v>11.038</v>
      </c>
      <c r="H98" s="841">
        <f t="shared" si="125"/>
        <v>10.782999999999999</v>
      </c>
      <c r="I98" s="841">
        <f t="shared" si="125"/>
        <v>-13.283999999999999</v>
      </c>
      <c r="J98" s="841">
        <f t="shared" si="125"/>
        <v>8.0709999999999997</v>
      </c>
      <c r="K98" s="840">
        <f t="shared" si="125"/>
        <v>16.608000000000004</v>
      </c>
      <c r="L98" s="841">
        <f t="shared" si="125"/>
        <v>12.204999999999998</v>
      </c>
      <c r="M98" s="841">
        <f t="shared" si="125"/>
        <v>11.840999999999999</v>
      </c>
      <c r="N98" s="841">
        <f t="shared" si="125"/>
        <v>14.133000000000001</v>
      </c>
      <c r="O98" s="841">
        <f t="shared" si="125"/>
        <v>14.666999999999998</v>
      </c>
      <c r="P98" s="840">
        <f t="shared" si="125"/>
        <v>52.846000000000004</v>
      </c>
      <c r="Q98" s="841">
        <f t="shared" si="125"/>
        <v>9.1479999999999997</v>
      </c>
      <c r="R98" s="841">
        <f t="shared" si="125"/>
        <v>13.109000000000002</v>
      </c>
      <c r="S98" s="841">
        <f t="shared" si="125"/>
        <v>9.6199999999999974</v>
      </c>
      <c r="T98" s="841">
        <f t="shared" si="125"/>
        <v>11.14</v>
      </c>
      <c r="U98" s="840">
        <f t="shared" si="125"/>
        <v>43.016999999999996</v>
      </c>
      <c r="V98" s="841">
        <f t="shared" si="125"/>
        <v>7.6689999999999996</v>
      </c>
      <c r="W98" s="841">
        <f t="shared" si="125"/>
        <v>10.754999999999999</v>
      </c>
      <c r="X98" s="841">
        <f t="shared" si="125"/>
        <v>11.315000000000001</v>
      </c>
      <c r="Y98" s="841">
        <f t="shared" si="125"/>
        <v>11.154</v>
      </c>
      <c r="Z98" s="840">
        <f t="shared" si="125"/>
        <v>40.893000000000001</v>
      </c>
      <c r="AA98" s="841"/>
      <c r="AB98" s="841"/>
      <c r="AC98" s="841"/>
      <c r="AD98" s="841"/>
      <c r="AE98" s="840"/>
      <c r="AF98" s="841"/>
      <c r="AG98" s="841"/>
      <c r="AH98" s="841"/>
      <c r="AI98" s="841"/>
      <c r="AJ98" s="840"/>
      <c r="AK98" s="841"/>
      <c r="AL98" s="841"/>
      <c r="AM98" s="842"/>
      <c r="AN98" s="843"/>
      <c r="AO98" s="844"/>
      <c r="AP98" s="843"/>
      <c r="AQ98" s="843"/>
      <c r="AR98" s="843"/>
      <c r="AS98" s="843"/>
      <c r="AT98" s="844"/>
      <c r="AU98" s="844"/>
      <c r="AV98" s="844"/>
      <c r="AW98" s="844"/>
      <c r="AX98" s="793"/>
    </row>
    <row r="99" spans="1:50" s="29" customFormat="1" hidden="1" outlineLevel="1" x14ac:dyDescent="0.45">
      <c r="A99" s="61" t="s">
        <v>432</v>
      </c>
      <c r="B99" s="57"/>
      <c r="C99" s="840">
        <f>C228-C239</f>
        <v>2.3929999999999989</v>
      </c>
      <c r="D99" s="840">
        <f t="shared" ref="D99:Z99" si="126">D228-D239</f>
        <v>3.0050000000000008</v>
      </c>
      <c r="E99" s="840">
        <f t="shared" si="126"/>
        <v>5.093</v>
      </c>
      <c r="F99" s="840">
        <f t="shared" si="126"/>
        <v>4.1120000000000019</v>
      </c>
      <c r="G99" s="841">
        <f t="shared" si="126"/>
        <v>-0.55900000000000016</v>
      </c>
      <c r="H99" s="841">
        <f t="shared" si="126"/>
        <v>0.83699999999999974</v>
      </c>
      <c r="I99" s="841">
        <f t="shared" si="126"/>
        <v>-2.42</v>
      </c>
      <c r="J99" s="841">
        <f t="shared" si="126"/>
        <v>-1.5910000000000002</v>
      </c>
      <c r="K99" s="840">
        <f t="shared" si="126"/>
        <v>-3.7330000000000005</v>
      </c>
      <c r="L99" s="841">
        <f t="shared" si="126"/>
        <v>5.2640000000000002</v>
      </c>
      <c r="M99" s="841">
        <f t="shared" si="126"/>
        <v>4.302999999999999</v>
      </c>
      <c r="N99" s="841">
        <f t="shared" si="126"/>
        <v>6.6700000000000008</v>
      </c>
      <c r="O99" s="841">
        <f t="shared" si="126"/>
        <v>7.6830000000000007</v>
      </c>
      <c r="P99" s="840">
        <f t="shared" si="126"/>
        <v>23.919999999999998</v>
      </c>
      <c r="Q99" s="841">
        <f t="shared" si="126"/>
        <v>6.2880000000000003</v>
      </c>
      <c r="R99" s="841">
        <f t="shared" si="126"/>
        <v>6.4739999999999993</v>
      </c>
      <c r="S99" s="841">
        <f t="shared" si="126"/>
        <v>6.1719999999999997</v>
      </c>
      <c r="T99" s="841">
        <f t="shared" si="126"/>
        <v>9.8470000000000013</v>
      </c>
      <c r="U99" s="840">
        <f t="shared" si="126"/>
        <v>28.780999999999999</v>
      </c>
      <c r="V99" s="841">
        <f t="shared" si="126"/>
        <v>10.788</v>
      </c>
      <c r="W99" s="841">
        <f t="shared" si="126"/>
        <v>12.814999999999998</v>
      </c>
      <c r="X99" s="841">
        <f t="shared" si="126"/>
        <v>13.200999999999999</v>
      </c>
      <c r="Y99" s="841">
        <f t="shared" si="126"/>
        <v>13.501999999999999</v>
      </c>
      <c r="Z99" s="840">
        <f t="shared" si="126"/>
        <v>50.305999999999997</v>
      </c>
      <c r="AA99" s="841"/>
      <c r="AB99" s="841"/>
      <c r="AC99" s="841"/>
      <c r="AD99" s="841"/>
      <c r="AE99" s="840"/>
      <c r="AF99" s="841"/>
      <c r="AG99" s="841"/>
      <c r="AH99" s="841"/>
      <c r="AI99" s="841"/>
      <c r="AJ99" s="840"/>
      <c r="AK99" s="841"/>
      <c r="AL99" s="841"/>
      <c r="AM99" s="842"/>
      <c r="AN99" s="843"/>
      <c r="AO99" s="844"/>
      <c r="AP99" s="843"/>
      <c r="AQ99" s="843"/>
      <c r="AR99" s="843"/>
      <c r="AS99" s="843"/>
      <c r="AT99" s="844"/>
      <c r="AU99" s="844"/>
      <c r="AV99" s="844"/>
      <c r="AW99" s="844"/>
      <c r="AX99" s="793"/>
    </row>
    <row r="100" spans="1:50" s="7" customFormat="1" hidden="1" outlineLevel="1" x14ac:dyDescent="0.45">
      <c r="A100" s="53" t="s">
        <v>433</v>
      </c>
      <c r="B100" s="87"/>
      <c r="C100" s="845">
        <f>SUM(C98:C99)</f>
        <v>80.039000000000001</v>
      </c>
      <c r="D100" s="845">
        <f t="shared" ref="D100:Z100" si="127">SUM(D98:D99)</f>
        <v>89.74</v>
      </c>
      <c r="E100" s="845">
        <f t="shared" si="127"/>
        <v>109.101</v>
      </c>
      <c r="F100" s="845">
        <f t="shared" si="127"/>
        <v>70.933999999999997</v>
      </c>
      <c r="G100" s="846">
        <f t="shared" si="127"/>
        <v>10.478999999999999</v>
      </c>
      <c r="H100" s="846">
        <f t="shared" si="127"/>
        <v>11.62</v>
      </c>
      <c r="I100" s="846">
        <f t="shared" si="127"/>
        <v>-15.703999999999999</v>
      </c>
      <c r="J100" s="846">
        <f t="shared" si="127"/>
        <v>6.4799999999999995</v>
      </c>
      <c r="K100" s="845">
        <f t="shared" si="127"/>
        <v>12.875000000000004</v>
      </c>
      <c r="L100" s="846">
        <f t="shared" si="127"/>
        <v>17.468999999999998</v>
      </c>
      <c r="M100" s="846">
        <f t="shared" si="127"/>
        <v>16.143999999999998</v>
      </c>
      <c r="N100" s="846">
        <f t="shared" si="127"/>
        <v>20.803000000000001</v>
      </c>
      <c r="O100" s="846">
        <f t="shared" si="127"/>
        <v>22.349999999999998</v>
      </c>
      <c r="P100" s="845">
        <f t="shared" si="127"/>
        <v>76.766000000000005</v>
      </c>
      <c r="Q100" s="846">
        <f t="shared" si="127"/>
        <v>15.436</v>
      </c>
      <c r="R100" s="846">
        <f t="shared" si="127"/>
        <v>19.583000000000002</v>
      </c>
      <c r="S100" s="846">
        <f t="shared" si="127"/>
        <v>15.791999999999998</v>
      </c>
      <c r="T100" s="846">
        <f t="shared" si="127"/>
        <v>20.987000000000002</v>
      </c>
      <c r="U100" s="845">
        <f t="shared" si="127"/>
        <v>71.798000000000002</v>
      </c>
      <c r="V100" s="846">
        <f t="shared" si="127"/>
        <v>18.457000000000001</v>
      </c>
      <c r="W100" s="846">
        <f t="shared" si="127"/>
        <v>23.569999999999997</v>
      </c>
      <c r="X100" s="846">
        <f t="shared" si="127"/>
        <v>24.515999999999998</v>
      </c>
      <c r="Y100" s="846">
        <f t="shared" si="127"/>
        <v>24.655999999999999</v>
      </c>
      <c r="Z100" s="845">
        <f t="shared" si="127"/>
        <v>91.198999999999998</v>
      </c>
      <c r="AA100" s="846"/>
      <c r="AB100" s="846"/>
      <c r="AC100" s="846"/>
      <c r="AD100" s="846"/>
      <c r="AE100" s="845"/>
      <c r="AF100" s="846"/>
      <c r="AG100" s="846"/>
      <c r="AH100" s="846"/>
      <c r="AI100" s="846"/>
      <c r="AJ100" s="845"/>
      <c r="AK100" s="846"/>
      <c r="AL100" s="846"/>
      <c r="AM100" s="847"/>
      <c r="AN100" s="846"/>
      <c r="AO100" s="845"/>
      <c r="AP100" s="846"/>
      <c r="AQ100" s="846"/>
      <c r="AR100" s="846"/>
      <c r="AS100" s="846"/>
      <c r="AT100" s="845"/>
      <c r="AU100" s="845"/>
      <c r="AV100" s="845"/>
      <c r="AW100" s="845"/>
      <c r="AX100" s="795"/>
    </row>
    <row r="101" spans="1:50" s="29" customFormat="1" hidden="1" outlineLevel="1" x14ac:dyDescent="0.45">
      <c r="A101" s="637" t="s">
        <v>434</v>
      </c>
      <c r="B101" s="683"/>
      <c r="C101" s="840">
        <f>C230-C241</f>
        <v>75.852999999999994</v>
      </c>
      <c r="D101" s="840">
        <f t="shared" ref="D101:Z101" si="128">D230-D241</f>
        <v>97.070999999999998</v>
      </c>
      <c r="E101" s="840">
        <f t="shared" si="128"/>
        <v>121.72799999999999</v>
      </c>
      <c r="F101" s="840">
        <f t="shared" si="128"/>
        <v>136.45499999999998</v>
      </c>
      <c r="G101" s="841">
        <f t="shared" si="128"/>
        <v>33.305999999999997</v>
      </c>
      <c r="H101" s="841">
        <f t="shared" si="128"/>
        <v>35.051000000000002</v>
      </c>
      <c r="I101" s="841">
        <f t="shared" si="128"/>
        <v>34.120999999999995</v>
      </c>
      <c r="J101" s="841">
        <f t="shared" si="128"/>
        <v>34.991999999999997</v>
      </c>
      <c r="K101" s="840">
        <f t="shared" si="128"/>
        <v>137.47</v>
      </c>
      <c r="L101" s="841">
        <f t="shared" si="128"/>
        <v>33.890999999999998</v>
      </c>
      <c r="M101" s="841">
        <f t="shared" si="128"/>
        <v>35.349999999999994</v>
      </c>
      <c r="N101" s="841">
        <f t="shared" si="128"/>
        <v>35.68</v>
      </c>
      <c r="O101" s="841">
        <f t="shared" si="128"/>
        <v>35.432000000000002</v>
      </c>
      <c r="P101" s="840">
        <f t="shared" si="128"/>
        <v>140.35300000000001</v>
      </c>
      <c r="Q101" s="841">
        <f t="shared" si="128"/>
        <v>35.770000000000003</v>
      </c>
      <c r="R101" s="841">
        <f t="shared" si="128"/>
        <v>33.782000000000004</v>
      </c>
      <c r="S101" s="841">
        <f t="shared" si="128"/>
        <v>31.981999999999999</v>
      </c>
      <c r="T101" s="841">
        <f t="shared" si="128"/>
        <v>32.337000000000003</v>
      </c>
      <c r="U101" s="840">
        <f t="shared" si="128"/>
        <v>133.87099999999998</v>
      </c>
      <c r="V101" s="841">
        <f t="shared" si="128"/>
        <v>31.439</v>
      </c>
      <c r="W101" s="841">
        <f t="shared" si="128"/>
        <v>31.937999999999995</v>
      </c>
      <c r="X101" s="841">
        <f t="shared" si="128"/>
        <v>32.625</v>
      </c>
      <c r="Y101" s="841">
        <f t="shared" si="128"/>
        <v>34.484000000000002</v>
      </c>
      <c r="Z101" s="840">
        <f t="shared" si="128"/>
        <v>130.48599999999999</v>
      </c>
      <c r="AA101" s="841"/>
      <c r="AB101" s="841"/>
      <c r="AC101" s="841"/>
      <c r="AD101" s="841"/>
      <c r="AE101" s="840"/>
      <c r="AF101" s="841"/>
      <c r="AG101" s="841"/>
      <c r="AH101" s="841"/>
      <c r="AI101" s="841"/>
      <c r="AJ101" s="840"/>
      <c r="AK101" s="841"/>
      <c r="AL101" s="841"/>
      <c r="AM101" s="842"/>
      <c r="AN101" s="841"/>
      <c r="AO101" s="840"/>
      <c r="AP101" s="841"/>
      <c r="AQ101" s="841"/>
      <c r="AR101" s="841"/>
      <c r="AS101" s="841"/>
      <c r="AT101" s="840"/>
      <c r="AU101" s="840"/>
      <c r="AV101" s="840"/>
      <c r="AW101" s="840"/>
      <c r="AX101" s="793"/>
    </row>
    <row r="102" spans="1:50" s="29" customFormat="1" hidden="1" outlineLevel="1" x14ac:dyDescent="0.45">
      <c r="A102" s="637" t="s">
        <v>435</v>
      </c>
      <c r="B102" s="683"/>
      <c r="C102" s="840">
        <f>C231-C242</f>
        <v>8.9499999999999993</v>
      </c>
      <c r="D102" s="840">
        <f t="shared" ref="D102:Z102" si="129">D231-D242</f>
        <v>11.25</v>
      </c>
      <c r="E102" s="840">
        <f t="shared" si="129"/>
        <v>11.277000000000001</v>
      </c>
      <c r="F102" s="840">
        <f t="shared" si="129"/>
        <v>15.895000000000003</v>
      </c>
      <c r="G102" s="841">
        <f t="shared" si="129"/>
        <v>4.6140000000000008</v>
      </c>
      <c r="H102" s="841">
        <f t="shared" si="129"/>
        <v>4.4600000000000009</v>
      </c>
      <c r="I102" s="841">
        <f t="shared" si="129"/>
        <v>4.4420000000000002</v>
      </c>
      <c r="J102" s="841">
        <f t="shared" si="129"/>
        <v>3.2570000000000014</v>
      </c>
      <c r="K102" s="840">
        <f t="shared" si="129"/>
        <v>16.772999999999996</v>
      </c>
      <c r="L102" s="841">
        <f t="shared" si="129"/>
        <v>3.9870000000000019</v>
      </c>
      <c r="M102" s="841">
        <f t="shared" si="129"/>
        <v>4.2299999999999986</v>
      </c>
      <c r="N102" s="841">
        <f t="shared" si="129"/>
        <v>6.145999999999999</v>
      </c>
      <c r="O102" s="841">
        <f t="shared" si="129"/>
        <v>5.4679999999999982</v>
      </c>
      <c r="P102" s="840">
        <f t="shared" si="129"/>
        <v>19.830999999999996</v>
      </c>
      <c r="Q102" s="841">
        <f t="shared" si="129"/>
        <v>5.7309999999999981</v>
      </c>
      <c r="R102" s="841">
        <f t="shared" si="129"/>
        <v>6.1129999999999995</v>
      </c>
      <c r="S102" s="841">
        <f t="shared" si="129"/>
        <v>7.213000000000001</v>
      </c>
      <c r="T102" s="841">
        <f t="shared" si="129"/>
        <v>6.3580000000000005</v>
      </c>
      <c r="U102" s="840">
        <f t="shared" si="129"/>
        <v>25.414999999999999</v>
      </c>
      <c r="V102" s="841">
        <f t="shared" si="129"/>
        <v>6.822000000000001</v>
      </c>
      <c r="W102" s="841">
        <f t="shared" si="129"/>
        <v>6.577</v>
      </c>
      <c r="X102" s="841">
        <f t="shared" si="129"/>
        <v>6.5859999999999985</v>
      </c>
      <c r="Y102" s="841">
        <f t="shared" si="129"/>
        <v>6.197000000000001</v>
      </c>
      <c r="Z102" s="840">
        <f t="shared" si="129"/>
        <v>26.182000000000009</v>
      </c>
      <c r="AA102" s="841"/>
      <c r="AB102" s="841"/>
      <c r="AC102" s="841"/>
      <c r="AD102" s="841"/>
      <c r="AE102" s="840"/>
      <c r="AF102" s="841"/>
      <c r="AG102" s="841"/>
      <c r="AH102" s="841"/>
      <c r="AI102" s="841"/>
      <c r="AJ102" s="840"/>
      <c r="AK102" s="841"/>
      <c r="AL102" s="841"/>
      <c r="AM102" s="842"/>
      <c r="AN102" s="841"/>
      <c r="AO102" s="840"/>
      <c r="AP102" s="841"/>
      <c r="AQ102" s="841"/>
      <c r="AR102" s="841"/>
      <c r="AS102" s="841"/>
      <c r="AT102" s="840"/>
      <c r="AU102" s="840"/>
      <c r="AV102" s="840"/>
      <c r="AW102" s="840"/>
      <c r="AX102" s="793"/>
    </row>
    <row r="103" spans="1:50" s="29" customFormat="1" hidden="1" outlineLevel="1" x14ac:dyDescent="0.45">
      <c r="A103" s="637" t="s">
        <v>436</v>
      </c>
      <c r="B103" s="683"/>
      <c r="C103" s="840">
        <f>C232-C243</f>
        <v>9.7729999999999961</v>
      </c>
      <c r="D103" s="840">
        <f t="shared" ref="D103:Z103" si="130">D232-D243</f>
        <v>13.311</v>
      </c>
      <c r="E103" s="840">
        <f t="shared" si="130"/>
        <v>16.837000000000003</v>
      </c>
      <c r="F103" s="840">
        <f t="shared" si="130"/>
        <v>21.359000000000002</v>
      </c>
      <c r="G103" s="841">
        <f t="shared" si="130"/>
        <v>5.8960000000000008</v>
      </c>
      <c r="H103" s="841">
        <f t="shared" si="130"/>
        <v>5.8950000000000014</v>
      </c>
      <c r="I103" s="841">
        <f t="shared" si="130"/>
        <v>6.3610000000000007</v>
      </c>
      <c r="J103" s="841">
        <f t="shared" si="130"/>
        <v>6.5759999999999987</v>
      </c>
      <c r="K103" s="840">
        <f t="shared" si="130"/>
        <v>24.728000000000002</v>
      </c>
      <c r="L103" s="841">
        <f t="shared" si="130"/>
        <v>6.3199999999999985</v>
      </c>
      <c r="M103" s="841">
        <f t="shared" si="130"/>
        <v>6.8909999999999982</v>
      </c>
      <c r="N103" s="841">
        <f t="shared" si="130"/>
        <v>7.0949999999999989</v>
      </c>
      <c r="O103" s="841">
        <f t="shared" si="130"/>
        <v>7.8080000000000016</v>
      </c>
      <c r="P103" s="840">
        <f t="shared" si="130"/>
        <v>28.114000000000004</v>
      </c>
      <c r="Q103" s="841">
        <f t="shared" si="130"/>
        <v>7.8629999999999995</v>
      </c>
      <c r="R103" s="841">
        <f t="shared" si="130"/>
        <v>8.0419999999999998</v>
      </c>
      <c r="S103" s="841">
        <f t="shared" si="130"/>
        <v>8.2060000000000013</v>
      </c>
      <c r="T103" s="841">
        <f t="shared" si="130"/>
        <v>8.0789999999999988</v>
      </c>
      <c r="U103" s="840">
        <f t="shared" si="130"/>
        <v>32.190000000000005</v>
      </c>
      <c r="V103" s="841">
        <f t="shared" si="130"/>
        <v>9.3609999999999989</v>
      </c>
      <c r="W103" s="841">
        <f t="shared" si="130"/>
        <v>8.8059999999999992</v>
      </c>
      <c r="X103" s="841">
        <f t="shared" si="130"/>
        <v>9.1279999999999983</v>
      </c>
      <c r="Y103" s="841">
        <f t="shared" si="130"/>
        <v>10.554</v>
      </c>
      <c r="Z103" s="840">
        <f t="shared" si="130"/>
        <v>37.848999999999997</v>
      </c>
      <c r="AA103" s="841"/>
      <c r="AB103" s="841"/>
      <c r="AC103" s="841"/>
      <c r="AD103" s="841"/>
      <c r="AE103" s="840"/>
      <c r="AF103" s="841"/>
      <c r="AG103" s="841"/>
      <c r="AH103" s="841"/>
      <c r="AI103" s="841"/>
      <c r="AJ103" s="840"/>
      <c r="AK103" s="841"/>
      <c r="AL103" s="841"/>
      <c r="AM103" s="842"/>
      <c r="AN103" s="841"/>
      <c r="AO103" s="840"/>
      <c r="AP103" s="841"/>
      <c r="AQ103" s="841"/>
      <c r="AR103" s="841"/>
      <c r="AS103" s="841"/>
      <c r="AT103" s="840"/>
      <c r="AU103" s="840"/>
      <c r="AV103" s="840"/>
      <c r="AW103" s="840"/>
      <c r="AX103" s="793"/>
    </row>
    <row r="104" spans="1:50" s="29" customFormat="1" hidden="1" outlineLevel="1" x14ac:dyDescent="0.45">
      <c r="A104" s="214" t="s">
        <v>437</v>
      </c>
      <c r="B104" s="682"/>
      <c r="C104" s="848">
        <f>C233-C244</f>
        <v>6.3889999999999993</v>
      </c>
      <c r="D104" s="848">
        <f t="shared" ref="D104:Z104" si="131">D233-D244</f>
        <v>14.509</v>
      </c>
      <c r="E104" s="848">
        <f t="shared" si="131"/>
        <v>19.669000000000004</v>
      </c>
      <c r="F104" s="848">
        <f t="shared" si="131"/>
        <v>25.934000000000005</v>
      </c>
      <c r="G104" s="849">
        <f t="shared" si="131"/>
        <v>7.161999999999999</v>
      </c>
      <c r="H104" s="849">
        <f t="shared" si="131"/>
        <v>6.3729999999999993</v>
      </c>
      <c r="I104" s="849">
        <f t="shared" si="131"/>
        <v>8.5789999999999988</v>
      </c>
      <c r="J104" s="849">
        <f t="shared" si="131"/>
        <v>10.543999999999999</v>
      </c>
      <c r="K104" s="848">
        <f t="shared" si="131"/>
        <v>32.658000000000001</v>
      </c>
      <c r="L104" s="849">
        <f t="shared" si="131"/>
        <v>3.700000000000081E-2</v>
      </c>
      <c r="M104" s="849">
        <f t="shared" si="131"/>
        <v>1.1309999999999985</v>
      </c>
      <c r="N104" s="849">
        <f t="shared" si="131"/>
        <v>-0.66000000000000014</v>
      </c>
      <c r="O104" s="849">
        <f t="shared" si="131"/>
        <v>1.488999999999999</v>
      </c>
      <c r="P104" s="848">
        <f t="shared" si="131"/>
        <v>1.9969999999999999</v>
      </c>
      <c r="Q104" s="849">
        <f t="shared" si="131"/>
        <v>1.3870000000000005</v>
      </c>
      <c r="R104" s="849">
        <f t="shared" si="131"/>
        <v>1.2509999999999994</v>
      </c>
      <c r="S104" s="849">
        <f t="shared" si="131"/>
        <v>5.400000000000027E-2</v>
      </c>
      <c r="T104" s="849">
        <f t="shared" si="131"/>
        <v>0.89599999999999902</v>
      </c>
      <c r="U104" s="848">
        <f t="shared" si="131"/>
        <v>3.588000000000001</v>
      </c>
      <c r="V104" s="849">
        <f t="shared" si="131"/>
        <v>-0.68900000000000006</v>
      </c>
      <c r="W104" s="849">
        <f t="shared" si="131"/>
        <v>0.27800000000000047</v>
      </c>
      <c r="X104" s="849">
        <f t="shared" si="131"/>
        <v>0.66100000000000048</v>
      </c>
      <c r="Y104" s="849">
        <f t="shared" si="131"/>
        <v>0.52400000000000002</v>
      </c>
      <c r="Z104" s="848">
        <f t="shared" si="131"/>
        <v>0.77400000000000091</v>
      </c>
      <c r="AA104" s="849"/>
      <c r="AB104" s="849"/>
      <c r="AC104" s="849"/>
      <c r="AD104" s="849"/>
      <c r="AE104" s="848"/>
      <c r="AF104" s="849"/>
      <c r="AG104" s="849"/>
      <c r="AH104" s="849"/>
      <c r="AI104" s="849"/>
      <c r="AJ104" s="848"/>
      <c r="AK104" s="849"/>
      <c r="AL104" s="849"/>
      <c r="AM104" s="850"/>
      <c r="AN104" s="849"/>
      <c r="AO104" s="848"/>
      <c r="AP104" s="849"/>
      <c r="AQ104" s="849"/>
      <c r="AR104" s="849"/>
      <c r="AS104" s="849"/>
      <c r="AT104" s="848"/>
      <c r="AU104" s="848"/>
      <c r="AV104" s="848"/>
      <c r="AW104" s="848"/>
      <c r="AX104" s="793"/>
    </row>
    <row r="105" spans="1:50" s="7" customFormat="1" hidden="1" outlineLevel="1" x14ac:dyDescent="0.45">
      <c r="A105" s="54" t="s">
        <v>438</v>
      </c>
      <c r="B105" s="55"/>
      <c r="C105" s="851">
        <f>SUM(C101:C104)</f>
        <v>100.96499999999999</v>
      </c>
      <c r="D105" s="851">
        <f t="shared" ref="D105:Z105" si="132">SUM(D101:D104)</f>
        <v>136.14100000000002</v>
      </c>
      <c r="E105" s="851">
        <f t="shared" si="132"/>
        <v>169.511</v>
      </c>
      <c r="F105" s="851">
        <f t="shared" si="132"/>
        <v>199.643</v>
      </c>
      <c r="G105" s="852">
        <f t="shared" si="132"/>
        <v>50.978000000000002</v>
      </c>
      <c r="H105" s="852">
        <f t="shared" si="132"/>
        <v>51.779000000000003</v>
      </c>
      <c r="I105" s="852">
        <f t="shared" si="132"/>
        <v>53.502999999999993</v>
      </c>
      <c r="J105" s="852">
        <f t="shared" si="132"/>
        <v>55.368999999999993</v>
      </c>
      <c r="K105" s="851">
        <f t="shared" si="132"/>
        <v>211.62900000000002</v>
      </c>
      <c r="L105" s="852">
        <f t="shared" si="132"/>
        <v>44.234999999999999</v>
      </c>
      <c r="M105" s="852">
        <f t="shared" si="132"/>
        <v>47.60199999999999</v>
      </c>
      <c r="N105" s="852">
        <f t="shared" si="132"/>
        <v>48.260999999999996</v>
      </c>
      <c r="O105" s="852">
        <f t="shared" si="132"/>
        <v>50.196999999999996</v>
      </c>
      <c r="P105" s="851">
        <f t="shared" si="132"/>
        <v>190.29500000000002</v>
      </c>
      <c r="Q105" s="852">
        <f t="shared" si="132"/>
        <v>50.751000000000005</v>
      </c>
      <c r="R105" s="852">
        <f t="shared" si="132"/>
        <v>49.188000000000002</v>
      </c>
      <c r="S105" s="852">
        <f t="shared" si="132"/>
        <v>47.455000000000005</v>
      </c>
      <c r="T105" s="852">
        <f t="shared" si="132"/>
        <v>47.670000000000009</v>
      </c>
      <c r="U105" s="851">
        <f t="shared" si="132"/>
        <v>195.06399999999996</v>
      </c>
      <c r="V105" s="852">
        <f t="shared" si="132"/>
        <v>46.933</v>
      </c>
      <c r="W105" s="852">
        <f t="shared" si="132"/>
        <v>47.59899999999999</v>
      </c>
      <c r="X105" s="852">
        <f t="shared" si="132"/>
        <v>49</v>
      </c>
      <c r="Y105" s="852">
        <f t="shared" si="132"/>
        <v>51.759000000000007</v>
      </c>
      <c r="Z105" s="851">
        <f t="shared" si="132"/>
        <v>195.291</v>
      </c>
      <c r="AA105" s="852"/>
      <c r="AB105" s="852"/>
      <c r="AC105" s="852"/>
      <c r="AD105" s="852"/>
      <c r="AE105" s="851"/>
      <c r="AF105" s="852"/>
      <c r="AG105" s="852"/>
      <c r="AH105" s="852"/>
      <c r="AI105" s="852"/>
      <c r="AJ105" s="851"/>
      <c r="AK105" s="852"/>
      <c r="AL105" s="852"/>
      <c r="AM105" s="853"/>
      <c r="AN105" s="854"/>
      <c r="AO105" s="855"/>
      <c r="AP105" s="854"/>
      <c r="AQ105" s="854"/>
      <c r="AR105" s="854"/>
      <c r="AS105" s="854"/>
      <c r="AT105" s="855"/>
      <c r="AU105" s="855"/>
      <c r="AV105" s="855"/>
      <c r="AW105" s="855"/>
      <c r="AX105" s="795"/>
    </row>
    <row r="106" spans="1:50" s="29" customFormat="1" ht="6.75" hidden="1" customHeight="1" outlineLevel="1" x14ac:dyDescent="0.45">
      <c r="A106" s="56"/>
      <c r="B106" s="57"/>
      <c r="C106" s="840"/>
      <c r="D106" s="840"/>
      <c r="E106" s="840"/>
      <c r="F106" s="840"/>
      <c r="G106" s="841"/>
      <c r="H106" s="841"/>
      <c r="I106" s="841"/>
      <c r="J106" s="841"/>
      <c r="K106" s="840"/>
      <c r="L106" s="841"/>
      <c r="M106" s="841"/>
      <c r="N106" s="841"/>
      <c r="O106" s="841"/>
      <c r="P106" s="840"/>
      <c r="Q106" s="841"/>
      <c r="R106" s="841"/>
      <c r="S106" s="841"/>
      <c r="T106" s="841"/>
      <c r="U106" s="840"/>
      <c r="V106" s="841"/>
      <c r="W106" s="841"/>
      <c r="X106" s="841"/>
      <c r="Y106" s="841"/>
      <c r="Z106" s="840"/>
      <c r="AA106" s="841"/>
      <c r="AB106" s="841"/>
      <c r="AC106" s="841"/>
      <c r="AD106" s="841"/>
      <c r="AE106" s="840"/>
      <c r="AF106" s="841"/>
      <c r="AG106" s="841"/>
      <c r="AH106" s="841"/>
      <c r="AI106" s="841"/>
      <c r="AJ106" s="840"/>
      <c r="AK106" s="841"/>
      <c r="AL106" s="841"/>
      <c r="AM106" s="842"/>
      <c r="AN106" s="843"/>
      <c r="AO106" s="844"/>
      <c r="AP106" s="843"/>
      <c r="AQ106" s="843"/>
      <c r="AR106" s="843"/>
      <c r="AS106" s="843"/>
      <c r="AT106" s="844"/>
      <c r="AU106" s="844"/>
      <c r="AV106" s="844"/>
      <c r="AW106" s="844"/>
      <c r="AX106" s="793"/>
    </row>
    <row r="107" spans="1:50" s="51" customFormat="1" hidden="1" outlineLevel="1" x14ac:dyDescent="0.45">
      <c r="A107" s="705" t="s">
        <v>440</v>
      </c>
      <c r="B107" s="684"/>
      <c r="C107" s="411">
        <f t="shared" ref="C107" si="133">C98/C80</f>
        <v>0.86503046980314391</v>
      </c>
      <c r="D107" s="411">
        <f t="shared" ref="D107:Z107" si="134">D98/D80</f>
        <v>0.81430610060649311</v>
      </c>
      <c r="E107" s="411">
        <f t="shared" si="134"/>
        <v>0.84968996871093971</v>
      </c>
      <c r="F107" s="411">
        <f t="shared" si="134"/>
        <v>0.75443706814794742</v>
      </c>
      <c r="G107" s="685">
        <f t="shared" si="134"/>
        <v>0.69108439769596797</v>
      </c>
      <c r="H107" s="685">
        <f t="shared" si="134"/>
        <v>0.69290579617015802</v>
      </c>
      <c r="I107" s="685">
        <f t="shared" si="134"/>
        <v>-0.94119314156156997</v>
      </c>
      <c r="J107" s="685">
        <f t="shared" si="134"/>
        <v>0.53147635980508356</v>
      </c>
      <c r="K107" s="411">
        <f t="shared" si="134"/>
        <v>0.2730052273399744</v>
      </c>
      <c r="L107" s="685">
        <f t="shared" si="134"/>
        <v>0.6176306867061383</v>
      </c>
      <c r="M107" s="685">
        <f t="shared" si="134"/>
        <v>0.61301511700144962</v>
      </c>
      <c r="N107" s="685">
        <f t="shared" si="134"/>
        <v>0.65955758820235211</v>
      </c>
      <c r="O107" s="685">
        <f t="shared" si="134"/>
        <v>0.69367196367763906</v>
      </c>
      <c r="P107" s="411">
        <f t="shared" si="134"/>
        <v>0.6472338914132445</v>
      </c>
      <c r="Q107" s="685">
        <f t="shared" si="134"/>
        <v>0.56507505096052868</v>
      </c>
      <c r="R107" s="685">
        <f t="shared" si="134"/>
        <v>0.66587087926042576</v>
      </c>
      <c r="S107" s="685">
        <f t="shared" si="134"/>
        <v>0.59566563467492251</v>
      </c>
      <c r="T107" s="685">
        <f t="shared" si="134"/>
        <v>0.60225982591771643</v>
      </c>
      <c r="U107" s="411">
        <f t="shared" si="134"/>
        <v>0.60997121506458885</v>
      </c>
      <c r="V107" s="685">
        <f t="shared" si="134"/>
        <v>0.51856109270403672</v>
      </c>
      <c r="W107" s="685">
        <f t="shared" si="134"/>
        <v>0.62594575718775458</v>
      </c>
      <c r="X107" s="685">
        <f t="shared" si="134"/>
        <v>0.66578405413356878</v>
      </c>
      <c r="Y107" s="685">
        <f t="shared" si="134"/>
        <v>0.67269766600325676</v>
      </c>
      <c r="Z107" s="411">
        <f t="shared" si="134"/>
        <v>0.62387294613025768</v>
      </c>
      <c r="AA107" s="685"/>
      <c r="AB107" s="685"/>
      <c r="AC107" s="685"/>
      <c r="AD107" s="685"/>
      <c r="AE107" s="411"/>
      <c r="AF107" s="685"/>
      <c r="AG107" s="685"/>
      <c r="AH107" s="685"/>
      <c r="AI107" s="685"/>
      <c r="AJ107" s="411"/>
      <c r="AK107" s="685"/>
      <c r="AL107" s="685"/>
      <c r="AM107" s="686"/>
      <c r="AN107" s="58"/>
      <c r="AO107" s="27"/>
      <c r="AP107" s="58"/>
      <c r="AQ107" s="58"/>
      <c r="AR107" s="58"/>
      <c r="AS107" s="58"/>
      <c r="AT107" s="27"/>
      <c r="AU107" s="27"/>
      <c r="AV107" s="27"/>
      <c r="AW107" s="27"/>
      <c r="AX107" s="58"/>
    </row>
    <row r="108" spans="1:50" s="51" customFormat="1" hidden="1" outlineLevel="1" x14ac:dyDescent="0.45">
      <c r="A108" s="705" t="s">
        <v>441</v>
      </c>
      <c r="B108" s="684"/>
      <c r="C108" s="411">
        <f t="shared" ref="C108" si="135">C99/C81</f>
        <v>0.16645798553144123</v>
      </c>
      <c r="D108" s="411">
        <f t="shared" ref="D108:Z108" si="136">D99/D81</f>
        <v>0.16680543991118515</v>
      </c>
      <c r="E108" s="411">
        <f t="shared" si="136"/>
        <v>0.19298245614035089</v>
      </c>
      <c r="F108" s="411">
        <f t="shared" si="136"/>
        <v>0.11745886654478981</v>
      </c>
      <c r="G108" s="685">
        <f t="shared" si="136"/>
        <v>-8.5019011406844133E-2</v>
      </c>
      <c r="H108" s="685">
        <f t="shared" si="136"/>
        <v>0.10718401844026121</v>
      </c>
      <c r="I108" s="685">
        <f t="shared" si="136"/>
        <v>-0.47958779231074117</v>
      </c>
      <c r="J108" s="685">
        <f t="shared" si="136"/>
        <v>-0.24409328014728449</v>
      </c>
      <c r="K108" s="411">
        <f t="shared" si="136"/>
        <v>-0.14386465238168647</v>
      </c>
      <c r="L108" s="685">
        <f t="shared" si="136"/>
        <v>0.54184251158003094</v>
      </c>
      <c r="M108" s="685">
        <f t="shared" si="136"/>
        <v>0.444203571797254</v>
      </c>
      <c r="N108" s="685">
        <f t="shared" si="136"/>
        <v>0.56220498988536749</v>
      </c>
      <c r="O108" s="685">
        <f t="shared" si="136"/>
        <v>0.57654209815398472</v>
      </c>
      <c r="P108" s="411">
        <f t="shared" si="136"/>
        <v>0.53641908862576249</v>
      </c>
      <c r="Q108" s="685">
        <f t="shared" si="136"/>
        <v>0.51347378735913773</v>
      </c>
      <c r="R108" s="685">
        <f t="shared" si="136"/>
        <v>0.52054353943877141</v>
      </c>
      <c r="S108" s="685">
        <f t="shared" si="136"/>
        <v>0.52729602733874414</v>
      </c>
      <c r="T108" s="685">
        <f t="shared" si="136"/>
        <v>0.51785432553247446</v>
      </c>
      <c r="U108" s="411">
        <f t="shared" si="136"/>
        <v>0.51948450444921757</v>
      </c>
      <c r="V108" s="685">
        <f t="shared" si="136"/>
        <v>0.54279245283018873</v>
      </c>
      <c r="W108" s="685">
        <f t="shared" si="136"/>
        <v>0.59632387156817113</v>
      </c>
      <c r="X108" s="685">
        <f t="shared" si="136"/>
        <v>0.58551406014370611</v>
      </c>
      <c r="Y108" s="685">
        <f t="shared" si="136"/>
        <v>0.58351700592073985</v>
      </c>
      <c r="Z108" s="411">
        <f t="shared" si="136"/>
        <v>0.57789775990809877</v>
      </c>
      <c r="AA108" s="685"/>
      <c r="AB108" s="685"/>
      <c r="AC108" s="685"/>
      <c r="AD108" s="685"/>
      <c r="AE108" s="411"/>
      <c r="AF108" s="685"/>
      <c r="AG108" s="685"/>
      <c r="AH108" s="685"/>
      <c r="AI108" s="685"/>
      <c r="AJ108" s="411"/>
      <c r="AK108" s="685"/>
      <c r="AL108" s="685"/>
      <c r="AM108" s="686"/>
      <c r="AN108" s="58"/>
      <c r="AO108" s="27"/>
      <c r="AP108" s="58"/>
      <c r="AQ108" s="58"/>
      <c r="AR108" s="58"/>
      <c r="AS108" s="58"/>
      <c r="AT108" s="27"/>
      <c r="AU108" s="27"/>
      <c r="AV108" s="27"/>
      <c r="AW108" s="27"/>
      <c r="AX108" s="58"/>
    </row>
    <row r="109" spans="1:50" s="33" customFormat="1" hidden="1" outlineLevel="1" x14ac:dyDescent="0.45">
      <c r="A109" s="706" t="s">
        <v>442</v>
      </c>
      <c r="B109" s="689"/>
      <c r="C109" s="690">
        <f t="shared" ref="C109" si="137">C100/C82</f>
        <v>0.76859329537052157</v>
      </c>
      <c r="D109" s="690">
        <f t="shared" ref="D109:Z109" si="138">D100/D82</f>
        <v>0.72063535401392442</v>
      </c>
      <c r="E109" s="690">
        <f t="shared" si="138"/>
        <v>0.73321550020833615</v>
      </c>
      <c r="F109" s="690">
        <f t="shared" si="138"/>
        <v>0.57399255542968108</v>
      </c>
      <c r="G109" s="691">
        <f t="shared" si="138"/>
        <v>0.46476249611921761</v>
      </c>
      <c r="H109" s="691">
        <f t="shared" si="138"/>
        <v>0.49719738137007402</v>
      </c>
      <c r="I109" s="691">
        <f t="shared" si="138"/>
        <v>-0.8196242171189978</v>
      </c>
      <c r="J109" s="691">
        <f t="shared" si="138"/>
        <v>0.29856247696277183</v>
      </c>
      <c r="K109" s="690">
        <f t="shared" si="138"/>
        <v>0.14836025903989308</v>
      </c>
      <c r="L109" s="691">
        <f t="shared" si="138"/>
        <v>0.59265164879902288</v>
      </c>
      <c r="M109" s="691">
        <f t="shared" si="138"/>
        <v>0.55663207254421954</v>
      </c>
      <c r="N109" s="691">
        <f t="shared" si="138"/>
        <v>0.62486483239216628</v>
      </c>
      <c r="O109" s="691">
        <f t="shared" si="138"/>
        <v>0.64838990426457788</v>
      </c>
      <c r="P109" s="690">
        <f t="shared" si="138"/>
        <v>0.60809087380486537</v>
      </c>
      <c r="Q109" s="691">
        <f t="shared" si="138"/>
        <v>0.54285211886759266</v>
      </c>
      <c r="R109" s="691">
        <f t="shared" si="138"/>
        <v>0.60960652471672272</v>
      </c>
      <c r="S109" s="691">
        <f t="shared" si="138"/>
        <v>0.56693591814754984</v>
      </c>
      <c r="T109" s="691">
        <f t="shared" si="138"/>
        <v>0.5594743015568352</v>
      </c>
      <c r="U109" s="690">
        <f t="shared" si="138"/>
        <v>0.57016025284691019</v>
      </c>
      <c r="V109" s="691">
        <f t="shared" si="138"/>
        <v>0.53245441957073625</v>
      </c>
      <c r="W109" s="691">
        <f t="shared" si="138"/>
        <v>0.60948489863467104</v>
      </c>
      <c r="X109" s="691">
        <f t="shared" si="138"/>
        <v>0.62001466831896013</v>
      </c>
      <c r="Y109" s="691">
        <f t="shared" si="138"/>
        <v>0.62074521651560921</v>
      </c>
      <c r="Z109" s="690">
        <f t="shared" si="138"/>
        <v>0.59764608740669878</v>
      </c>
      <c r="AA109" s="691"/>
      <c r="AB109" s="691"/>
      <c r="AC109" s="691"/>
      <c r="AD109" s="691"/>
      <c r="AE109" s="690"/>
      <c r="AF109" s="691"/>
      <c r="AG109" s="691"/>
      <c r="AH109" s="691"/>
      <c r="AI109" s="691"/>
      <c r="AJ109" s="690"/>
      <c r="AK109" s="691"/>
      <c r="AL109" s="691"/>
      <c r="AM109" s="692"/>
      <c r="AN109" s="691"/>
      <c r="AO109" s="690"/>
      <c r="AP109" s="691"/>
      <c r="AQ109" s="691"/>
      <c r="AR109" s="691"/>
      <c r="AS109" s="691"/>
      <c r="AT109" s="690"/>
      <c r="AU109" s="690"/>
      <c r="AV109" s="690"/>
      <c r="AW109" s="690"/>
      <c r="AX109" s="126"/>
    </row>
    <row r="110" spans="1:50" s="51" customFormat="1" hidden="1" outlineLevel="1" x14ac:dyDescent="0.45">
      <c r="A110" s="707" t="s">
        <v>443</v>
      </c>
      <c r="B110" s="687"/>
      <c r="C110" s="411">
        <f t="shared" ref="C110" si="139">C101/C83</f>
        <v>0.85044622836128803</v>
      </c>
      <c r="D110" s="411">
        <f t="shared" ref="D110:Z110" si="140">D101/D83</f>
        <v>0.88231123714994675</v>
      </c>
      <c r="E110" s="411">
        <f t="shared" si="140"/>
        <v>0.87680073758211363</v>
      </c>
      <c r="F110" s="411">
        <f t="shared" si="140"/>
        <v>0.87040970587672462</v>
      </c>
      <c r="G110" s="685">
        <f t="shared" si="140"/>
        <v>0.86267094902610852</v>
      </c>
      <c r="H110" s="685">
        <f t="shared" si="140"/>
        <v>0.86947138640140897</v>
      </c>
      <c r="I110" s="685">
        <f t="shared" si="140"/>
        <v>0.85810929758821008</v>
      </c>
      <c r="J110" s="685">
        <f t="shared" si="140"/>
        <v>0.845707656612529</v>
      </c>
      <c r="K110" s="411">
        <f t="shared" si="140"/>
        <v>0.85886542546545042</v>
      </c>
      <c r="L110" s="685">
        <f t="shared" si="140"/>
        <v>0.83055998039455947</v>
      </c>
      <c r="M110" s="685">
        <f t="shared" si="140"/>
        <v>0.83896997745342339</v>
      </c>
      <c r="N110" s="685">
        <f t="shared" si="140"/>
        <v>0.82889998838424905</v>
      </c>
      <c r="O110" s="685">
        <f t="shared" si="140"/>
        <v>0.81954017671277235</v>
      </c>
      <c r="P110" s="411">
        <f t="shared" si="140"/>
        <v>0.82941631849851383</v>
      </c>
      <c r="Q110" s="685">
        <f t="shared" si="140"/>
        <v>0.81829204126918775</v>
      </c>
      <c r="R110" s="685">
        <f t="shared" si="140"/>
        <v>0.80097685887708658</v>
      </c>
      <c r="S110" s="685">
        <f t="shared" si="140"/>
        <v>0.8092816113768061</v>
      </c>
      <c r="T110" s="685">
        <f t="shared" si="140"/>
        <v>0.81265078407720148</v>
      </c>
      <c r="U110" s="411">
        <f t="shared" si="140"/>
        <v>0.81035714285714278</v>
      </c>
      <c r="V110" s="685">
        <f t="shared" si="140"/>
        <v>0.82718972820796177</v>
      </c>
      <c r="W110" s="685">
        <f t="shared" si="140"/>
        <v>0.81946938984964335</v>
      </c>
      <c r="X110" s="685">
        <f t="shared" si="140"/>
        <v>0.81717763751127137</v>
      </c>
      <c r="Y110" s="685">
        <f t="shared" si="140"/>
        <v>0.82304644613108024</v>
      </c>
      <c r="Z110" s="411">
        <f t="shared" si="140"/>
        <v>0.82168472887791788</v>
      </c>
      <c r="AA110" s="685"/>
      <c r="AB110" s="685"/>
      <c r="AC110" s="685"/>
      <c r="AD110" s="685"/>
      <c r="AE110" s="411"/>
      <c r="AF110" s="685"/>
      <c r="AG110" s="685"/>
      <c r="AH110" s="685"/>
      <c r="AI110" s="685"/>
      <c r="AJ110" s="411"/>
      <c r="AK110" s="685"/>
      <c r="AL110" s="685"/>
      <c r="AM110" s="686"/>
      <c r="AN110" s="685"/>
      <c r="AO110" s="411"/>
      <c r="AP110" s="685"/>
      <c r="AQ110" s="685"/>
      <c r="AR110" s="685"/>
      <c r="AS110" s="685"/>
      <c r="AT110" s="411"/>
      <c r="AU110" s="411"/>
      <c r="AV110" s="411"/>
      <c r="AW110" s="411"/>
      <c r="AX110" s="58"/>
    </row>
    <row r="111" spans="1:50" s="51" customFormat="1" hidden="1" outlineLevel="1" x14ac:dyDescent="0.45">
      <c r="A111" s="707" t="s">
        <v>444</v>
      </c>
      <c r="B111" s="687"/>
      <c r="C111" s="411">
        <f t="shared" ref="C111" si="141">C102/C84</f>
        <v>0.24410200463657439</v>
      </c>
      <c r="D111" s="411">
        <f t="shared" ref="D111:Z111" si="142">D102/D84</f>
        <v>0.24963940974148455</v>
      </c>
      <c r="E111" s="411">
        <f t="shared" si="142"/>
        <v>0.24745457737207058</v>
      </c>
      <c r="F111" s="411">
        <f t="shared" si="142"/>
        <v>0.26841047636738213</v>
      </c>
      <c r="G111" s="685">
        <f t="shared" si="142"/>
        <v>0.28810490165469876</v>
      </c>
      <c r="H111" s="685">
        <f t="shared" si="142"/>
        <v>0.28835585439968969</v>
      </c>
      <c r="I111" s="685">
        <f t="shared" si="142"/>
        <v>0.27457040425268886</v>
      </c>
      <c r="J111" s="685">
        <f t="shared" si="142"/>
        <v>0.21265343431705414</v>
      </c>
      <c r="K111" s="411">
        <f t="shared" si="142"/>
        <v>0.26633955792682923</v>
      </c>
      <c r="L111" s="685">
        <f t="shared" si="142"/>
        <v>0.23884262864673825</v>
      </c>
      <c r="M111" s="685">
        <f t="shared" si="142"/>
        <v>0.24265718219366675</v>
      </c>
      <c r="N111" s="685">
        <f t="shared" si="142"/>
        <v>0.30139270302079241</v>
      </c>
      <c r="O111" s="685">
        <f t="shared" si="142"/>
        <v>0.27728194726166322</v>
      </c>
      <c r="P111" s="411">
        <f t="shared" si="142"/>
        <v>0.26713094548540484</v>
      </c>
      <c r="Q111" s="685">
        <f t="shared" si="142"/>
        <v>0.28311021093711397</v>
      </c>
      <c r="R111" s="685">
        <f t="shared" si="142"/>
        <v>0.29399317077862741</v>
      </c>
      <c r="S111" s="685">
        <f t="shared" si="142"/>
        <v>0.33402797073261092</v>
      </c>
      <c r="T111" s="685">
        <f t="shared" si="142"/>
        <v>0.31203376521397724</v>
      </c>
      <c r="U111" s="411">
        <f t="shared" si="142"/>
        <v>0.30618268558899353</v>
      </c>
      <c r="V111" s="685">
        <f t="shared" si="142"/>
        <v>0.32403932931173707</v>
      </c>
      <c r="W111" s="685">
        <f t="shared" si="142"/>
        <v>0.31414787925105081</v>
      </c>
      <c r="X111" s="685">
        <f t="shared" si="142"/>
        <v>0.328511572226656</v>
      </c>
      <c r="Y111" s="685">
        <f t="shared" si="142"/>
        <v>0.30207165488666832</v>
      </c>
      <c r="Z111" s="411">
        <f t="shared" si="142"/>
        <v>0.31715767031689124</v>
      </c>
      <c r="AA111" s="685"/>
      <c r="AB111" s="685"/>
      <c r="AC111" s="685"/>
      <c r="AD111" s="685"/>
      <c r="AE111" s="411"/>
      <c r="AF111" s="685"/>
      <c r="AG111" s="685"/>
      <c r="AH111" s="685"/>
      <c r="AI111" s="685"/>
      <c r="AJ111" s="411"/>
      <c r="AK111" s="685"/>
      <c r="AL111" s="685"/>
      <c r="AM111" s="686"/>
      <c r="AN111" s="685"/>
      <c r="AO111" s="411"/>
      <c r="AP111" s="685"/>
      <c r="AQ111" s="685"/>
      <c r="AR111" s="685"/>
      <c r="AS111" s="685"/>
      <c r="AT111" s="411"/>
      <c r="AU111" s="411"/>
      <c r="AV111" s="411"/>
      <c r="AW111" s="411"/>
      <c r="AX111" s="58"/>
    </row>
    <row r="112" spans="1:50" s="51" customFormat="1" hidden="1" outlineLevel="1" x14ac:dyDescent="0.45">
      <c r="A112" s="707" t="s">
        <v>445</v>
      </c>
      <c r="B112" s="687"/>
      <c r="C112" s="411">
        <f t="shared" ref="C112" si="143">C103/C85</f>
        <v>0.27894962180676458</v>
      </c>
      <c r="D112" s="411">
        <f t="shared" ref="D112:Z112" si="144">D103/D85</f>
        <v>0.3244844229925406</v>
      </c>
      <c r="E112" s="411">
        <f t="shared" si="144"/>
        <v>0.34180555837511933</v>
      </c>
      <c r="F112" s="411">
        <f t="shared" si="144"/>
        <v>0.35771826692793385</v>
      </c>
      <c r="G112" s="685">
        <f t="shared" si="144"/>
        <v>0.35322310088665232</v>
      </c>
      <c r="H112" s="685">
        <f t="shared" si="144"/>
        <v>0.35630099728014508</v>
      </c>
      <c r="I112" s="685">
        <f t="shared" si="144"/>
        <v>0.38234056620785001</v>
      </c>
      <c r="J112" s="685">
        <f t="shared" si="144"/>
        <v>0.37747546065093845</v>
      </c>
      <c r="K112" s="411">
        <f t="shared" si="144"/>
        <v>0.3674567204101345</v>
      </c>
      <c r="L112" s="685">
        <f t="shared" si="144"/>
        <v>0.34499699765271025</v>
      </c>
      <c r="M112" s="685">
        <f t="shared" si="144"/>
        <v>0.36448746429704848</v>
      </c>
      <c r="N112" s="685">
        <f t="shared" si="144"/>
        <v>0.37242139520235157</v>
      </c>
      <c r="O112" s="685">
        <f t="shared" si="144"/>
        <v>0.38880589582710889</v>
      </c>
      <c r="P112" s="411">
        <f t="shared" si="144"/>
        <v>0.36818669949448651</v>
      </c>
      <c r="Q112" s="685">
        <f t="shared" si="144"/>
        <v>0.38946951310119371</v>
      </c>
      <c r="R112" s="685">
        <f t="shared" si="144"/>
        <v>0.39074874884602301</v>
      </c>
      <c r="S112" s="685">
        <f t="shared" si="144"/>
        <v>0.39751974034781773</v>
      </c>
      <c r="T112" s="685">
        <f t="shared" si="144"/>
        <v>0.38600095556617292</v>
      </c>
      <c r="U112" s="411">
        <f t="shared" si="144"/>
        <v>0.39092576175266874</v>
      </c>
      <c r="V112" s="685">
        <f t="shared" si="144"/>
        <v>0.42311516904718854</v>
      </c>
      <c r="W112" s="685">
        <f t="shared" si="144"/>
        <v>0.40743996668671628</v>
      </c>
      <c r="X112" s="685">
        <f t="shared" si="144"/>
        <v>0.41890775585130791</v>
      </c>
      <c r="Y112" s="685">
        <f t="shared" si="144"/>
        <v>0.45056352459016397</v>
      </c>
      <c r="Z112" s="411">
        <f t="shared" si="144"/>
        <v>0.42550392912952073</v>
      </c>
      <c r="AA112" s="685"/>
      <c r="AB112" s="685"/>
      <c r="AC112" s="685"/>
      <c r="AD112" s="685"/>
      <c r="AE112" s="411"/>
      <c r="AF112" s="685"/>
      <c r="AG112" s="685"/>
      <c r="AH112" s="685"/>
      <c r="AI112" s="685"/>
      <c r="AJ112" s="411"/>
      <c r="AK112" s="685"/>
      <c r="AL112" s="685"/>
      <c r="AM112" s="686"/>
      <c r="AN112" s="685"/>
      <c r="AO112" s="411"/>
      <c r="AP112" s="685"/>
      <c r="AQ112" s="685"/>
      <c r="AR112" s="685"/>
      <c r="AS112" s="685"/>
      <c r="AT112" s="411"/>
      <c r="AU112" s="411"/>
      <c r="AV112" s="411"/>
      <c r="AW112" s="411"/>
      <c r="AX112" s="58"/>
    </row>
    <row r="113" spans="1:50" s="51" customFormat="1" hidden="1" outlineLevel="1" x14ac:dyDescent="0.45">
      <c r="A113" s="708" t="s">
        <v>446</v>
      </c>
      <c r="B113" s="693"/>
      <c r="C113" s="694">
        <f t="shared" ref="C113" si="145">C104/C86</f>
        <v>0.23855574639683366</v>
      </c>
      <c r="D113" s="694">
        <f t="shared" ref="D113:Z113" si="146">D104/D86</f>
        <v>0.44332070398435591</v>
      </c>
      <c r="E113" s="694">
        <f t="shared" si="146"/>
        <v>0.41518554481361092</v>
      </c>
      <c r="F113" s="694">
        <f t="shared" si="146"/>
        <v>0.42549630844954889</v>
      </c>
      <c r="G113" s="695">
        <f t="shared" si="146"/>
        <v>0.45713920980404665</v>
      </c>
      <c r="H113" s="695">
        <f t="shared" si="146"/>
        <v>0.4142346441338966</v>
      </c>
      <c r="I113" s="695">
        <f t="shared" si="146"/>
        <v>0.50122692217807896</v>
      </c>
      <c r="J113" s="695">
        <f t="shared" si="146"/>
        <v>0.54389765810378621</v>
      </c>
      <c r="K113" s="694">
        <f t="shared" si="146"/>
        <v>0.48343547384314772</v>
      </c>
      <c r="L113" s="695">
        <f t="shared" si="146"/>
        <v>2.9362748988176184E-3</v>
      </c>
      <c r="M113" s="695">
        <f t="shared" si="146"/>
        <v>8.671317948324761E-2</v>
      </c>
      <c r="N113" s="695">
        <f t="shared" si="146"/>
        <v>-8.6342229199372067E-2</v>
      </c>
      <c r="O113" s="695">
        <f t="shared" si="146"/>
        <v>0.13683146480426384</v>
      </c>
      <c r="P113" s="694">
        <f t="shared" si="146"/>
        <v>4.5211682137197187E-2</v>
      </c>
      <c r="Q113" s="695">
        <f t="shared" si="146"/>
        <v>0.14472036727879806</v>
      </c>
      <c r="R113" s="695">
        <f t="shared" si="146"/>
        <v>0.12903558535327483</v>
      </c>
      <c r="S113" s="695">
        <f t="shared" si="146"/>
        <v>7.2766473521089165E-3</v>
      </c>
      <c r="T113" s="695">
        <f t="shared" si="146"/>
        <v>9.6323371317996023E-2</v>
      </c>
      <c r="U113" s="694">
        <f t="shared" si="146"/>
        <v>9.9661129937225729E-2</v>
      </c>
      <c r="V113" s="695">
        <f t="shared" si="146"/>
        <v>-0.10838445807770962</v>
      </c>
      <c r="W113" s="695">
        <f t="shared" si="146"/>
        <v>3.9879500788982995E-2</v>
      </c>
      <c r="X113" s="695">
        <f t="shared" si="146"/>
        <v>0.10068545316070075</v>
      </c>
      <c r="Y113" s="695">
        <f t="shared" si="146"/>
        <v>7.6742823667252491E-2</v>
      </c>
      <c r="Z113" s="694">
        <f t="shared" si="146"/>
        <v>2.8965981812057964E-2</v>
      </c>
      <c r="AA113" s="695"/>
      <c r="AB113" s="695"/>
      <c r="AC113" s="695"/>
      <c r="AD113" s="695"/>
      <c r="AE113" s="694"/>
      <c r="AF113" s="695"/>
      <c r="AG113" s="695"/>
      <c r="AH113" s="695"/>
      <c r="AI113" s="695"/>
      <c r="AJ113" s="694"/>
      <c r="AK113" s="695"/>
      <c r="AL113" s="695"/>
      <c r="AM113" s="696"/>
      <c r="AN113" s="695"/>
      <c r="AO113" s="694"/>
      <c r="AP113" s="695"/>
      <c r="AQ113" s="695"/>
      <c r="AR113" s="695"/>
      <c r="AS113" s="695"/>
      <c r="AT113" s="694"/>
      <c r="AU113" s="694"/>
      <c r="AV113" s="694"/>
      <c r="AW113" s="694"/>
      <c r="AX113" s="58"/>
    </row>
    <row r="114" spans="1:50" s="33" customFormat="1" hidden="1" outlineLevel="1" x14ac:dyDescent="0.45">
      <c r="A114" s="187" t="s">
        <v>447</v>
      </c>
      <c r="B114" s="688"/>
      <c r="C114" s="414">
        <f t="shared" ref="C114" si="147">C105/C87</f>
        <v>0.53798075386041744</v>
      </c>
      <c r="D114" s="414">
        <f t="shared" ref="D114:Z114" si="148">D105/D87</f>
        <v>0.59493344520482105</v>
      </c>
      <c r="E114" s="414">
        <f t="shared" si="148"/>
        <v>0.60316257289965369</v>
      </c>
      <c r="F114" s="414">
        <f t="shared" si="148"/>
        <v>0.59303012930381505</v>
      </c>
      <c r="G114" s="413">
        <f t="shared" si="148"/>
        <v>0.5860752799429767</v>
      </c>
      <c r="H114" s="413">
        <f t="shared" si="148"/>
        <v>0.59034317637669587</v>
      </c>
      <c r="I114" s="413">
        <f t="shared" si="148"/>
        <v>0.59650589783040109</v>
      </c>
      <c r="J114" s="413">
        <f t="shared" si="148"/>
        <v>0.59218815174493844</v>
      </c>
      <c r="K114" s="414">
        <f t="shared" si="148"/>
        <v>0.59133241124942382</v>
      </c>
      <c r="L114" s="413">
        <f t="shared" si="148"/>
        <v>0.50029405777104208</v>
      </c>
      <c r="M114" s="413">
        <f t="shared" si="148"/>
        <v>0.52014948205778222</v>
      </c>
      <c r="N114" s="413">
        <f t="shared" si="148"/>
        <v>0.53544800958594052</v>
      </c>
      <c r="O114" s="413">
        <f t="shared" si="148"/>
        <v>0.53447688409037664</v>
      </c>
      <c r="P114" s="414">
        <f t="shared" si="148"/>
        <v>0.52281144226119836</v>
      </c>
      <c r="Q114" s="413">
        <f t="shared" si="148"/>
        <v>0.5414652882245623</v>
      </c>
      <c r="R114" s="413">
        <f t="shared" si="148"/>
        <v>0.5275135395999786</v>
      </c>
      <c r="S114" s="413">
        <f t="shared" si="148"/>
        <v>0.53214393845946828</v>
      </c>
      <c r="T114" s="413">
        <f t="shared" si="148"/>
        <v>0.52732300884955763</v>
      </c>
      <c r="U114" s="414">
        <f t="shared" si="148"/>
        <v>0.53216059975283103</v>
      </c>
      <c r="V114" s="413">
        <f t="shared" si="148"/>
        <v>0.53612592956443272</v>
      </c>
      <c r="W114" s="413">
        <f t="shared" si="148"/>
        <v>0.53787827423328127</v>
      </c>
      <c r="X114" s="413">
        <f t="shared" si="148"/>
        <v>0.55475675614478015</v>
      </c>
      <c r="Y114" s="413">
        <f t="shared" si="148"/>
        <v>0.55856040576269361</v>
      </c>
      <c r="Z114" s="414">
        <f t="shared" si="148"/>
        <v>0.54699224428404569</v>
      </c>
      <c r="AA114" s="413"/>
      <c r="AB114" s="413"/>
      <c r="AC114" s="413"/>
      <c r="AD114" s="413"/>
      <c r="AE114" s="414"/>
      <c r="AF114" s="413"/>
      <c r="AG114" s="413"/>
      <c r="AH114" s="413"/>
      <c r="AI114" s="413"/>
      <c r="AJ114" s="414"/>
      <c r="AK114" s="413"/>
      <c r="AL114" s="413"/>
      <c r="AM114" s="603"/>
      <c r="AN114" s="126"/>
      <c r="AO114" s="129"/>
      <c r="AP114" s="126"/>
      <c r="AQ114" s="126"/>
      <c r="AR114" s="126"/>
      <c r="AS114" s="126"/>
      <c r="AT114" s="129"/>
      <c r="AU114" s="129"/>
      <c r="AV114" s="129"/>
      <c r="AW114" s="129"/>
      <c r="AX114" s="126"/>
    </row>
    <row r="115" spans="1:50" s="29" customFormat="1" collapsed="1" x14ac:dyDescent="0.45">
      <c r="A115" s="56"/>
      <c r="B115" s="57"/>
      <c r="C115" s="840"/>
      <c r="D115" s="840"/>
      <c r="E115" s="840"/>
      <c r="F115" s="840"/>
      <c r="G115" s="841"/>
      <c r="H115" s="841"/>
      <c r="I115" s="841"/>
      <c r="J115" s="841"/>
      <c r="K115" s="840"/>
      <c r="L115" s="841"/>
      <c r="M115" s="841"/>
      <c r="N115" s="841"/>
      <c r="O115" s="841"/>
      <c r="P115" s="840"/>
      <c r="Q115" s="841"/>
      <c r="R115" s="841"/>
      <c r="S115" s="841"/>
      <c r="T115" s="841"/>
      <c r="U115" s="840"/>
      <c r="V115" s="841"/>
      <c r="W115" s="841"/>
      <c r="X115" s="841"/>
      <c r="Y115" s="841"/>
      <c r="Z115" s="840"/>
      <c r="AA115" s="841"/>
      <c r="AB115" s="841"/>
      <c r="AC115" s="841"/>
      <c r="AD115" s="841"/>
      <c r="AE115" s="840"/>
      <c r="AF115" s="841"/>
      <c r="AG115" s="841"/>
      <c r="AH115" s="841"/>
      <c r="AI115" s="841"/>
      <c r="AJ115" s="840"/>
      <c r="AK115" s="841"/>
      <c r="AL115" s="841"/>
      <c r="AM115" s="842"/>
      <c r="AN115" s="843"/>
      <c r="AO115" s="844"/>
      <c r="AP115" s="843"/>
      <c r="AQ115" s="843"/>
      <c r="AR115" s="843"/>
      <c r="AS115" s="843"/>
      <c r="AT115" s="844"/>
      <c r="AU115" s="844"/>
      <c r="AV115" s="844"/>
      <c r="AW115" s="844"/>
      <c r="AX115" s="793"/>
    </row>
    <row r="116" spans="1:50" s="33" customFormat="1" x14ac:dyDescent="0.45">
      <c r="A116" s="75" t="s">
        <v>510</v>
      </c>
      <c r="B116" s="75"/>
      <c r="C116" s="369"/>
      <c r="D116" s="369"/>
      <c r="E116" s="369"/>
      <c r="F116" s="369"/>
      <c r="G116" s="369"/>
      <c r="H116" s="369"/>
      <c r="I116" s="369"/>
      <c r="J116" s="369"/>
      <c r="K116" s="369"/>
      <c r="L116" s="369"/>
      <c r="M116" s="369"/>
      <c r="N116" s="369"/>
      <c r="O116" s="369"/>
      <c r="P116" s="369"/>
      <c r="Q116" s="369"/>
      <c r="R116" s="369"/>
      <c r="S116" s="369"/>
      <c r="T116" s="369"/>
      <c r="U116" s="369"/>
      <c r="V116" s="369"/>
      <c r="W116" s="369"/>
      <c r="X116" s="369"/>
      <c r="Y116" s="369"/>
      <c r="Z116" s="369"/>
      <c r="AA116" s="369"/>
      <c r="AB116" s="369"/>
      <c r="AC116" s="369"/>
      <c r="AD116" s="369"/>
      <c r="AE116" s="369"/>
      <c r="AF116" s="369"/>
      <c r="AG116" s="369"/>
      <c r="AH116" s="369"/>
      <c r="AI116" s="369"/>
      <c r="AJ116" s="369"/>
      <c r="AK116" s="369"/>
      <c r="AL116" s="369"/>
      <c r="AM116" s="679"/>
      <c r="AN116" s="75"/>
      <c r="AO116" s="75"/>
      <c r="AP116" s="75"/>
      <c r="AQ116" s="75"/>
      <c r="AR116" s="75"/>
      <c r="AS116" s="75"/>
      <c r="AT116" s="75"/>
      <c r="AU116" s="75"/>
      <c r="AV116" s="75"/>
      <c r="AW116" s="75"/>
      <c r="AX116" s="126"/>
    </row>
    <row r="117" spans="1:50" s="29" customFormat="1" hidden="1" outlineLevel="1" x14ac:dyDescent="0.45">
      <c r="A117" s="68" t="s">
        <v>471</v>
      </c>
      <c r="B117" s="57"/>
      <c r="C117" s="840">
        <v>78.703000000000003</v>
      </c>
      <c r="D117" s="840">
        <v>84.811999999999998</v>
      </c>
      <c r="E117" s="840">
        <v>100.517</v>
      </c>
      <c r="F117" s="840">
        <v>71.861999999999995</v>
      </c>
      <c r="G117" s="841">
        <v>13.496</v>
      </c>
      <c r="H117" s="841">
        <v>14.249000000000001</v>
      </c>
      <c r="I117" s="841">
        <v>13.53</v>
      </c>
      <c r="J117" s="841">
        <f t="shared" ref="J117:J120" si="149">+K117-SUM(G117,H117,I117)</f>
        <v>14.579000000000001</v>
      </c>
      <c r="K117" s="840">
        <v>55.853999999999999</v>
      </c>
      <c r="L117" s="841">
        <v>12.702</v>
      </c>
      <c r="M117" s="841">
        <v>12.856</v>
      </c>
      <c r="N117" s="841">
        <v>13.109</v>
      </c>
      <c r="O117" s="841">
        <f>+P117-SUM(L117,M117,N117)</f>
        <v>13.969999999999999</v>
      </c>
      <c r="P117" s="840">
        <v>52.637</v>
      </c>
      <c r="Q117" s="841"/>
      <c r="R117" s="841"/>
      <c r="S117" s="841"/>
      <c r="T117" s="841"/>
      <c r="U117" s="840"/>
      <c r="V117" s="841"/>
      <c r="W117" s="841"/>
      <c r="X117" s="841"/>
      <c r="Y117" s="841"/>
      <c r="Z117" s="840"/>
      <c r="AA117" s="841"/>
      <c r="AB117" s="841"/>
      <c r="AC117" s="841"/>
      <c r="AD117" s="841"/>
      <c r="AE117" s="840"/>
      <c r="AF117" s="841"/>
      <c r="AG117" s="841"/>
      <c r="AH117" s="841"/>
      <c r="AI117" s="841"/>
      <c r="AJ117" s="840"/>
      <c r="AK117" s="841"/>
      <c r="AL117" s="841"/>
      <c r="AM117" s="842"/>
      <c r="AN117" s="843"/>
      <c r="AO117" s="844"/>
      <c r="AP117" s="843"/>
      <c r="AQ117" s="843"/>
      <c r="AR117" s="843"/>
      <c r="AS117" s="843"/>
      <c r="AT117" s="844"/>
      <c r="AU117" s="844"/>
      <c r="AV117" s="844"/>
      <c r="AW117" s="844"/>
      <c r="AX117" s="793"/>
    </row>
    <row r="118" spans="1:50" s="29" customFormat="1" hidden="1" outlineLevel="1" x14ac:dyDescent="0.45">
      <c r="A118" s="68" t="s">
        <v>472</v>
      </c>
      <c r="B118" s="57"/>
      <c r="C118" s="840">
        <v>1.877</v>
      </c>
      <c r="D118" s="840">
        <v>0.47299999999999998</v>
      </c>
      <c r="E118" s="840">
        <v>0.96099999999999997</v>
      </c>
      <c r="F118" s="840">
        <v>0.43099999999999999</v>
      </c>
      <c r="G118" s="841">
        <v>9.2999999999999999E-2</v>
      </c>
      <c r="H118" s="841">
        <v>0.104</v>
      </c>
      <c r="I118" s="841">
        <v>9.8000000000000004E-2</v>
      </c>
      <c r="J118" s="841">
        <f t="shared" si="149"/>
        <v>9.5999999999999974E-2</v>
      </c>
      <c r="K118" s="840">
        <v>0.39100000000000001</v>
      </c>
      <c r="L118" s="841">
        <v>9.8000000000000004E-2</v>
      </c>
      <c r="M118" s="841">
        <v>9.8000000000000004E-2</v>
      </c>
      <c r="N118" s="841">
        <v>0.106</v>
      </c>
      <c r="O118" s="841">
        <f t="shared" ref="O118:O120" si="150">+P118-SUM(L118,M118,N118)</f>
        <v>0.11099999999999999</v>
      </c>
      <c r="P118" s="840">
        <v>0.41299999999999998</v>
      </c>
      <c r="Q118" s="841"/>
      <c r="R118" s="841"/>
      <c r="S118" s="841"/>
      <c r="T118" s="841"/>
      <c r="U118" s="840"/>
      <c r="V118" s="841"/>
      <c r="W118" s="841"/>
      <c r="X118" s="841"/>
      <c r="Y118" s="841"/>
      <c r="Z118" s="840"/>
      <c r="AA118" s="841"/>
      <c r="AB118" s="841"/>
      <c r="AC118" s="841"/>
      <c r="AD118" s="841"/>
      <c r="AE118" s="840"/>
      <c r="AF118" s="841"/>
      <c r="AG118" s="841"/>
      <c r="AH118" s="841"/>
      <c r="AI118" s="841"/>
      <c r="AJ118" s="840"/>
      <c r="AK118" s="841"/>
      <c r="AL118" s="841"/>
      <c r="AM118" s="842"/>
      <c r="AN118" s="843"/>
      <c r="AO118" s="844"/>
      <c r="AP118" s="843"/>
      <c r="AQ118" s="843"/>
      <c r="AR118" s="843"/>
      <c r="AS118" s="843"/>
      <c r="AT118" s="844"/>
      <c r="AU118" s="844"/>
      <c r="AV118" s="844"/>
      <c r="AW118" s="844"/>
      <c r="AX118" s="793"/>
    </row>
    <row r="119" spans="1:50" s="29" customFormat="1" hidden="1" outlineLevel="1" x14ac:dyDescent="0.45">
      <c r="A119" s="68" t="s">
        <v>473</v>
      </c>
      <c r="B119" s="57"/>
      <c r="C119" s="840">
        <v>1.6990000000000001</v>
      </c>
      <c r="D119" s="840">
        <v>3.2389999999999999</v>
      </c>
      <c r="E119" s="840">
        <v>2.8650000000000002</v>
      </c>
      <c r="F119" s="840">
        <v>2.085</v>
      </c>
      <c r="G119" s="841">
        <v>0.55100000000000005</v>
      </c>
      <c r="H119" s="841">
        <v>0.438</v>
      </c>
      <c r="I119" s="841">
        <v>0.65</v>
      </c>
      <c r="J119" s="841">
        <f t="shared" si="149"/>
        <v>0.24399999999999977</v>
      </c>
      <c r="K119" s="840">
        <v>1.883</v>
      </c>
      <c r="L119" s="841">
        <v>0.159</v>
      </c>
      <c r="M119" s="841">
        <v>0.13300000000000001</v>
      </c>
      <c r="N119" s="841">
        <v>0.14899999999999999</v>
      </c>
      <c r="O119" s="841">
        <f t="shared" si="150"/>
        <v>0.97599999999999998</v>
      </c>
      <c r="P119" s="840">
        <v>1.417</v>
      </c>
      <c r="Q119" s="841"/>
      <c r="R119" s="841"/>
      <c r="S119" s="841"/>
      <c r="T119" s="841"/>
      <c r="U119" s="840"/>
      <c r="V119" s="841"/>
      <c r="W119" s="841"/>
      <c r="X119" s="841"/>
      <c r="Y119" s="841"/>
      <c r="Z119" s="840"/>
      <c r="AA119" s="841"/>
      <c r="AB119" s="841"/>
      <c r="AC119" s="841"/>
      <c r="AD119" s="841"/>
      <c r="AE119" s="840"/>
      <c r="AF119" s="841"/>
      <c r="AG119" s="841"/>
      <c r="AH119" s="841"/>
      <c r="AI119" s="841"/>
      <c r="AJ119" s="840"/>
      <c r="AK119" s="841"/>
      <c r="AL119" s="841"/>
      <c r="AM119" s="842"/>
      <c r="AN119" s="843"/>
      <c r="AO119" s="844"/>
      <c r="AP119" s="843"/>
      <c r="AQ119" s="843"/>
      <c r="AR119" s="843"/>
      <c r="AS119" s="843"/>
      <c r="AT119" s="844"/>
      <c r="AU119" s="844"/>
      <c r="AV119" s="844"/>
      <c r="AW119" s="844"/>
      <c r="AX119" s="793"/>
    </row>
    <row r="120" spans="1:50" s="29" customFormat="1" hidden="1" outlineLevel="1" x14ac:dyDescent="0.45">
      <c r="A120" s="68" t="s">
        <v>474</v>
      </c>
      <c r="B120" s="57"/>
      <c r="C120" s="840">
        <v>1.129</v>
      </c>
      <c r="D120" s="840">
        <v>6.1870000000000003</v>
      </c>
      <c r="E120" s="840">
        <v>10.576000000000001</v>
      </c>
      <c r="F120" s="840">
        <v>5.7169999999999996</v>
      </c>
      <c r="G120" s="841">
        <v>-0.04</v>
      </c>
      <c r="H120" s="841">
        <v>-0.53800000000000003</v>
      </c>
      <c r="I120" s="841">
        <v>-1.9510000000000001</v>
      </c>
      <c r="J120" s="841">
        <f t="shared" si="149"/>
        <v>-0.96300000000000008</v>
      </c>
      <c r="K120" s="840">
        <v>-3.492</v>
      </c>
      <c r="L120" s="841">
        <v>1.137</v>
      </c>
      <c r="M120" s="841">
        <v>-0.183</v>
      </c>
      <c r="N120" s="841">
        <v>1.5940000000000001</v>
      </c>
      <c r="O120" s="841">
        <f t="shared" si="150"/>
        <v>-8.0000000000000071E-3</v>
      </c>
      <c r="P120" s="840">
        <v>2.54</v>
      </c>
      <c r="Q120" s="841"/>
      <c r="R120" s="841"/>
      <c r="S120" s="841"/>
      <c r="T120" s="841"/>
      <c r="U120" s="840"/>
      <c r="V120" s="841"/>
      <c r="W120" s="841"/>
      <c r="X120" s="841"/>
      <c r="Y120" s="841"/>
      <c r="Z120" s="840"/>
      <c r="AA120" s="841"/>
      <c r="AB120" s="841"/>
      <c r="AC120" s="841"/>
      <c r="AD120" s="841"/>
      <c r="AE120" s="840"/>
      <c r="AF120" s="841"/>
      <c r="AG120" s="841"/>
      <c r="AH120" s="841"/>
      <c r="AI120" s="841"/>
      <c r="AJ120" s="840"/>
      <c r="AK120" s="841"/>
      <c r="AL120" s="841"/>
      <c r="AM120" s="842"/>
      <c r="AN120" s="843"/>
      <c r="AO120" s="844"/>
      <c r="AP120" s="843"/>
      <c r="AQ120" s="843"/>
      <c r="AR120" s="843"/>
      <c r="AS120" s="843"/>
      <c r="AT120" s="844"/>
      <c r="AU120" s="844"/>
      <c r="AV120" s="844"/>
      <c r="AW120" s="844"/>
      <c r="AX120" s="793"/>
    </row>
    <row r="121" spans="1:50" s="7" customFormat="1" hidden="1" outlineLevel="1" x14ac:dyDescent="0.45">
      <c r="A121" s="698" t="s">
        <v>475</v>
      </c>
      <c r="B121" s="87"/>
      <c r="C121" s="845">
        <f t="shared" ref="C121:O121" si="151">SUM(C117:C120)</f>
        <v>83.408000000000001</v>
      </c>
      <c r="D121" s="845">
        <f t="shared" si="151"/>
        <v>94.710999999999999</v>
      </c>
      <c r="E121" s="845">
        <f t="shared" si="151"/>
        <v>114.91899999999998</v>
      </c>
      <c r="F121" s="845">
        <f t="shared" si="151"/>
        <v>80.094999999999985</v>
      </c>
      <c r="G121" s="846">
        <f t="shared" si="151"/>
        <v>14.100000000000001</v>
      </c>
      <c r="H121" s="846">
        <f t="shared" si="151"/>
        <v>14.253</v>
      </c>
      <c r="I121" s="846">
        <f t="shared" si="151"/>
        <v>12.327</v>
      </c>
      <c r="J121" s="846">
        <f t="shared" si="151"/>
        <v>13.956</v>
      </c>
      <c r="K121" s="845">
        <f t="shared" si="151"/>
        <v>54.636000000000003</v>
      </c>
      <c r="L121" s="846">
        <f t="shared" si="151"/>
        <v>14.096000000000002</v>
      </c>
      <c r="M121" s="846">
        <f t="shared" si="151"/>
        <v>12.904</v>
      </c>
      <c r="N121" s="846">
        <f t="shared" si="151"/>
        <v>14.957999999999998</v>
      </c>
      <c r="O121" s="846">
        <f t="shared" si="151"/>
        <v>15.048999999999999</v>
      </c>
      <c r="P121" s="845">
        <f>SUM(P117:P120)</f>
        <v>57.006999999999998</v>
      </c>
      <c r="Q121" s="846"/>
      <c r="R121" s="846"/>
      <c r="S121" s="846"/>
      <c r="T121" s="846"/>
      <c r="U121" s="845"/>
      <c r="V121" s="846"/>
      <c r="W121" s="846"/>
      <c r="X121" s="846"/>
      <c r="Y121" s="846"/>
      <c r="Z121" s="845"/>
      <c r="AA121" s="846"/>
      <c r="AB121" s="846"/>
      <c r="AC121" s="846"/>
      <c r="AD121" s="846"/>
      <c r="AE121" s="845"/>
      <c r="AF121" s="846"/>
      <c r="AG121" s="846"/>
      <c r="AH121" s="846"/>
      <c r="AI121" s="846"/>
      <c r="AJ121" s="845"/>
      <c r="AK121" s="846"/>
      <c r="AL121" s="846"/>
      <c r="AM121" s="847"/>
      <c r="AN121" s="846"/>
      <c r="AO121" s="845"/>
      <c r="AP121" s="846"/>
      <c r="AQ121" s="846"/>
      <c r="AR121" s="846"/>
      <c r="AS121" s="846"/>
      <c r="AT121" s="845"/>
      <c r="AU121" s="845"/>
      <c r="AV121" s="845"/>
      <c r="AW121" s="845"/>
      <c r="AX121" s="795"/>
    </row>
    <row r="122" spans="1:50" s="29" customFormat="1" hidden="1" outlineLevel="1" x14ac:dyDescent="0.45">
      <c r="A122" s="697" t="s">
        <v>476</v>
      </c>
      <c r="B122" s="683"/>
      <c r="C122" s="840">
        <v>4.931</v>
      </c>
      <c r="D122" s="840">
        <v>8.9789999999999992</v>
      </c>
      <c r="E122" s="840">
        <v>4.8390000000000004</v>
      </c>
      <c r="F122" s="840">
        <v>5.6970000000000001</v>
      </c>
      <c r="G122" s="841">
        <v>1.3979999999999999</v>
      </c>
      <c r="H122" s="841">
        <v>0.998</v>
      </c>
      <c r="I122" s="841">
        <v>1.1180000000000001</v>
      </c>
      <c r="J122" s="841">
        <f t="shared" ref="J122:J125" si="152">+K122-SUM(G122,H122,I122)</f>
        <v>1.2619999999999996</v>
      </c>
      <c r="K122" s="840">
        <v>4.7759999999999998</v>
      </c>
      <c r="L122" s="841">
        <v>0.96699999999999997</v>
      </c>
      <c r="M122" s="841">
        <v>0.92600000000000005</v>
      </c>
      <c r="N122" s="841">
        <v>1.1519999999999999</v>
      </c>
      <c r="O122" s="841">
        <f t="shared" ref="O122:O125" si="153">+P122-SUM(L122,M122,N122)</f>
        <v>0.79499999999999993</v>
      </c>
      <c r="P122" s="840">
        <v>3.84</v>
      </c>
      <c r="Q122" s="841"/>
      <c r="R122" s="841"/>
      <c r="S122" s="841"/>
      <c r="T122" s="841"/>
      <c r="U122" s="840"/>
      <c r="V122" s="841"/>
      <c r="W122" s="841"/>
      <c r="X122" s="841"/>
      <c r="Y122" s="841"/>
      <c r="Z122" s="840"/>
      <c r="AA122" s="841"/>
      <c r="AB122" s="841"/>
      <c r="AC122" s="841"/>
      <c r="AD122" s="841"/>
      <c r="AE122" s="840"/>
      <c r="AF122" s="841"/>
      <c r="AG122" s="841"/>
      <c r="AH122" s="841"/>
      <c r="AI122" s="841"/>
      <c r="AJ122" s="840"/>
      <c r="AK122" s="841"/>
      <c r="AL122" s="841"/>
      <c r="AM122" s="842"/>
      <c r="AN122" s="841"/>
      <c r="AO122" s="840"/>
      <c r="AP122" s="841"/>
      <c r="AQ122" s="841"/>
      <c r="AR122" s="841"/>
      <c r="AS122" s="841"/>
      <c r="AT122" s="840"/>
      <c r="AU122" s="840"/>
      <c r="AV122" s="840"/>
      <c r="AW122" s="840"/>
      <c r="AX122" s="793"/>
    </row>
    <row r="123" spans="1:50" s="29" customFormat="1" hidden="1" outlineLevel="1" x14ac:dyDescent="0.45">
      <c r="A123" s="697" t="s">
        <v>477</v>
      </c>
      <c r="B123" s="683"/>
      <c r="C123" s="840"/>
      <c r="D123" s="840">
        <v>2.1999999999999999E-2</v>
      </c>
      <c r="E123" s="840"/>
      <c r="F123" s="840">
        <v>2E-3</v>
      </c>
      <c r="G123" s="841"/>
      <c r="H123" s="841"/>
      <c r="I123" s="841"/>
      <c r="J123" s="841"/>
      <c r="K123" s="840"/>
      <c r="L123" s="841"/>
      <c r="M123" s="841"/>
      <c r="N123" s="841">
        <v>4.0000000000000001E-3</v>
      </c>
      <c r="O123" s="841">
        <f t="shared" si="153"/>
        <v>8.0000000000000002E-3</v>
      </c>
      <c r="P123" s="840">
        <v>1.2E-2</v>
      </c>
      <c r="Q123" s="841"/>
      <c r="R123" s="841"/>
      <c r="S123" s="841"/>
      <c r="T123" s="841"/>
      <c r="U123" s="840"/>
      <c r="V123" s="841"/>
      <c r="W123" s="841"/>
      <c r="X123" s="841"/>
      <c r="Y123" s="841"/>
      <c r="Z123" s="840"/>
      <c r="AA123" s="841"/>
      <c r="AB123" s="841"/>
      <c r="AC123" s="841"/>
      <c r="AD123" s="841"/>
      <c r="AE123" s="840"/>
      <c r="AF123" s="841"/>
      <c r="AG123" s="841"/>
      <c r="AH123" s="841"/>
      <c r="AI123" s="841"/>
      <c r="AJ123" s="840"/>
      <c r="AK123" s="841"/>
      <c r="AL123" s="841"/>
      <c r="AM123" s="842"/>
      <c r="AN123" s="841"/>
      <c r="AO123" s="840"/>
      <c r="AP123" s="841"/>
      <c r="AQ123" s="841"/>
      <c r="AR123" s="841"/>
      <c r="AS123" s="841"/>
      <c r="AT123" s="840"/>
      <c r="AU123" s="840"/>
      <c r="AV123" s="840"/>
      <c r="AW123" s="840"/>
      <c r="AX123" s="793"/>
    </row>
    <row r="124" spans="1:50" s="29" customFormat="1" hidden="1" outlineLevel="1" x14ac:dyDescent="0.45">
      <c r="A124" s="697" t="s">
        <v>478</v>
      </c>
      <c r="B124" s="683"/>
      <c r="C124" s="840">
        <v>1.409</v>
      </c>
      <c r="D124" s="840">
        <v>2.19</v>
      </c>
      <c r="E124" s="840">
        <v>1.6619999999999999</v>
      </c>
      <c r="F124" s="840">
        <v>1.7330000000000001</v>
      </c>
      <c r="G124" s="841">
        <v>0.39100000000000001</v>
      </c>
      <c r="H124" s="841">
        <v>0.21099999999999999</v>
      </c>
      <c r="I124" s="841">
        <v>0.38200000000000001</v>
      </c>
      <c r="J124" s="841">
        <f t="shared" si="152"/>
        <v>0.24399999999999999</v>
      </c>
      <c r="K124" s="840">
        <v>1.228</v>
      </c>
      <c r="L124" s="841">
        <v>0.247</v>
      </c>
      <c r="M124" s="841">
        <v>0.43099999999999999</v>
      </c>
      <c r="N124" s="841">
        <v>0.19900000000000001</v>
      </c>
      <c r="O124" s="841">
        <f t="shared" si="153"/>
        <v>0.2410000000000001</v>
      </c>
      <c r="P124" s="840">
        <v>1.1180000000000001</v>
      </c>
      <c r="Q124" s="841"/>
      <c r="R124" s="841"/>
      <c r="S124" s="841"/>
      <c r="T124" s="841"/>
      <c r="U124" s="840"/>
      <c r="V124" s="841"/>
      <c r="W124" s="841"/>
      <c r="X124" s="841"/>
      <c r="Y124" s="841"/>
      <c r="Z124" s="840"/>
      <c r="AA124" s="841"/>
      <c r="AB124" s="841"/>
      <c r="AC124" s="841"/>
      <c r="AD124" s="841"/>
      <c r="AE124" s="840"/>
      <c r="AF124" s="841"/>
      <c r="AG124" s="841"/>
      <c r="AH124" s="841"/>
      <c r="AI124" s="841"/>
      <c r="AJ124" s="840"/>
      <c r="AK124" s="841"/>
      <c r="AL124" s="841"/>
      <c r="AM124" s="842"/>
      <c r="AN124" s="841"/>
      <c r="AO124" s="840"/>
      <c r="AP124" s="841"/>
      <c r="AQ124" s="841"/>
      <c r="AR124" s="841"/>
      <c r="AS124" s="841"/>
      <c r="AT124" s="840"/>
      <c r="AU124" s="840"/>
      <c r="AV124" s="840"/>
      <c r="AW124" s="840"/>
      <c r="AX124" s="793"/>
    </row>
    <row r="125" spans="1:50" s="29" customFormat="1" hidden="1" outlineLevel="1" x14ac:dyDescent="0.45">
      <c r="A125" s="217" t="s">
        <v>479</v>
      </c>
      <c r="B125" s="682"/>
      <c r="C125" s="848">
        <v>1.2999999999999999E-2</v>
      </c>
      <c r="D125" s="848">
        <v>0.61199999999999999</v>
      </c>
      <c r="E125" s="848">
        <v>0.98699999999999999</v>
      </c>
      <c r="F125" s="848">
        <v>1.0449999999999999</v>
      </c>
      <c r="G125" s="849">
        <v>8.3000000000000004E-2</v>
      </c>
      <c r="H125" s="849">
        <v>0.1</v>
      </c>
      <c r="I125" s="849">
        <v>0.28699999999999998</v>
      </c>
      <c r="J125" s="849">
        <f t="shared" si="152"/>
        <v>-0.27599999999999997</v>
      </c>
      <c r="K125" s="848">
        <v>0.19400000000000001</v>
      </c>
      <c r="L125" s="849">
        <v>-0.56699999999999995</v>
      </c>
      <c r="M125" s="849">
        <v>-3.1E-2</v>
      </c>
      <c r="N125" s="849">
        <v>2.5999999999999999E-2</v>
      </c>
      <c r="O125" s="849">
        <f t="shared" si="153"/>
        <v>-3.2000000000000028E-2</v>
      </c>
      <c r="P125" s="848">
        <v>-0.60399999999999998</v>
      </c>
      <c r="Q125" s="849"/>
      <c r="R125" s="849"/>
      <c r="S125" s="849"/>
      <c r="T125" s="849"/>
      <c r="U125" s="848"/>
      <c r="V125" s="849"/>
      <c r="W125" s="849"/>
      <c r="X125" s="849"/>
      <c r="Y125" s="849"/>
      <c r="Z125" s="848"/>
      <c r="AA125" s="849"/>
      <c r="AB125" s="849"/>
      <c r="AC125" s="849"/>
      <c r="AD125" s="849"/>
      <c r="AE125" s="848"/>
      <c r="AF125" s="849"/>
      <c r="AG125" s="849"/>
      <c r="AH125" s="849"/>
      <c r="AI125" s="849"/>
      <c r="AJ125" s="848"/>
      <c r="AK125" s="849"/>
      <c r="AL125" s="849"/>
      <c r="AM125" s="850"/>
      <c r="AN125" s="849"/>
      <c r="AO125" s="848"/>
      <c r="AP125" s="849"/>
      <c r="AQ125" s="849"/>
      <c r="AR125" s="849"/>
      <c r="AS125" s="849"/>
      <c r="AT125" s="848"/>
      <c r="AU125" s="848"/>
      <c r="AV125" s="848"/>
      <c r="AW125" s="848"/>
      <c r="AX125" s="793"/>
    </row>
    <row r="126" spans="1:50" s="7" customFormat="1" hidden="1" outlineLevel="1" x14ac:dyDescent="0.45">
      <c r="A126" s="67" t="s">
        <v>480</v>
      </c>
      <c r="B126" s="55"/>
      <c r="C126" s="851">
        <f t="shared" ref="C126:O126" si="154">SUM(C122:C125)</f>
        <v>6.3529999999999998</v>
      </c>
      <c r="D126" s="851">
        <f t="shared" si="154"/>
        <v>11.802999999999999</v>
      </c>
      <c r="E126" s="851">
        <f t="shared" si="154"/>
        <v>7.4880000000000004</v>
      </c>
      <c r="F126" s="851">
        <f t="shared" si="154"/>
        <v>8.4770000000000003</v>
      </c>
      <c r="G126" s="852">
        <f t="shared" si="154"/>
        <v>1.8719999999999999</v>
      </c>
      <c r="H126" s="852">
        <f t="shared" si="154"/>
        <v>1.3090000000000002</v>
      </c>
      <c r="I126" s="852">
        <f t="shared" si="154"/>
        <v>1.7869999999999999</v>
      </c>
      <c r="J126" s="852">
        <f t="shared" si="154"/>
        <v>1.2299999999999995</v>
      </c>
      <c r="K126" s="851">
        <f t="shared" si="154"/>
        <v>6.1979999999999995</v>
      </c>
      <c r="L126" s="852">
        <f t="shared" si="154"/>
        <v>0.64700000000000002</v>
      </c>
      <c r="M126" s="852">
        <f t="shared" si="154"/>
        <v>1.3260000000000001</v>
      </c>
      <c r="N126" s="852">
        <f t="shared" si="154"/>
        <v>1.381</v>
      </c>
      <c r="O126" s="852">
        <f t="shared" si="154"/>
        <v>1.012</v>
      </c>
      <c r="P126" s="851">
        <f>SUM(P122:P125)</f>
        <v>4.3659999999999997</v>
      </c>
      <c r="Q126" s="852"/>
      <c r="R126" s="852"/>
      <c r="S126" s="852"/>
      <c r="T126" s="852"/>
      <c r="U126" s="851"/>
      <c r="V126" s="852"/>
      <c r="W126" s="852"/>
      <c r="X126" s="852"/>
      <c r="Y126" s="852"/>
      <c r="Z126" s="851"/>
      <c r="AA126" s="852"/>
      <c r="AB126" s="852"/>
      <c r="AC126" s="852"/>
      <c r="AD126" s="852"/>
      <c r="AE126" s="851"/>
      <c r="AF126" s="852"/>
      <c r="AG126" s="852"/>
      <c r="AH126" s="852"/>
      <c r="AI126" s="852"/>
      <c r="AJ126" s="851"/>
      <c r="AK126" s="852"/>
      <c r="AL126" s="852"/>
      <c r="AM126" s="853"/>
      <c r="AN126" s="854"/>
      <c r="AO126" s="855"/>
      <c r="AP126" s="854"/>
      <c r="AQ126" s="854"/>
      <c r="AR126" s="854"/>
      <c r="AS126" s="854"/>
      <c r="AT126" s="855"/>
      <c r="AU126" s="855"/>
      <c r="AV126" s="855"/>
      <c r="AW126" s="855"/>
      <c r="AX126" s="795"/>
    </row>
    <row r="127" spans="1:50" s="29" customFormat="1" hidden="1" outlineLevel="1" x14ac:dyDescent="0.45">
      <c r="A127" s="68" t="s">
        <v>481</v>
      </c>
      <c r="B127" s="57"/>
      <c r="C127" s="840">
        <v>13.058</v>
      </c>
      <c r="D127" s="840">
        <v>15.097</v>
      </c>
      <c r="E127" s="840">
        <v>18.707999999999998</v>
      </c>
      <c r="F127" s="840">
        <v>26.001999999999999</v>
      </c>
      <c r="G127" s="841">
        <v>4.2969999999999997</v>
      </c>
      <c r="H127" s="841">
        <v>5.8310000000000004</v>
      </c>
      <c r="I127" s="841">
        <v>3.6520000000000001</v>
      </c>
      <c r="J127" s="841">
        <f t="shared" ref="J127:J130" si="155">+K127-SUM(G127,H127,I127)</f>
        <v>5.2079999999999984</v>
      </c>
      <c r="K127" s="840">
        <v>18.988</v>
      </c>
      <c r="L127" s="841">
        <v>5.4969999999999999</v>
      </c>
      <c r="M127" s="841">
        <v>5.8040000000000003</v>
      </c>
      <c r="N127" s="841">
        <v>3.1829999999999998</v>
      </c>
      <c r="O127" s="841">
        <f t="shared" ref="O127:O130" si="156">+P127-SUM(L127,M127,N127)</f>
        <v>5.5340000000000007</v>
      </c>
      <c r="P127" s="840">
        <v>20.018000000000001</v>
      </c>
      <c r="Q127" s="841"/>
      <c r="R127" s="841"/>
      <c r="S127" s="841"/>
      <c r="T127" s="841"/>
      <c r="U127" s="840"/>
      <c r="V127" s="841"/>
      <c r="W127" s="841"/>
      <c r="X127" s="841"/>
      <c r="Y127" s="841"/>
      <c r="Z127" s="840"/>
      <c r="AA127" s="841"/>
      <c r="AB127" s="841"/>
      <c r="AC127" s="841"/>
      <c r="AD127" s="841"/>
      <c r="AE127" s="840"/>
      <c r="AF127" s="841"/>
      <c r="AG127" s="841"/>
      <c r="AH127" s="841"/>
      <c r="AI127" s="841"/>
      <c r="AJ127" s="840"/>
      <c r="AK127" s="841"/>
      <c r="AL127" s="841"/>
      <c r="AM127" s="842"/>
      <c r="AN127" s="843"/>
      <c r="AO127" s="844"/>
      <c r="AP127" s="843"/>
      <c r="AQ127" s="843"/>
      <c r="AR127" s="843"/>
      <c r="AS127" s="843"/>
      <c r="AT127" s="844"/>
      <c r="AU127" s="844"/>
      <c r="AV127" s="844"/>
      <c r="AW127" s="844"/>
      <c r="AX127" s="793"/>
    </row>
    <row r="128" spans="1:50" s="29" customFormat="1" hidden="1" outlineLevel="1" x14ac:dyDescent="0.45">
      <c r="A128" s="68" t="s">
        <v>482</v>
      </c>
      <c r="B128" s="57"/>
      <c r="C128" s="840">
        <v>0.26700000000000002</v>
      </c>
      <c r="D128" s="840">
        <v>0.37</v>
      </c>
      <c r="E128" s="840">
        <v>0.39</v>
      </c>
      <c r="F128" s="840">
        <v>0.2</v>
      </c>
      <c r="G128" s="841"/>
      <c r="H128" s="841"/>
      <c r="I128" s="841"/>
      <c r="J128" s="841"/>
      <c r="K128" s="840"/>
      <c r="L128" s="841"/>
      <c r="M128" s="841"/>
      <c r="N128" s="841">
        <v>0.121</v>
      </c>
      <c r="O128" s="841">
        <f t="shared" si="156"/>
        <v>8.3999999999999991E-2</v>
      </c>
      <c r="P128" s="840">
        <v>0.20499999999999999</v>
      </c>
      <c r="Q128" s="841"/>
      <c r="R128" s="841"/>
      <c r="S128" s="841"/>
      <c r="T128" s="841"/>
      <c r="U128" s="840"/>
      <c r="V128" s="841"/>
      <c r="W128" s="841"/>
      <c r="X128" s="841"/>
      <c r="Y128" s="841"/>
      <c r="Z128" s="840"/>
      <c r="AA128" s="841"/>
      <c r="AB128" s="841"/>
      <c r="AC128" s="841"/>
      <c r="AD128" s="841"/>
      <c r="AE128" s="840"/>
      <c r="AF128" s="841"/>
      <c r="AG128" s="841"/>
      <c r="AH128" s="841"/>
      <c r="AI128" s="841"/>
      <c r="AJ128" s="840"/>
      <c r="AK128" s="841"/>
      <c r="AL128" s="841"/>
      <c r="AM128" s="842"/>
      <c r="AN128" s="843"/>
      <c r="AO128" s="844"/>
      <c r="AP128" s="843"/>
      <c r="AQ128" s="843"/>
      <c r="AR128" s="843"/>
      <c r="AS128" s="843"/>
      <c r="AT128" s="844"/>
      <c r="AU128" s="844"/>
      <c r="AV128" s="844"/>
      <c r="AW128" s="844"/>
      <c r="AX128" s="793"/>
    </row>
    <row r="129" spans="1:50" s="29" customFormat="1" hidden="1" outlineLevel="1" x14ac:dyDescent="0.45">
      <c r="A129" s="68" t="s">
        <v>483</v>
      </c>
      <c r="B129" s="57"/>
      <c r="C129" s="840">
        <v>0.82499999999999996</v>
      </c>
      <c r="D129" s="840">
        <v>1.0660000000000001</v>
      </c>
      <c r="E129" s="840">
        <v>1.1040000000000001</v>
      </c>
      <c r="F129" s="840">
        <v>1.599</v>
      </c>
      <c r="G129" s="841">
        <v>0.27700000000000002</v>
      </c>
      <c r="H129" s="841">
        <v>0.45800000000000002</v>
      </c>
      <c r="I129" s="841">
        <v>0.25600000000000001</v>
      </c>
      <c r="J129" s="841">
        <f t="shared" si="155"/>
        <v>0.30899999999999994</v>
      </c>
      <c r="K129" s="840">
        <v>1.3</v>
      </c>
      <c r="L129" s="841">
        <v>0.186</v>
      </c>
      <c r="M129" s="841">
        <v>0.25600000000000001</v>
      </c>
      <c r="N129" s="841">
        <v>0.23799999999999999</v>
      </c>
      <c r="O129" s="841">
        <f t="shared" si="156"/>
        <v>0.24600000000000011</v>
      </c>
      <c r="P129" s="840">
        <v>0.92600000000000005</v>
      </c>
      <c r="Q129" s="841"/>
      <c r="R129" s="841"/>
      <c r="S129" s="841"/>
      <c r="T129" s="841"/>
      <c r="U129" s="840"/>
      <c r="V129" s="841"/>
      <c r="W129" s="841"/>
      <c r="X129" s="841"/>
      <c r="Y129" s="841"/>
      <c r="Z129" s="840"/>
      <c r="AA129" s="841"/>
      <c r="AB129" s="841"/>
      <c r="AC129" s="841"/>
      <c r="AD129" s="841"/>
      <c r="AE129" s="840"/>
      <c r="AF129" s="841"/>
      <c r="AG129" s="841"/>
      <c r="AH129" s="841"/>
      <c r="AI129" s="841"/>
      <c r="AJ129" s="840"/>
      <c r="AK129" s="841"/>
      <c r="AL129" s="841"/>
      <c r="AM129" s="842"/>
      <c r="AN129" s="843"/>
      <c r="AO129" s="844"/>
      <c r="AP129" s="843"/>
      <c r="AQ129" s="843"/>
      <c r="AR129" s="843"/>
      <c r="AS129" s="843"/>
      <c r="AT129" s="844"/>
      <c r="AU129" s="844"/>
      <c r="AV129" s="844"/>
      <c r="AW129" s="844"/>
      <c r="AX129" s="793"/>
    </row>
    <row r="130" spans="1:50" s="29" customFormat="1" hidden="1" outlineLevel="1" x14ac:dyDescent="0.45">
      <c r="A130" s="68" t="s">
        <v>484</v>
      </c>
      <c r="B130" s="57"/>
      <c r="C130" s="840">
        <v>0.22600000000000001</v>
      </c>
      <c r="D130" s="840">
        <v>1.482</v>
      </c>
      <c r="E130" s="840">
        <v>6.1890000000000001</v>
      </c>
      <c r="F130" s="840">
        <v>7.2069999999999999</v>
      </c>
      <c r="G130" s="841">
        <v>2.0009999999999999</v>
      </c>
      <c r="H130" s="841">
        <v>1.52</v>
      </c>
      <c r="I130" s="841">
        <v>1.1379999999999999</v>
      </c>
      <c r="J130" s="841">
        <f t="shared" si="155"/>
        <v>1.0010000000000003</v>
      </c>
      <c r="K130" s="840">
        <v>5.66</v>
      </c>
      <c r="L130" s="841">
        <v>0.58299999999999996</v>
      </c>
      <c r="M130" s="841">
        <v>0.98</v>
      </c>
      <c r="N130" s="841">
        <v>0.11600000000000001</v>
      </c>
      <c r="O130" s="841">
        <f t="shared" si="156"/>
        <v>0.82000000000000006</v>
      </c>
      <c r="P130" s="840">
        <v>2.4990000000000001</v>
      </c>
      <c r="Q130" s="841"/>
      <c r="R130" s="841"/>
      <c r="S130" s="841"/>
      <c r="T130" s="841"/>
      <c r="U130" s="840"/>
      <c r="V130" s="841"/>
      <c r="W130" s="841"/>
      <c r="X130" s="841"/>
      <c r="Y130" s="841"/>
      <c r="Z130" s="840"/>
      <c r="AA130" s="841"/>
      <c r="AB130" s="841"/>
      <c r="AC130" s="841"/>
      <c r="AD130" s="841"/>
      <c r="AE130" s="840"/>
      <c r="AF130" s="841"/>
      <c r="AG130" s="841"/>
      <c r="AH130" s="841"/>
      <c r="AI130" s="841"/>
      <c r="AJ130" s="840"/>
      <c r="AK130" s="841"/>
      <c r="AL130" s="841"/>
      <c r="AM130" s="842"/>
      <c r="AN130" s="843"/>
      <c r="AO130" s="844"/>
      <c r="AP130" s="843"/>
      <c r="AQ130" s="843"/>
      <c r="AR130" s="843"/>
      <c r="AS130" s="843"/>
      <c r="AT130" s="844"/>
      <c r="AU130" s="844"/>
      <c r="AV130" s="844"/>
      <c r="AW130" s="844"/>
      <c r="AX130" s="793"/>
    </row>
    <row r="131" spans="1:50" s="7" customFormat="1" hidden="1" outlineLevel="1" x14ac:dyDescent="0.45">
      <c r="A131" s="698" t="s">
        <v>485</v>
      </c>
      <c r="B131" s="87"/>
      <c r="C131" s="845">
        <f t="shared" ref="C131:O131" si="157">SUM(C127:C130)</f>
        <v>14.375999999999999</v>
      </c>
      <c r="D131" s="845">
        <f t="shared" si="157"/>
        <v>18.014999999999997</v>
      </c>
      <c r="E131" s="845">
        <f t="shared" si="157"/>
        <v>26.390999999999998</v>
      </c>
      <c r="F131" s="845">
        <f t="shared" si="157"/>
        <v>35.007999999999996</v>
      </c>
      <c r="G131" s="846">
        <f t="shared" si="157"/>
        <v>6.5749999999999993</v>
      </c>
      <c r="H131" s="846">
        <f t="shared" si="157"/>
        <v>7.8090000000000011</v>
      </c>
      <c r="I131" s="846">
        <f t="shared" si="157"/>
        <v>5.0460000000000003</v>
      </c>
      <c r="J131" s="846">
        <f t="shared" si="157"/>
        <v>6.5179999999999989</v>
      </c>
      <c r="K131" s="845">
        <f t="shared" si="157"/>
        <v>25.948</v>
      </c>
      <c r="L131" s="846">
        <f t="shared" si="157"/>
        <v>6.266</v>
      </c>
      <c r="M131" s="846">
        <f t="shared" si="157"/>
        <v>7.0400000000000009</v>
      </c>
      <c r="N131" s="846">
        <f t="shared" si="157"/>
        <v>3.6579999999999999</v>
      </c>
      <c r="O131" s="846">
        <f t="shared" si="157"/>
        <v>6.6840000000000011</v>
      </c>
      <c r="P131" s="845">
        <f>SUM(P127:P130)</f>
        <v>23.647999999999996</v>
      </c>
      <c r="Q131" s="846"/>
      <c r="R131" s="846"/>
      <c r="S131" s="846"/>
      <c r="T131" s="846"/>
      <c r="U131" s="845"/>
      <c r="V131" s="846"/>
      <c r="W131" s="846"/>
      <c r="X131" s="846"/>
      <c r="Y131" s="846"/>
      <c r="Z131" s="845"/>
      <c r="AA131" s="846"/>
      <c r="AB131" s="846"/>
      <c r="AC131" s="846"/>
      <c r="AD131" s="846"/>
      <c r="AE131" s="845"/>
      <c r="AF131" s="846"/>
      <c r="AG131" s="846"/>
      <c r="AH131" s="846"/>
      <c r="AI131" s="846"/>
      <c r="AJ131" s="845"/>
      <c r="AK131" s="846"/>
      <c r="AL131" s="846"/>
      <c r="AM131" s="847"/>
      <c r="AN131" s="846"/>
      <c r="AO131" s="845"/>
      <c r="AP131" s="846"/>
      <c r="AQ131" s="846"/>
      <c r="AR131" s="846"/>
      <c r="AS131" s="846"/>
      <c r="AT131" s="845"/>
      <c r="AU131" s="845"/>
      <c r="AV131" s="845"/>
      <c r="AW131" s="845"/>
      <c r="AX131" s="795"/>
    </row>
    <row r="132" spans="1:50" s="29" customFormat="1" hidden="1" outlineLevel="1" x14ac:dyDescent="0.45">
      <c r="A132" s="697" t="s">
        <v>486</v>
      </c>
      <c r="B132" s="683"/>
      <c r="C132" s="840">
        <f t="shared" ref="C132:O135" si="158">C117+C122+C127</f>
        <v>96.692000000000007</v>
      </c>
      <c r="D132" s="840">
        <f t="shared" si="158"/>
        <v>108.88799999999999</v>
      </c>
      <c r="E132" s="840">
        <f t="shared" si="158"/>
        <v>124.06399999999999</v>
      </c>
      <c r="F132" s="840">
        <f t="shared" si="158"/>
        <v>103.56099999999999</v>
      </c>
      <c r="G132" s="841">
        <f t="shared" si="158"/>
        <v>19.190999999999999</v>
      </c>
      <c r="H132" s="841">
        <f t="shared" si="158"/>
        <v>21.077999999999999</v>
      </c>
      <c r="I132" s="841">
        <f t="shared" si="158"/>
        <v>18.3</v>
      </c>
      <c r="J132" s="841">
        <f t="shared" si="158"/>
        <v>21.048999999999999</v>
      </c>
      <c r="K132" s="840">
        <f t="shared" si="158"/>
        <v>79.617999999999995</v>
      </c>
      <c r="L132" s="841">
        <f t="shared" si="158"/>
        <v>19.166</v>
      </c>
      <c r="M132" s="841">
        <f t="shared" si="158"/>
        <v>19.585999999999999</v>
      </c>
      <c r="N132" s="841">
        <f t="shared" si="158"/>
        <v>17.443999999999999</v>
      </c>
      <c r="O132" s="841">
        <f t="shared" si="158"/>
        <v>20.298999999999999</v>
      </c>
      <c r="P132" s="840">
        <f>P117+P122+P127</f>
        <v>76.495000000000005</v>
      </c>
      <c r="Q132" s="841"/>
      <c r="R132" s="841"/>
      <c r="S132" s="841"/>
      <c r="T132" s="841"/>
      <c r="U132" s="840"/>
      <c r="V132" s="841"/>
      <c r="W132" s="841"/>
      <c r="X132" s="841"/>
      <c r="Y132" s="841"/>
      <c r="Z132" s="840"/>
      <c r="AA132" s="841"/>
      <c r="AB132" s="841"/>
      <c r="AC132" s="841"/>
      <c r="AD132" s="841"/>
      <c r="AE132" s="840"/>
      <c r="AF132" s="841"/>
      <c r="AG132" s="841"/>
      <c r="AH132" s="841"/>
      <c r="AI132" s="841"/>
      <c r="AJ132" s="840"/>
      <c r="AK132" s="841"/>
      <c r="AL132" s="841"/>
      <c r="AM132" s="842"/>
      <c r="AN132" s="841"/>
      <c r="AO132" s="840"/>
      <c r="AP132" s="841"/>
      <c r="AQ132" s="841"/>
      <c r="AR132" s="841"/>
      <c r="AS132" s="841"/>
      <c r="AT132" s="840"/>
      <c r="AU132" s="840"/>
      <c r="AV132" s="840"/>
      <c r="AW132" s="840"/>
      <c r="AX132" s="793"/>
    </row>
    <row r="133" spans="1:50" s="29" customFormat="1" hidden="1" outlineLevel="1" x14ac:dyDescent="0.45">
      <c r="A133" s="697" t="s">
        <v>487</v>
      </c>
      <c r="B133" s="683"/>
      <c r="C133" s="840">
        <f t="shared" si="158"/>
        <v>2.1440000000000001</v>
      </c>
      <c r="D133" s="840">
        <f t="shared" si="158"/>
        <v>0.86499999999999999</v>
      </c>
      <c r="E133" s="840">
        <f t="shared" si="158"/>
        <v>1.351</v>
      </c>
      <c r="F133" s="840">
        <f t="shared" si="158"/>
        <v>0.63300000000000001</v>
      </c>
      <c r="G133" s="841">
        <f t="shared" si="158"/>
        <v>9.2999999999999999E-2</v>
      </c>
      <c r="H133" s="841">
        <f t="shared" si="158"/>
        <v>0.104</v>
      </c>
      <c r="I133" s="841">
        <f t="shared" si="158"/>
        <v>9.8000000000000004E-2</v>
      </c>
      <c r="J133" s="841">
        <f t="shared" si="158"/>
        <v>9.5999999999999974E-2</v>
      </c>
      <c r="K133" s="840">
        <f t="shared" si="158"/>
        <v>0.39100000000000001</v>
      </c>
      <c r="L133" s="841">
        <f t="shared" si="158"/>
        <v>9.8000000000000004E-2</v>
      </c>
      <c r="M133" s="841">
        <f t="shared" si="158"/>
        <v>9.8000000000000004E-2</v>
      </c>
      <c r="N133" s="841">
        <f t="shared" si="158"/>
        <v>0.23099999999999998</v>
      </c>
      <c r="O133" s="841">
        <f t="shared" si="158"/>
        <v>0.20299999999999999</v>
      </c>
      <c r="P133" s="840">
        <f t="shared" ref="P133:P135" si="159">P118+P123+P128</f>
        <v>0.63</v>
      </c>
      <c r="Q133" s="841"/>
      <c r="R133" s="841"/>
      <c r="S133" s="841"/>
      <c r="T133" s="841"/>
      <c r="U133" s="840"/>
      <c r="V133" s="841"/>
      <c r="W133" s="841"/>
      <c r="X133" s="841"/>
      <c r="Y133" s="841"/>
      <c r="Z133" s="840"/>
      <c r="AA133" s="841"/>
      <c r="AB133" s="841"/>
      <c r="AC133" s="841"/>
      <c r="AD133" s="841"/>
      <c r="AE133" s="840"/>
      <c r="AF133" s="841"/>
      <c r="AG133" s="841"/>
      <c r="AH133" s="841"/>
      <c r="AI133" s="841"/>
      <c r="AJ133" s="840"/>
      <c r="AK133" s="841"/>
      <c r="AL133" s="841"/>
      <c r="AM133" s="842"/>
      <c r="AN133" s="841"/>
      <c r="AO133" s="840"/>
      <c r="AP133" s="841"/>
      <c r="AQ133" s="841"/>
      <c r="AR133" s="841"/>
      <c r="AS133" s="841"/>
      <c r="AT133" s="840"/>
      <c r="AU133" s="840"/>
      <c r="AV133" s="840"/>
      <c r="AW133" s="840"/>
      <c r="AX133" s="793"/>
    </row>
    <row r="134" spans="1:50" s="29" customFormat="1" hidden="1" outlineLevel="1" x14ac:dyDescent="0.45">
      <c r="A134" s="697" t="s">
        <v>488</v>
      </c>
      <c r="B134" s="683"/>
      <c r="C134" s="840">
        <f t="shared" si="158"/>
        <v>3.9329999999999998</v>
      </c>
      <c r="D134" s="840">
        <f t="shared" si="158"/>
        <v>6.4950000000000001</v>
      </c>
      <c r="E134" s="840">
        <f t="shared" si="158"/>
        <v>5.6310000000000002</v>
      </c>
      <c r="F134" s="840">
        <f t="shared" si="158"/>
        <v>5.4169999999999998</v>
      </c>
      <c r="G134" s="841">
        <f t="shared" si="158"/>
        <v>1.2190000000000001</v>
      </c>
      <c r="H134" s="841">
        <f t="shared" si="158"/>
        <v>1.107</v>
      </c>
      <c r="I134" s="841">
        <f t="shared" si="158"/>
        <v>1.288</v>
      </c>
      <c r="J134" s="841">
        <f t="shared" si="158"/>
        <v>0.79699999999999971</v>
      </c>
      <c r="K134" s="840">
        <f t="shared" si="158"/>
        <v>4.4109999999999996</v>
      </c>
      <c r="L134" s="841">
        <f t="shared" si="158"/>
        <v>0.59200000000000008</v>
      </c>
      <c r="M134" s="841">
        <f t="shared" si="158"/>
        <v>0.82000000000000006</v>
      </c>
      <c r="N134" s="841">
        <f t="shared" si="158"/>
        <v>0.58599999999999997</v>
      </c>
      <c r="O134" s="841">
        <f t="shared" si="158"/>
        <v>1.4630000000000001</v>
      </c>
      <c r="P134" s="840">
        <f t="shared" si="159"/>
        <v>3.4610000000000003</v>
      </c>
      <c r="Q134" s="841"/>
      <c r="R134" s="841"/>
      <c r="S134" s="841"/>
      <c r="T134" s="841"/>
      <c r="U134" s="840"/>
      <c r="V134" s="841"/>
      <c r="W134" s="841"/>
      <c r="X134" s="841"/>
      <c r="Y134" s="841"/>
      <c r="Z134" s="840"/>
      <c r="AA134" s="841"/>
      <c r="AB134" s="841"/>
      <c r="AC134" s="841"/>
      <c r="AD134" s="841"/>
      <c r="AE134" s="840"/>
      <c r="AF134" s="841"/>
      <c r="AG134" s="841"/>
      <c r="AH134" s="841"/>
      <c r="AI134" s="841"/>
      <c r="AJ134" s="840"/>
      <c r="AK134" s="841"/>
      <c r="AL134" s="841"/>
      <c r="AM134" s="842"/>
      <c r="AN134" s="841"/>
      <c r="AO134" s="840"/>
      <c r="AP134" s="841"/>
      <c r="AQ134" s="841"/>
      <c r="AR134" s="841"/>
      <c r="AS134" s="841"/>
      <c r="AT134" s="840"/>
      <c r="AU134" s="840"/>
      <c r="AV134" s="840"/>
      <c r="AW134" s="840"/>
      <c r="AX134" s="793"/>
    </row>
    <row r="135" spans="1:50" s="29" customFormat="1" hidden="1" outlineLevel="1" x14ac:dyDescent="0.45">
      <c r="A135" s="217" t="s">
        <v>489</v>
      </c>
      <c r="B135" s="682"/>
      <c r="C135" s="848">
        <f t="shared" si="158"/>
        <v>1.3679999999999999</v>
      </c>
      <c r="D135" s="848">
        <f t="shared" si="158"/>
        <v>8.2810000000000006</v>
      </c>
      <c r="E135" s="848">
        <f t="shared" si="158"/>
        <v>17.752000000000002</v>
      </c>
      <c r="F135" s="848">
        <f t="shared" si="158"/>
        <v>13.968999999999999</v>
      </c>
      <c r="G135" s="849">
        <f t="shared" si="158"/>
        <v>2.044</v>
      </c>
      <c r="H135" s="849">
        <f t="shared" si="158"/>
        <v>1.0819999999999999</v>
      </c>
      <c r="I135" s="849">
        <f t="shared" si="158"/>
        <v>-0.52600000000000025</v>
      </c>
      <c r="J135" s="849">
        <f t="shared" si="158"/>
        <v>-0.23799999999999977</v>
      </c>
      <c r="K135" s="848">
        <f t="shared" si="158"/>
        <v>2.3620000000000001</v>
      </c>
      <c r="L135" s="849">
        <f t="shared" si="158"/>
        <v>1.153</v>
      </c>
      <c r="M135" s="849">
        <f t="shared" si="158"/>
        <v>0.76600000000000001</v>
      </c>
      <c r="N135" s="849">
        <f t="shared" si="158"/>
        <v>1.7360000000000002</v>
      </c>
      <c r="O135" s="849">
        <f t="shared" si="158"/>
        <v>0.78</v>
      </c>
      <c r="P135" s="848">
        <f t="shared" si="159"/>
        <v>4.4350000000000005</v>
      </c>
      <c r="Q135" s="849"/>
      <c r="R135" s="849"/>
      <c r="S135" s="849"/>
      <c r="T135" s="849"/>
      <c r="U135" s="848"/>
      <c r="V135" s="849"/>
      <c r="W135" s="849"/>
      <c r="X135" s="849"/>
      <c r="Y135" s="849"/>
      <c r="Z135" s="848"/>
      <c r="AA135" s="849"/>
      <c r="AB135" s="849"/>
      <c r="AC135" s="849"/>
      <c r="AD135" s="849"/>
      <c r="AE135" s="848"/>
      <c r="AF135" s="849"/>
      <c r="AG135" s="849"/>
      <c r="AH135" s="849"/>
      <c r="AI135" s="849"/>
      <c r="AJ135" s="848"/>
      <c r="AK135" s="849"/>
      <c r="AL135" s="849"/>
      <c r="AM135" s="850"/>
      <c r="AN135" s="849"/>
      <c r="AO135" s="848"/>
      <c r="AP135" s="849"/>
      <c r="AQ135" s="849"/>
      <c r="AR135" s="849"/>
      <c r="AS135" s="849"/>
      <c r="AT135" s="848"/>
      <c r="AU135" s="848"/>
      <c r="AV135" s="848"/>
      <c r="AW135" s="848"/>
      <c r="AX135" s="793"/>
    </row>
    <row r="136" spans="1:50" s="7" customFormat="1" hidden="1" outlineLevel="1" x14ac:dyDescent="0.45">
      <c r="A136" s="67" t="s">
        <v>490</v>
      </c>
      <c r="B136" s="55"/>
      <c r="C136" s="851">
        <f t="shared" ref="C136:O136" si="160">SUM(C132:C135)</f>
        <v>104.137</v>
      </c>
      <c r="D136" s="851">
        <f t="shared" si="160"/>
        <v>124.529</v>
      </c>
      <c r="E136" s="851">
        <f t="shared" si="160"/>
        <v>148.798</v>
      </c>
      <c r="F136" s="851">
        <f t="shared" si="160"/>
        <v>123.57999999999998</v>
      </c>
      <c r="G136" s="852">
        <f t="shared" si="160"/>
        <v>22.547000000000001</v>
      </c>
      <c r="H136" s="852">
        <f t="shared" si="160"/>
        <v>23.370999999999999</v>
      </c>
      <c r="I136" s="852">
        <f t="shared" si="160"/>
        <v>19.16</v>
      </c>
      <c r="J136" s="852">
        <f t="shared" si="160"/>
        <v>21.704000000000001</v>
      </c>
      <c r="K136" s="851">
        <f t="shared" si="160"/>
        <v>86.781999999999996</v>
      </c>
      <c r="L136" s="852">
        <f t="shared" si="160"/>
        <v>21.008999999999997</v>
      </c>
      <c r="M136" s="852">
        <f t="shared" si="160"/>
        <v>21.269999999999996</v>
      </c>
      <c r="N136" s="852">
        <f t="shared" si="160"/>
        <v>19.997</v>
      </c>
      <c r="O136" s="852">
        <f t="shared" si="160"/>
        <v>22.745000000000001</v>
      </c>
      <c r="P136" s="851">
        <f>SUM(P132:P135)</f>
        <v>85.021000000000001</v>
      </c>
      <c r="Q136" s="852"/>
      <c r="R136" s="852"/>
      <c r="S136" s="852"/>
      <c r="T136" s="852"/>
      <c r="U136" s="851"/>
      <c r="V136" s="852"/>
      <c r="W136" s="852"/>
      <c r="X136" s="852"/>
      <c r="Y136" s="852"/>
      <c r="Z136" s="851"/>
      <c r="AA136" s="852"/>
      <c r="AB136" s="852"/>
      <c r="AC136" s="852"/>
      <c r="AD136" s="852"/>
      <c r="AE136" s="851"/>
      <c r="AF136" s="852"/>
      <c r="AG136" s="852"/>
      <c r="AH136" s="852"/>
      <c r="AI136" s="852"/>
      <c r="AJ136" s="851"/>
      <c r="AK136" s="852"/>
      <c r="AL136" s="852"/>
      <c r="AM136" s="853"/>
      <c r="AN136" s="854"/>
      <c r="AO136" s="855"/>
      <c r="AP136" s="854"/>
      <c r="AQ136" s="854"/>
      <c r="AR136" s="854"/>
      <c r="AS136" s="854"/>
      <c r="AT136" s="855"/>
      <c r="AU136" s="855"/>
      <c r="AV136" s="855"/>
      <c r="AW136" s="855"/>
      <c r="AX136" s="795"/>
    </row>
    <row r="137" spans="1:50" s="29" customFormat="1" ht="6.75" hidden="1" customHeight="1" outlineLevel="1" x14ac:dyDescent="0.45">
      <c r="A137" s="61"/>
      <c r="B137" s="57"/>
      <c r="C137" s="840"/>
      <c r="D137" s="840"/>
      <c r="E137" s="840"/>
      <c r="F137" s="840"/>
      <c r="G137" s="841"/>
      <c r="H137" s="841"/>
      <c r="I137" s="841"/>
      <c r="J137" s="841"/>
      <c r="K137" s="840"/>
      <c r="L137" s="841"/>
      <c r="M137" s="841"/>
      <c r="N137" s="841"/>
      <c r="O137" s="841"/>
      <c r="P137" s="840"/>
      <c r="Q137" s="841"/>
      <c r="R137" s="841"/>
      <c r="S137" s="841"/>
      <c r="T137" s="841"/>
      <c r="U137" s="840"/>
      <c r="V137" s="841"/>
      <c r="W137" s="841"/>
      <c r="X137" s="841"/>
      <c r="Y137" s="841"/>
      <c r="Z137" s="840"/>
      <c r="AA137" s="841"/>
      <c r="AB137" s="841"/>
      <c r="AC137" s="841"/>
      <c r="AD137" s="841"/>
      <c r="AE137" s="840"/>
      <c r="AF137" s="841"/>
      <c r="AG137" s="841"/>
      <c r="AH137" s="841"/>
      <c r="AI137" s="841"/>
      <c r="AJ137" s="840"/>
      <c r="AK137" s="841"/>
      <c r="AL137" s="841"/>
      <c r="AM137" s="842"/>
      <c r="AN137" s="843"/>
      <c r="AO137" s="844"/>
      <c r="AP137" s="843"/>
      <c r="AQ137" s="843"/>
      <c r="AR137" s="843"/>
      <c r="AS137" s="843"/>
      <c r="AT137" s="844"/>
      <c r="AU137" s="844"/>
      <c r="AV137" s="844"/>
      <c r="AW137" s="844"/>
      <c r="AX137" s="793"/>
    </row>
    <row r="138" spans="1:50" s="29" customFormat="1" hidden="1" outlineLevel="1" x14ac:dyDescent="0.45">
      <c r="A138" s="68" t="s">
        <v>491</v>
      </c>
      <c r="B138" s="57"/>
      <c r="C138" s="840">
        <v>80.450999999999993</v>
      </c>
      <c r="D138" s="840">
        <v>93.89</v>
      </c>
      <c r="E138" s="840">
        <v>116.544</v>
      </c>
      <c r="F138" s="840">
        <v>133.904</v>
      </c>
      <c r="G138" s="841">
        <v>33.707000000000001</v>
      </c>
      <c r="H138" s="841">
        <v>35.213999999999999</v>
      </c>
      <c r="I138" s="841">
        <v>35.343000000000004</v>
      </c>
      <c r="J138" s="841">
        <f t="shared" ref="J138:J141" si="161">+K138-SUM(G138,H138,I138)</f>
        <v>36.762000000000015</v>
      </c>
      <c r="K138" s="840">
        <v>141.02600000000001</v>
      </c>
      <c r="L138" s="841">
        <v>36.603000000000002</v>
      </c>
      <c r="M138" s="841">
        <v>37.125999999999998</v>
      </c>
      <c r="N138" s="841">
        <v>38.284999999999997</v>
      </c>
      <c r="O138" s="841">
        <f>+P138-SUM(L138,M138,N138)</f>
        <v>38.36999999999999</v>
      </c>
      <c r="P138" s="840">
        <v>150.38399999999999</v>
      </c>
      <c r="Q138" s="841"/>
      <c r="R138" s="841"/>
      <c r="S138" s="841"/>
      <c r="T138" s="841"/>
      <c r="U138" s="840"/>
      <c r="V138" s="841"/>
      <c r="W138" s="841"/>
      <c r="X138" s="841"/>
      <c r="Y138" s="841"/>
      <c r="Z138" s="840"/>
      <c r="AA138" s="841"/>
      <c r="AB138" s="841"/>
      <c r="AC138" s="841"/>
      <c r="AD138" s="841"/>
      <c r="AE138" s="840"/>
      <c r="AF138" s="841"/>
      <c r="AG138" s="841"/>
      <c r="AH138" s="841"/>
      <c r="AI138" s="841"/>
      <c r="AJ138" s="840"/>
      <c r="AK138" s="841"/>
      <c r="AL138" s="841"/>
      <c r="AM138" s="842"/>
      <c r="AN138" s="843"/>
      <c r="AO138" s="844"/>
      <c r="AP138" s="843"/>
      <c r="AQ138" s="843"/>
      <c r="AR138" s="843"/>
      <c r="AS138" s="843"/>
      <c r="AT138" s="844"/>
      <c r="AU138" s="844"/>
      <c r="AV138" s="844"/>
      <c r="AW138" s="844"/>
      <c r="AX138" s="793"/>
    </row>
    <row r="139" spans="1:50" s="29" customFormat="1" hidden="1" outlineLevel="1" x14ac:dyDescent="0.45">
      <c r="A139" s="68" t="s">
        <v>492</v>
      </c>
      <c r="B139" s="57"/>
      <c r="C139" s="840">
        <v>0.108</v>
      </c>
      <c r="D139" s="840">
        <v>0.158</v>
      </c>
      <c r="E139" s="840">
        <v>9.6000000000000002E-2</v>
      </c>
      <c r="F139" s="840">
        <v>0.83899999999999997</v>
      </c>
      <c r="G139" s="841">
        <v>0.20799999999999999</v>
      </c>
      <c r="H139" s="841">
        <v>0.16</v>
      </c>
      <c r="I139" s="841">
        <v>0.14299999999999999</v>
      </c>
      <c r="J139" s="841">
        <f t="shared" si="161"/>
        <v>0.14100000000000001</v>
      </c>
      <c r="K139" s="840">
        <v>0.65200000000000002</v>
      </c>
      <c r="L139" s="841">
        <v>0.13900000000000001</v>
      </c>
      <c r="M139" s="841">
        <v>0.13900000000000001</v>
      </c>
      <c r="N139" s="841">
        <v>0.152</v>
      </c>
      <c r="O139" s="841">
        <f t="shared" ref="O139:O141" si="162">+P139-SUM(L139,M139,N139)</f>
        <v>0.1399999999999999</v>
      </c>
      <c r="P139" s="840">
        <v>0.56999999999999995</v>
      </c>
      <c r="Q139" s="841"/>
      <c r="R139" s="841"/>
      <c r="S139" s="841"/>
      <c r="T139" s="841"/>
      <c r="U139" s="840"/>
      <c r="V139" s="841"/>
      <c r="W139" s="841"/>
      <c r="X139" s="841"/>
      <c r="Y139" s="841"/>
      <c r="Z139" s="840"/>
      <c r="AA139" s="841"/>
      <c r="AB139" s="841"/>
      <c r="AC139" s="841"/>
      <c r="AD139" s="841"/>
      <c r="AE139" s="840"/>
      <c r="AF139" s="841"/>
      <c r="AG139" s="841"/>
      <c r="AH139" s="841"/>
      <c r="AI139" s="841"/>
      <c r="AJ139" s="840"/>
      <c r="AK139" s="841"/>
      <c r="AL139" s="841"/>
      <c r="AM139" s="842"/>
      <c r="AN139" s="843"/>
      <c r="AO139" s="844"/>
      <c r="AP139" s="843"/>
      <c r="AQ139" s="843"/>
      <c r="AR139" s="843"/>
      <c r="AS139" s="843"/>
      <c r="AT139" s="844"/>
      <c r="AU139" s="844"/>
      <c r="AV139" s="844"/>
      <c r="AW139" s="844"/>
      <c r="AX139" s="793"/>
    </row>
    <row r="140" spans="1:50" s="29" customFormat="1" hidden="1" outlineLevel="1" x14ac:dyDescent="0.45">
      <c r="A140" s="68" t="s">
        <v>493</v>
      </c>
      <c r="B140" s="57"/>
      <c r="C140" s="840">
        <v>7.2169999999999996</v>
      </c>
      <c r="D140" s="840">
        <v>7.3289999999999997</v>
      </c>
      <c r="E140" s="840">
        <v>7.6390000000000002</v>
      </c>
      <c r="F140" s="840">
        <v>7.9020000000000001</v>
      </c>
      <c r="G140" s="841">
        <v>2.1110000000000002</v>
      </c>
      <c r="H140" s="841">
        <v>2.0750000000000002</v>
      </c>
      <c r="I140" s="841">
        <v>2.09</v>
      </c>
      <c r="J140" s="841">
        <f t="shared" si="161"/>
        <v>2.125</v>
      </c>
      <c r="K140" s="840">
        <v>8.4009999999999998</v>
      </c>
      <c r="L140" s="841">
        <v>1.881</v>
      </c>
      <c r="M140" s="841">
        <v>2.1619999999999999</v>
      </c>
      <c r="N140" s="841">
        <v>2.1659999999999999</v>
      </c>
      <c r="O140" s="841">
        <f t="shared" si="162"/>
        <v>1.875</v>
      </c>
      <c r="P140" s="840">
        <v>8.0839999999999996</v>
      </c>
      <c r="Q140" s="841"/>
      <c r="R140" s="841"/>
      <c r="S140" s="841"/>
      <c r="T140" s="841"/>
      <c r="U140" s="840"/>
      <c r="V140" s="841"/>
      <c r="W140" s="841"/>
      <c r="X140" s="841"/>
      <c r="Y140" s="841"/>
      <c r="Z140" s="840"/>
      <c r="AA140" s="841"/>
      <c r="AB140" s="841"/>
      <c r="AC140" s="841"/>
      <c r="AD140" s="841"/>
      <c r="AE140" s="840"/>
      <c r="AF140" s="841"/>
      <c r="AG140" s="841"/>
      <c r="AH140" s="841"/>
      <c r="AI140" s="841"/>
      <c r="AJ140" s="840"/>
      <c r="AK140" s="841"/>
      <c r="AL140" s="841"/>
      <c r="AM140" s="842"/>
      <c r="AN140" s="843"/>
      <c r="AO140" s="844"/>
      <c r="AP140" s="843"/>
      <c r="AQ140" s="843"/>
      <c r="AR140" s="843"/>
      <c r="AS140" s="843"/>
      <c r="AT140" s="844"/>
      <c r="AU140" s="844"/>
      <c r="AV140" s="844"/>
      <c r="AW140" s="844"/>
      <c r="AX140" s="793"/>
    </row>
    <row r="141" spans="1:50" s="29" customFormat="1" hidden="1" outlineLevel="1" x14ac:dyDescent="0.45">
      <c r="A141" s="68" t="s">
        <v>494</v>
      </c>
      <c r="B141" s="57"/>
      <c r="C141" s="840">
        <v>1.4159999999999999</v>
      </c>
      <c r="D141" s="840">
        <v>8.6419999999999995</v>
      </c>
      <c r="E141" s="840">
        <v>14.553000000000001</v>
      </c>
      <c r="F141" s="840">
        <v>14.125999999999999</v>
      </c>
      <c r="G141" s="841">
        <v>2.5819999999999999</v>
      </c>
      <c r="H141" s="841">
        <v>2.8639999999999999</v>
      </c>
      <c r="I141" s="841">
        <v>2.1869999999999998</v>
      </c>
      <c r="J141" s="841">
        <f t="shared" si="161"/>
        <v>2.3480000000000008</v>
      </c>
      <c r="K141" s="840">
        <v>9.9809999999999999</v>
      </c>
      <c r="L141" s="841">
        <v>2.1819999999999999</v>
      </c>
      <c r="M141" s="841">
        <v>2.7080000000000002</v>
      </c>
      <c r="N141" s="841">
        <v>2.4420000000000002</v>
      </c>
      <c r="O141" s="841">
        <f t="shared" si="162"/>
        <v>2.8489999999999984</v>
      </c>
      <c r="P141" s="840">
        <v>10.180999999999999</v>
      </c>
      <c r="Q141" s="841"/>
      <c r="R141" s="841"/>
      <c r="S141" s="841"/>
      <c r="T141" s="841"/>
      <c r="U141" s="840"/>
      <c r="V141" s="841"/>
      <c r="W141" s="841"/>
      <c r="X141" s="841"/>
      <c r="Y141" s="841"/>
      <c r="Z141" s="840"/>
      <c r="AA141" s="841"/>
      <c r="AB141" s="841"/>
      <c r="AC141" s="841"/>
      <c r="AD141" s="841"/>
      <c r="AE141" s="840"/>
      <c r="AF141" s="841"/>
      <c r="AG141" s="841"/>
      <c r="AH141" s="841"/>
      <c r="AI141" s="841"/>
      <c r="AJ141" s="840"/>
      <c r="AK141" s="841"/>
      <c r="AL141" s="841"/>
      <c r="AM141" s="842"/>
      <c r="AN141" s="843"/>
      <c r="AO141" s="844"/>
      <c r="AP141" s="843"/>
      <c r="AQ141" s="843"/>
      <c r="AR141" s="843"/>
      <c r="AS141" s="843"/>
      <c r="AT141" s="844"/>
      <c r="AU141" s="844"/>
      <c r="AV141" s="844"/>
      <c r="AW141" s="844"/>
      <c r="AX141" s="793"/>
    </row>
    <row r="142" spans="1:50" s="7" customFormat="1" hidden="1" outlineLevel="1" x14ac:dyDescent="0.45">
      <c r="A142" s="698" t="s">
        <v>495</v>
      </c>
      <c r="B142" s="87"/>
      <c r="C142" s="845">
        <f t="shared" ref="C142:P142" si="163">SUM(C138:C141)</f>
        <v>89.191999999999993</v>
      </c>
      <c r="D142" s="845">
        <f t="shared" si="163"/>
        <v>110.01899999999999</v>
      </c>
      <c r="E142" s="845">
        <f t="shared" si="163"/>
        <v>138.83199999999999</v>
      </c>
      <c r="F142" s="845">
        <f t="shared" si="163"/>
        <v>156.77099999999999</v>
      </c>
      <c r="G142" s="846">
        <f t="shared" si="163"/>
        <v>38.607999999999997</v>
      </c>
      <c r="H142" s="846">
        <f t="shared" si="163"/>
        <v>40.312999999999995</v>
      </c>
      <c r="I142" s="846">
        <f t="shared" si="163"/>
        <v>39.763000000000005</v>
      </c>
      <c r="J142" s="846">
        <f t="shared" si="163"/>
        <v>41.376000000000012</v>
      </c>
      <c r="K142" s="845">
        <f t="shared" si="163"/>
        <v>160.06</v>
      </c>
      <c r="L142" s="846">
        <f t="shared" si="163"/>
        <v>40.805000000000007</v>
      </c>
      <c r="M142" s="846">
        <f t="shared" si="163"/>
        <v>42.134999999999998</v>
      </c>
      <c r="N142" s="846">
        <f t="shared" si="163"/>
        <v>43.044999999999995</v>
      </c>
      <c r="O142" s="846">
        <f t="shared" si="163"/>
        <v>43.233999999999988</v>
      </c>
      <c r="P142" s="845">
        <f t="shared" si="163"/>
        <v>169.21899999999999</v>
      </c>
      <c r="Q142" s="846"/>
      <c r="R142" s="846"/>
      <c r="S142" s="846"/>
      <c r="T142" s="846"/>
      <c r="U142" s="845"/>
      <c r="V142" s="846"/>
      <c r="W142" s="846"/>
      <c r="X142" s="846"/>
      <c r="Y142" s="846"/>
      <c r="Z142" s="845"/>
      <c r="AA142" s="846"/>
      <c r="AB142" s="846"/>
      <c r="AC142" s="846"/>
      <c r="AD142" s="846"/>
      <c r="AE142" s="845"/>
      <c r="AF142" s="846"/>
      <c r="AG142" s="846"/>
      <c r="AH142" s="846"/>
      <c r="AI142" s="846"/>
      <c r="AJ142" s="845"/>
      <c r="AK142" s="846"/>
      <c r="AL142" s="846"/>
      <c r="AM142" s="847"/>
      <c r="AN142" s="846"/>
      <c r="AO142" s="845"/>
      <c r="AP142" s="846"/>
      <c r="AQ142" s="846"/>
      <c r="AR142" s="846"/>
      <c r="AS142" s="846"/>
      <c r="AT142" s="845"/>
      <c r="AU142" s="845"/>
      <c r="AV142" s="845"/>
      <c r="AW142" s="845"/>
      <c r="AX142" s="795"/>
    </row>
    <row r="143" spans="1:50" s="29" customFormat="1" hidden="1" outlineLevel="1" x14ac:dyDescent="0.45">
      <c r="A143" s="697" t="s">
        <v>496</v>
      </c>
      <c r="B143" s="683"/>
      <c r="C143" s="840"/>
      <c r="D143" s="840"/>
      <c r="E143" s="840"/>
      <c r="F143" s="840"/>
      <c r="G143" s="841"/>
      <c r="H143" s="841"/>
      <c r="I143" s="841"/>
      <c r="J143" s="841"/>
      <c r="K143" s="840"/>
      <c r="L143" s="841"/>
      <c r="M143" s="841"/>
      <c r="N143" s="841"/>
      <c r="O143" s="841"/>
      <c r="P143" s="840"/>
      <c r="Q143" s="841"/>
      <c r="R143" s="841"/>
      <c r="S143" s="841"/>
      <c r="T143" s="841"/>
      <c r="U143" s="840"/>
      <c r="V143" s="841"/>
      <c r="W143" s="841"/>
      <c r="X143" s="841"/>
      <c r="Y143" s="841"/>
      <c r="Z143" s="840"/>
      <c r="AA143" s="841"/>
      <c r="AB143" s="841"/>
      <c r="AC143" s="841"/>
      <c r="AD143" s="841"/>
      <c r="AE143" s="840"/>
      <c r="AF143" s="841"/>
      <c r="AG143" s="841"/>
      <c r="AH143" s="841"/>
      <c r="AI143" s="841"/>
      <c r="AJ143" s="840"/>
      <c r="AK143" s="841"/>
      <c r="AL143" s="841"/>
      <c r="AM143" s="842"/>
      <c r="AN143" s="841"/>
      <c r="AO143" s="840"/>
      <c r="AP143" s="841"/>
      <c r="AQ143" s="841"/>
      <c r="AR143" s="841"/>
      <c r="AS143" s="841"/>
      <c r="AT143" s="840"/>
      <c r="AU143" s="840"/>
      <c r="AV143" s="840"/>
      <c r="AW143" s="840"/>
      <c r="AX143" s="793"/>
    </row>
    <row r="144" spans="1:50" s="29" customFormat="1" hidden="1" outlineLevel="1" x14ac:dyDescent="0.45">
      <c r="A144" s="697" t="s">
        <v>497</v>
      </c>
      <c r="B144" s="683"/>
      <c r="C144" s="840">
        <v>36.664999999999999</v>
      </c>
      <c r="D144" s="840">
        <v>45.064999999999998</v>
      </c>
      <c r="E144" s="840">
        <v>45.572000000000003</v>
      </c>
      <c r="F144" s="840">
        <v>59.219000000000001</v>
      </c>
      <c r="G144" s="841">
        <v>16.015000000000001</v>
      </c>
      <c r="H144" s="841">
        <v>15.467000000000001</v>
      </c>
      <c r="I144" s="841">
        <v>16.178000000000001</v>
      </c>
      <c r="J144" s="841">
        <f>+K144-SUM(G144,H144,I144)</f>
        <v>15.316000000000003</v>
      </c>
      <c r="K144" s="840">
        <v>62.975999999999999</v>
      </c>
      <c r="L144" s="841">
        <v>16.693000000000001</v>
      </c>
      <c r="M144" s="841">
        <v>17.431999999999999</v>
      </c>
      <c r="N144" s="841">
        <v>20.391999999999999</v>
      </c>
      <c r="O144" s="841">
        <f>+P144-SUM(L144,M144,N144)</f>
        <v>19.72</v>
      </c>
      <c r="P144" s="840">
        <v>74.236999999999995</v>
      </c>
      <c r="Q144" s="841"/>
      <c r="R144" s="841"/>
      <c r="S144" s="841"/>
      <c r="T144" s="841"/>
      <c r="U144" s="840"/>
      <c r="V144" s="841"/>
      <c r="W144" s="841"/>
      <c r="X144" s="841"/>
      <c r="Y144" s="841"/>
      <c r="Z144" s="840"/>
      <c r="AA144" s="841"/>
      <c r="AB144" s="841"/>
      <c r="AC144" s="841"/>
      <c r="AD144" s="841"/>
      <c r="AE144" s="840"/>
      <c r="AF144" s="841"/>
      <c r="AG144" s="841"/>
      <c r="AH144" s="841"/>
      <c r="AI144" s="841"/>
      <c r="AJ144" s="840"/>
      <c r="AK144" s="841"/>
      <c r="AL144" s="841"/>
      <c r="AM144" s="842"/>
      <c r="AN144" s="841"/>
      <c r="AO144" s="840"/>
      <c r="AP144" s="841"/>
      <c r="AQ144" s="841"/>
      <c r="AR144" s="841"/>
      <c r="AS144" s="841"/>
      <c r="AT144" s="840"/>
      <c r="AU144" s="840"/>
      <c r="AV144" s="840"/>
      <c r="AW144" s="840"/>
      <c r="AX144" s="793"/>
    </row>
    <row r="145" spans="1:50" s="29" customFormat="1" hidden="1" outlineLevel="1" x14ac:dyDescent="0.45">
      <c r="A145" s="697" t="s">
        <v>498</v>
      </c>
      <c r="B145" s="683"/>
      <c r="C145" s="840"/>
      <c r="D145" s="840"/>
      <c r="E145" s="840"/>
      <c r="F145" s="840"/>
      <c r="G145" s="841"/>
      <c r="H145" s="841"/>
      <c r="I145" s="841"/>
      <c r="J145" s="841"/>
      <c r="K145" s="840"/>
      <c r="L145" s="841"/>
      <c r="M145" s="841"/>
      <c r="N145" s="841"/>
      <c r="O145" s="841"/>
      <c r="P145" s="840"/>
      <c r="Q145" s="841"/>
      <c r="R145" s="841"/>
      <c r="S145" s="841"/>
      <c r="T145" s="841"/>
      <c r="U145" s="840"/>
      <c r="V145" s="841"/>
      <c r="W145" s="841"/>
      <c r="X145" s="841"/>
      <c r="Y145" s="841"/>
      <c r="Z145" s="840"/>
      <c r="AA145" s="841"/>
      <c r="AB145" s="841"/>
      <c r="AC145" s="841"/>
      <c r="AD145" s="841"/>
      <c r="AE145" s="840"/>
      <c r="AF145" s="841"/>
      <c r="AG145" s="841"/>
      <c r="AH145" s="841"/>
      <c r="AI145" s="841"/>
      <c r="AJ145" s="840"/>
      <c r="AK145" s="841"/>
      <c r="AL145" s="841"/>
      <c r="AM145" s="842"/>
      <c r="AN145" s="841"/>
      <c r="AO145" s="840"/>
      <c r="AP145" s="841"/>
      <c r="AQ145" s="841"/>
      <c r="AR145" s="841"/>
      <c r="AS145" s="841"/>
      <c r="AT145" s="840"/>
      <c r="AU145" s="840"/>
      <c r="AV145" s="840"/>
      <c r="AW145" s="840"/>
      <c r="AX145" s="793"/>
    </row>
    <row r="146" spans="1:50" s="29" customFormat="1" hidden="1" outlineLevel="1" x14ac:dyDescent="0.45">
      <c r="A146" s="217" t="s">
        <v>499</v>
      </c>
      <c r="B146" s="682"/>
      <c r="C146" s="848"/>
      <c r="D146" s="848"/>
      <c r="E146" s="848"/>
      <c r="F146" s="848"/>
      <c r="G146" s="849"/>
      <c r="H146" s="849"/>
      <c r="I146" s="849"/>
      <c r="J146" s="849"/>
      <c r="K146" s="848"/>
      <c r="L146" s="849"/>
      <c r="M146" s="849"/>
      <c r="N146" s="849"/>
      <c r="O146" s="849"/>
      <c r="P146" s="848"/>
      <c r="Q146" s="849"/>
      <c r="R146" s="849"/>
      <c r="S146" s="849"/>
      <c r="T146" s="849"/>
      <c r="U146" s="848"/>
      <c r="V146" s="849"/>
      <c r="W146" s="849"/>
      <c r="X146" s="849"/>
      <c r="Y146" s="849"/>
      <c r="Z146" s="848"/>
      <c r="AA146" s="849"/>
      <c r="AB146" s="849"/>
      <c r="AC146" s="849"/>
      <c r="AD146" s="849"/>
      <c r="AE146" s="848"/>
      <c r="AF146" s="849"/>
      <c r="AG146" s="849"/>
      <c r="AH146" s="849"/>
      <c r="AI146" s="849"/>
      <c r="AJ146" s="848"/>
      <c r="AK146" s="849"/>
      <c r="AL146" s="849"/>
      <c r="AM146" s="850"/>
      <c r="AN146" s="849"/>
      <c r="AO146" s="848"/>
      <c r="AP146" s="849"/>
      <c r="AQ146" s="849"/>
      <c r="AR146" s="849"/>
      <c r="AS146" s="849"/>
      <c r="AT146" s="848"/>
      <c r="AU146" s="848"/>
      <c r="AV146" s="848"/>
      <c r="AW146" s="848"/>
      <c r="AX146" s="793"/>
    </row>
    <row r="147" spans="1:50" s="7" customFormat="1" hidden="1" outlineLevel="1" x14ac:dyDescent="0.45">
      <c r="A147" s="67" t="s">
        <v>500</v>
      </c>
      <c r="B147" s="55"/>
      <c r="C147" s="851">
        <f t="shared" ref="C147:P147" si="164">SUM(C143:C146)</f>
        <v>36.664999999999999</v>
      </c>
      <c r="D147" s="851">
        <f t="shared" si="164"/>
        <v>45.064999999999998</v>
      </c>
      <c r="E147" s="851">
        <f t="shared" si="164"/>
        <v>45.572000000000003</v>
      </c>
      <c r="F147" s="851">
        <f t="shared" si="164"/>
        <v>59.219000000000001</v>
      </c>
      <c r="G147" s="852">
        <f t="shared" si="164"/>
        <v>16.015000000000001</v>
      </c>
      <c r="H147" s="852">
        <f t="shared" si="164"/>
        <v>15.467000000000001</v>
      </c>
      <c r="I147" s="852">
        <f t="shared" si="164"/>
        <v>16.178000000000001</v>
      </c>
      <c r="J147" s="852">
        <f t="shared" si="164"/>
        <v>15.316000000000003</v>
      </c>
      <c r="K147" s="851">
        <f t="shared" si="164"/>
        <v>62.975999999999999</v>
      </c>
      <c r="L147" s="852">
        <f t="shared" si="164"/>
        <v>16.693000000000001</v>
      </c>
      <c r="M147" s="852">
        <f t="shared" si="164"/>
        <v>17.431999999999999</v>
      </c>
      <c r="N147" s="852">
        <f t="shared" si="164"/>
        <v>20.391999999999999</v>
      </c>
      <c r="O147" s="852">
        <f t="shared" si="164"/>
        <v>19.72</v>
      </c>
      <c r="P147" s="851">
        <f t="shared" si="164"/>
        <v>74.236999999999995</v>
      </c>
      <c r="Q147" s="852"/>
      <c r="R147" s="852"/>
      <c r="S147" s="852"/>
      <c r="T147" s="852"/>
      <c r="U147" s="851"/>
      <c r="V147" s="852"/>
      <c r="W147" s="852"/>
      <c r="X147" s="852"/>
      <c r="Y147" s="852"/>
      <c r="Z147" s="851"/>
      <c r="AA147" s="852"/>
      <c r="AB147" s="852"/>
      <c r="AC147" s="852"/>
      <c r="AD147" s="852"/>
      <c r="AE147" s="851"/>
      <c r="AF147" s="852"/>
      <c r="AG147" s="852"/>
      <c r="AH147" s="852"/>
      <c r="AI147" s="852"/>
      <c r="AJ147" s="851"/>
      <c r="AK147" s="852"/>
      <c r="AL147" s="852"/>
      <c r="AM147" s="853"/>
      <c r="AN147" s="854"/>
      <c r="AO147" s="855"/>
      <c r="AP147" s="854"/>
      <c r="AQ147" s="854"/>
      <c r="AR147" s="854"/>
      <c r="AS147" s="854"/>
      <c r="AT147" s="855"/>
      <c r="AU147" s="855"/>
      <c r="AV147" s="855"/>
      <c r="AW147" s="855"/>
      <c r="AX147" s="795"/>
    </row>
    <row r="148" spans="1:50" s="29" customFormat="1" hidden="1" outlineLevel="1" x14ac:dyDescent="0.45">
      <c r="A148" s="68" t="s">
        <v>501</v>
      </c>
      <c r="B148" s="57"/>
      <c r="C148" s="840">
        <v>29.997</v>
      </c>
      <c r="D148" s="840">
        <v>36.131</v>
      </c>
      <c r="E148" s="840">
        <v>44.213999999999999</v>
      </c>
      <c r="F148" s="840">
        <v>54.280999999999999</v>
      </c>
      <c r="G148" s="841">
        <v>15.236000000000001</v>
      </c>
      <c r="H148" s="841">
        <v>15.113</v>
      </c>
      <c r="I148" s="841">
        <v>15.242000000000001</v>
      </c>
      <c r="J148" s="841">
        <f t="shared" ref="J148:J151" si="165">+K148-SUM(G148,H148,I148)</f>
        <v>16.015000000000001</v>
      </c>
      <c r="K148" s="840">
        <v>61.606000000000002</v>
      </c>
      <c r="L148" s="841">
        <v>16.8</v>
      </c>
      <c r="M148" s="841">
        <v>17.428999999999998</v>
      </c>
      <c r="N148" s="841">
        <v>17.632999999999999</v>
      </c>
      <c r="O148" s="841">
        <f t="shared" ref="O148:O151" si="166">+P148-SUM(L148,M148,N148)</f>
        <v>18.649000000000001</v>
      </c>
      <c r="P148" s="840">
        <v>70.510999999999996</v>
      </c>
      <c r="Q148" s="841"/>
      <c r="R148" s="841"/>
      <c r="S148" s="841"/>
      <c r="T148" s="841"/>
      <c r="U148" s="840"/>
      <c r="V148" s="841"/>
      <c r="W148" s="841"/>
      <c r="X148" s="841"/>
      <c r="Y148" s="841"/>
      <c r="Z148" s="840"/>
      <c r="AA148" s="841"/>
      <c r="AB148" s="841"/>
      <c r="AC148" s="841"/>
      <c r="AD148" s="841"/>
      <c r="AE148" s="840"/>
      <c r="AF148" s="841"/>
      <c r="AG148" s="841"/>
      <c r="AH148" s="841"/>
      <c r="AI148" s="841"/>
      <c r="AJ148" s="840"/>
      <c r="AK148" s="841"/>
      <c r="AL148" s="841"/>
      <c r="AM148" s="842"/>
      <c r="AN148" s="843"/>
      <c r="AO148" s="844"/>
      <c r="AP148" s="843"/>
      <c r="AQ148" s="843"/>
      <c r="AR148" s="843"/>
      <c r="AS148" s="843"/>
      <c r="AT148" s="844"/>
      <c r="AU148" s="844"/>
      <c r="AV148" s="844"/>
      <c r="AW148" s="844"/>
      <c r="AX148" s="793"/>
    </row>
    <row r="149" spans="1:50" s="29" customFormat="1" hidden="1" outlineLevel="1" x14ac:dyDescent="0.45">
      <c r="A149" s="68" t="s">
        <v>502</v>
      </c>
      <c r="B149" s="57"/>
      <c r="C149" s="840"/>
      <c r="D149" s="840"/>
      <c r="E149" s="840"/>
      <c r="F149" s="840">
        <v>0.23499999999999999</v>
      </c>
      <c r="G149" s="841">
        <v>1.2999999999999999E-2</v>
      </c>
      <c r="H149" s="841">
        <v>2.3E-2</v>
      </c>
      <c r="I149" s="841">
        <v>0.03</v>
      </c>
      <c r="J149" s="841">
        <f t="shared" si="165"/>
        <v>1.6E-2</v>
      </c>
      <c r="K149" s="840">
        <v>8.2000000000000003E-2</v>
      </c>
      <c r="L149" s="841">
        <v>0.189</v>
      </c>
      <c r="M149" s="841">
        <v>0.191</v>
      </c>
      <c r="N149" s="841">
        <v>0.216</v>
      </c>
      <c r="O149" s="841">
        <f t="shared" si="166"/>
        <v>0.35399999999999998</v>
      </c>
      <c r="P149" s="840">
        <v>0.95</v>
      </c>
      <c r="Q149" s="841"/>
      <c r="R149" s="841"/>
      <c r="S149" s="841"/>
      <c r="T149" s="841"/>
      <c r="U149" s="840"/>
      <c r="V149" s="841"/>
      <c r="W149" s="841"/>
      <c r="X149" s="841"/>
      <c r="Y149" s="841"/>
      <c r="Z149" s="840"/>
      <c r="AA149" s="841"/>
      <c r="AB149" s="841"/>
      <c r="AC149" s="841"/>
      <c r="AD149" s="841"/>
      <c r="AE149" s="840"/>
      <c r="AF149" s="841"/>
      <c r="AG149" s="841"/>
      <c r="AH149" s="841"/>
      <c r="AI149" s="841"/>
      <c r="AJ149" s="840"/>
      <c r="AK149" s="841"/>
      <c r="AL149" s="841"/>
      <c r="AM149" s="842"/>
      <c r="AN149" s="843"/>
      <c r="AO149" s="844"/>
      <c r="AP149" s="843"/>
      <c r="AQ149" s="843"/>
      <c r="AR149" s="843"/>
      <c r="AS149" s="843"/>
      <c r="AT149" s="844"/>
      <c r="AU149" s="844"/>
      <c r="AV149" s="844"/>
      <c r="AW149" s="844"/>
      <c r="AX149" s="793"/>
    </row>
    <row r="150" spans="1:50" s="29" customFormat="1" hidden="1" outlineLevel="1" x14ac:dyDescent="0.45">
      <c r="A150" s="68" t="s">
        <v>503</v>
      </c>
      <c r="B150" s="57"/>
      <c r="C150" s="840">
        <v>5.0380000000000003</v>
      </c>
      <c r="D150" s="840">
        <v>4.891</v>
      </c>
      <c r="E150" s="840">
        <v>5.0449999999999999</v>
      </c>
      <c r="F150" s="840">
        <v>5.1520000000000001</v>
      </c>
      <c r="G150" s="841">
        <v>1.4059999999999999</v>
      </c>
      <c r="H150" s="841">
        <v>1.37</v>
      </c>
      <c r="I150" s="841">
        <v>1.3280000000000001</v>
      </c>
      <c r="J150" s="841">
        <f t="shared" si="165"/>
        <v>1.359</v>
      </c>
      <c r="K150" s="840">
        <v>5.4630000000000001</v>
      </c>
      <c r="L150" s="841">
        <v>1.29</v>
      </c>
      <c r="M150" s="841">
        <v>1.256</v>
      </c>
      <c r="N150" s="841">
        <v>1.1779999999999999</v>
      </c>
      <c r="O150" s="841">
        <f t="shared" si="166"/>
        <v>1.0599999999999996</v>
      </c>
      <c r="P150" s="840">
        <v>4.7839999999999998</v>
      </c>
      <c r="Q150" s="841"/>
      <c r="R150" s="841"/>
      <c r="S150" s="841"/>
      <c r="T150" s="841"/>
      <c r="U150" s="840"/>
      <c r="V150" s="841"/>
      <c r="W150" s="841"/>
      <c r="X150" s="841"/>
      <c r="Y150" s="841"/>
      <c r="Z150" s="840"/>
      <c r="AA150" s="841"/>
      <c r="AB150" s="841"/>
      <c r="AC150" s="841"/>
      <c r="AD150" s="841"/>
      <c r="AE150" s="840"/>
      <c r="AF150" s="841"/>
      <c r="AG150" s="841"/>
      <c r="AH150" s="841"/>
      <c r="AI150" s="841"/>
      <c r="AJ150" s="840"/>
      <c r="AK150" s="841"/>
      <c r="AL150" s="841"/>
      <c r="AM150" s="842"/>
      <c r="AN150" s="843"/>
      <c r="AO150" s="844"/>
      <c r="AP150" s="843"/>
      <c r="AQ150" s="843"/>
      <c r="AR150" s="843"/>
      <c r="AS150" s="843"/>
      <c r="AT150" s="844"/>
      <c r="AU150" s="844"/>
      <c r="AV150" s="844"/>
      <c r="AW150" s="844"/>
      <c r="AX150" s="793"/>
    </row>
    <row r="151" spans="1:50" s="29" customFormat="1" hidden="1" outlineLevel="1" x14ac:dyDescent="0.45">
      <c r="A151" s="68" t="s">
        <v>504</v>
      </c>
      <c r="B151" s="57"/>
      <c r="C151" s="840"/>
      <c r="D151" s="840"/>
      <c r="E151" s="840"/>
      <c r="F151" s="840">
        <v>4.1000000000000002E-2</v>
      </c>
      <c r="G151" s="841">
        <v>3.6999999999999998E-2</v>
      </c>
      <c r="H151" s="841">
        <v>3.9E-2</v>
      </c>
      <c r="I151" s="841">
        <v>3.6999999999999998E-2</v>
      </c>
      <c r="J151" s="841">
        <f t="shared" si="165"/>
        <v>3.1E-2</v>
      </c>
      <c r="K151" s="840">
        <v>0.14399999999999999</v>
      </c>
      <c r="L151" s="841">
        <v>0.04</v>
      </c>
      <c r="M151" s="841">
        <v>0.03</v>
      </c>
      <c r="N151" s="841">
        <v>2.4E-2</v>
      </c>
      <c r="O151" s="841">
        <f t="shared" si="166"/>
        <v>1.9000000000000003E-2</v>
      </c>
      <c r="P151" s="840">
        <v>0.113</v>
      </c>
      <c r="Q151" s="841"/>
      <c r="R151" s="841"/>
      <c r="S151" s="841"/>
      <c r="T151" s="841"/>
      <c r="U151" s="840"/>
      <c r="V151" s="841"/>
      <c r="W151" s="841"/>
      <c r="X151" s="841"/>
      <c r="Y151" s="841"/>
      <c r="Z151" s="840"/>
      <c r="AA151" s="841"/>
      <c r="AB151" s="841"/>
      <c r="AC151" s="841"/>
      <c r="AD151" s="841"/>
      <c r="AE151" s="840"/>
      <c r="AF151" s="841"/>
      <c r="AG151" s="841"/>
      <c r="AH151" s="841"/>
      <c r="AI151" s="841"/>
      <c r="AJ151" s="840"/>
      <c r="AK151" s="841"/>
      <c r="AL151" s="841"/>
      <c r="AM151" s="842"/>
      <c r="AN151" s="843"/>
      <c r="AO151" s="844"/>
      <c r="AP151" s="843"/>
      <c r="AQ151" s="843"/>
      <c r="AR151" s="843"/>
      <c r="AS151" s="843"/>
      <c r="AT151" s="844"/>
      <c r="AU151" s="844"/>
      <c r="AV151" s="844"/>
      <c r="AW151" s="844"/>
      <c r="AX151" s="793"/>
    </row>
    <row r="152" spans="1:50" s="7" customFormat="1" hidden="1" outlineLevel="1" x14ac:dyDescent="0.45">
      <c r="A152" s="698" t="s">
        <v>505</v>
      </c>
      <c r="B152" s="87"/>
      <c r="C152" s="845">
        <f t="shared" ref="C152:P152" si="167">SUM(C148:C151)</f>
        <v>35.034999999999997</v>
      </c>
      <c r="D152" s="845">
        <f t="shared" si="167"/>
        <v>41.021999999999998</v>
      </c>
      <c r="E152" s="845">
        <f t="shared" si="167"/>
        <v>49.259</v>
      </c>
      <c r="F152" s="845">
        <f t="shared" si="167"/>
        <v>59.708999999999996</v>
      </c>
      <c r="G152" s="846">
        <f t="shared" si="167"/>
        <v>16.692</v>
      </c>
      <c r="H152" s="846">
        <f t="shared" si="167"/>
        <v>16.545000000000002</v>
      </c>
      <c r="I152" s="846">
        <f t="shared" si="167"/>
        <v>16.637</v>
      </c>
      <c r="J152" s="846">
        <f t="shared" si="167"/>
        <v>17.420999999999999</v>
      </c>
      <c r="K152" s="845">
        <f t="shared" si="167"/>
        <v>67.295000000000002</v>
      </c>
      <c r="L152" s="846">
        <f t="shared" si="167"/>
        <v>18.318999999999999</v>
      </c>
      <c r="M152" s="846">
        <f t="shared" si="167"/>
        <v>18.905999999999999</v>
      </c>
      <c r="N152" s="846">
        <f t="shared" si="167"/>
        <v>19.051000000000002</v>
      </c>
      <c r="O152" s="846">
        <f t="shared" si="167"/>
        <v>20.081999999999997</v>
      </c>
      <c r="P152" s="845">
        <f t="shared" si="167"/>
        <v>76.358000000000004</v>
      </c>
      <c r="Q152" s="846"/>
      <c r="R152" s="846"/>
      <c r="S152" s="846"/>
      <c r="T152" s="846"/>
      <c r="U152" s="845"/>
      <c r="V152" s="846"/>
      <c r="W152" s="846"/>
      <c r="X152" s="846"/>
      <c r="Y152" s="846"/>
      <c r="Z152" s="845"/>
      <c r="AA152" s="846"/>
      <c r="AB152" s="846"/>
      <c r="AC152" s="846"/>
      <c r="AD152" s="846"/>
      <c r="AE152" s="845"/>
      <c r="AF152" s="846"/>
      <c r="AG152" s="846"/>
      <c r="AH152" s="846"/>
      <c r="AI152" s="846"/>
      <c r="AJ152" s="845"/>
      <c r="AK152" s="846"/>
      <c r="AL152" s="846"/>
      <c r="AM152" s="847"/>
      <c r="AN152" s="846"/>
      <c r="AO152" s="845"/>
      <c r="AP152" s="846"/>
      <c r="AQ152" s="846"/>
      <c r="AR152" s="846"/>
      <c r="AS152" s="846"/>
      <c r="AT152" s="845"/>
      <c r="AU152" s="845"/>
      <c r="AV152" s="845"/>
      <c r="AW152" s="845"/>
      <c r="AX152" s="795"/>
    </row>
    <row r="153" spans="1:50" s="29" customFormat="1" hidden="1" outlineLevel="1" x14ac:dyDescent="0.45">
      <c r="A153" s="697" t="s">
        <v>506</v>
      </c>
      <c r="B153" s="683"/>
      <c r="C153" s="840">
        <v>21.588999999999999</v>
      </c>
      <c r="D153" s="840">
        <v>27.637</v>
      </c>
      <c r="E153" s="840">
        <v>40.645000000000003</v>
      </c>
      <c r="F153" s="840">
        <v>52.569000000000003</v>
      </c>
      <c r="G153" s="841">
        <v>13.401</v>
      </c>
      <c r="H153" s="841">
        <v>13.295999999999999</v>
      </c>
      <c r="I153" s="841">
        <v>14.996</v>
      </c>
      <c r="J153" s="841">
        <f t="shared" ref="J153:J156" si="168">+K153-SUM(G153,H153,I153)</f>
        <v>17.177</v>
      </c>
      <c r="K153" s="840">
        <v>58.87</v>
      </c>
      <c r="L153" s="841">
        <v>19.145</v>
      </c>
      <c r="M153" s="841">
        <v>19.007000000000001</v>
      </c>
      <c r="N153" s="841">
        <v>18.692</v>
      </c>
      <c r="O153" s="841">
        <f t="shared" ref="O153:O156" si="169">+P153-SUM(L153,M153,N153)</f>
        <v>19.530999999999999</v>
      </c>
      <c r="P153" s="840">
        <v>76.375</v>
      </c>
      <c r="Q153" s="841"/>
      <c r="R153" s="841"/>
      <c r="S153" s="841"/>
      <c r="T153" s="841"/>
      <c r="U153" s="840"/>
      <c r="V153" s="841"/>
      <c r="W153" s="841"/>
      <c r="X153" s="841"/>
      <c r="Y153" s="841"/>
      <c r="Z153" s="840"/>
      <c r="AA153" s="841"/>
      <c r="AB153" s="841"/>
      <c r="AC153" s="841"/>
      <c r="AD153" s="841"/>
      <c r="AE153" s="840"/>
      <c r="AF153" s="841"/>
      <c r="AG153" s="841"/>
      <c r="AH153" s="841"/>
      <c r="AI153" s="841"/>
      <c r="AJ153" s="840"/>
      <c r="AK153" s="841"/>
      <c r="AL153" s="841"/>
      <c r="AM153" s="842"/>
      <c r="AN153" s="841"/>
      <c r="AO153" s="840"/>
      <c r="AP153" s="841"/>
      <c r="AQ153" s="841"/>
      <c r="AR153" s="841"/>
      <c r="AS153" s="841"/>
      <c r="AT153" s="840"/>
      <c r="AU153" s="840"/>
      <c r="AV153" s="840"/>
      <c r="AW153" s="840"/>
      <c r="AX153" s="793"/>
    </row>
    <row r="154" spans="1:50" s="29" customFormat="1" hidden="1" outlineLevel="1" x14ac:dyDescent="0.45">
      <c r="A154" s="697" t="s">
        <v>507</v>
      </c>
      <c r="B154" s="683"/>
      <c r="C154" s="840">
        <v>4.1449999999999996</v>
      </c>
      <c r="D154" s="840">
        <v>2.8650000000000002</v>
      </c>
      <c r="E154" s="840">
        <v>3.29</v>
      </c>
      <c r="F154" s="840">
        <v>3.585</v>
      </c>
      <c r="G154" s="841">
        <v>1.0469999999999999</v>
      </c>
      <c r="H154" s="841">
        <v>0.98799999999999999</v>
      </c>
      <c r="I154" s="841">
        <v>0.95899999999999996</v>
      </c>
      <c r="J154" s="841">
        <f t="shared" si="168"/>
        <v>0.99799999999999978</v>
      </c>
      <c r="K154" s="840">
        <v>3.992</v>
      </c>
      <c r="L154" s="841">
        <v>0.64200000000000002</v>
      </c>
      <c r="M154" s="841">
        <v>0.69099999999999995</v>
      </c>
      <c r="N154" s="841">
        <v>0.92200000000000004</v>
      </c>
      <c r="O154" s="841">
        <f t="shared" si="169"/>
        <v>1.363</v>
      </c>
      <c r="P154" s="840">
        <v>3.6179999999999999</v>
      </c>
      <c r="Q154" s="841"/>
      <c r="R154" s="841"/>
      <c r="S154" s="841"/>
      <c r="T154" s="841"/>
      <c r="U154" s="840"/>
      <c r="V154" s="841"/>
      <c r="W154" s="841"/>
      <c r="X154" s="841"/>
      <c r="Y154" s="841"/>
      <c r="Z154" s="840"/>
      <c r="AA154" s="841"/>
      <c r="AB154" s="841"/>
      <c r="AC154" s="841"/>
      <c r="AD154" s="841"/>
      <c r="AE154" s="840"/>
      <c r="AF154" s="841"/>
      <c r="AG154" s="841"/>
      <c r="AH154" s="841"/>
      <c r="AI154" s="841"/>
      <c r="AJ154" s="840"/>
      <c r="AK154" s="841"/>
      <c r="AL154" s="841"/>
      <c r="AM154" s="842"/>
      <c r="AN154" s="841"/>
      <c r="AO154" s="840"/>
      <c r="AP154" s="841"/>
      <c r="AQ154" s="841"/>
      <c r="AR154" s="841"/>
      <c r="AS154" s="841"/>
      <c r="AT154" s="840"/>
      <c r="AU154" s="840"/>
      <c r="AV154" s="840"/>
      <c r="AW154" s="840"/>
      <c r="AX154" s="793"/>
    </row>
    <row r="155" spans="1:50" s="29" customFormat="1" hidden="1" outlineLevel="1" x14ac:dyDescent="0.45">
      <c r="A155" s="697" t="s">
        <v>508</v>
      </c>
      <c r="B155" s="683"/>
      <c r="C155" s="840">
        <v>0.94</v>
      </c>
      <c r="D155" s="840">
        <v>1.2509999999999999</v>
      </c>
      <c r="E155" s="840">
        <v>1.2809999999999999</v>
      </c>
      <c r="F155" s="840">
        <v>1.5189999999999999</v>
      </c>
      <c r="G155" s="841">
        <v>0.41499999999999998</v>
      </c>
      <c r="H155" s="841">
        <v>0.35199999999999998</v>
      </c>
      <c r="I155" s="841">
        <v>0.376</v>
      </c>
      <c r="J155" s="841">
        <f t="shared" si="168"/>
        <v>0.42200000000000015</v>
      </c>
      <c r="K155" s="840">
        <v>1.5649999999999999</v>
      </c>
      <c r="L155" s="841">
        <v>0.48</v>
      </c>
      <c r="M155" s="841">
        <v>0.41899999999999998</v>
      </c>
      <c r="N155" s="841">
        <v>0.55000000000000004</v>
      </c>
      <c r="O155" s="841">
        <f t="shared" si="169"/>
        <v>0.67299999999999982</v>
      </c>
      <c r="P155" s="840">
        <v>2.1219999999999999</v>
      </c>
      <c r="Q155" s="841"/>
      <c r="R155" s="841"/>
      <c r="S155" s="841"/>
      <c r="T155" s="841"/>
      <c r="U155" s="840"/>
      <c r="V155" s="841"/>
      <c r="W155" s="841"/>
      <c r="X155" s="841"/>
      <c r="Y155" s="841"/>
      <c r="Z155" s="840"/>
      <c r="AA155" s="841"/>
      <c r="AB155" s="841"/>
      <c r="AC155" s="841"/>
      <c r="AD155" s="841"/>
      <c r="AE155" s="840"/>
      <c r="AF155" s="841"/>
      <c r="AG155" s="841"/>
      <c r="AH155" s="841"/>
      <c r="AI155" s="841"/>
      <c r="AJ155" s="840"/>
      <c r="AK155" s="841"/>
      <c r="AL155" s="841"/>
      <c r="AM155" s="842"/>
      <c r="AN155" s="841"/>
      <c r="AO155" s="840"/>
      <c r="AP155" s="841"/>
      <c r="AQ155" s="841"/>
      <c r="AR155" s="841"/>
      <c r="AS155" s="841"/>
      <c r="AT155" s="840"/>
      <c r="AU155" s="840"/>
      <c r="AV155" s="840"/>
      <c r="AW155" s="840"/>
      <c r="AX155" s="793"/>
    </row>
    <row r="156" spans="1:50" s="29" customFormat="1" hidden="1" outlineLevel="1" x14ac:dyDescent="0.45">
      <c r="A156" s="217" t="s">
        <v>509</v>
      </c>
      <c r="B156" s="682"/>
      <c r="C156" s="848">
        <v>0.108</v>
      </c>
      <c r="D156" s="848">
        <v>0.97499999999999998</v>
      </c>
      <c r="E156" s="848">
        <v>2.1579999999999999</v>
      </c>
      <c r="F156" s="848">
        <v>3.2770000000000001</v>
      </c>
      <c r="G156" s="849">
        <v>0.80400000000000005</v>
      </c>
      <c r="H156" s="849">
        <v>0.749</v>
      </c>
      <c r="I156" s="849">
        <v>0.78500000000000003</v>
      </c>
      <c r="J156" s="849">
        <f t="shared" si="168"/>
        <v>0.7889999999999997</v>
      </c>
      <c r="K156" s="848">
        <v>3.1269999999999998</v>
      </c>
      <c r="L156" s="849">
        <v>0.80100000000000005</v>
      </c>
      <c r="M156" s="849">
        <v>0.65900000000000003</v>
      </c>
      <c r="N156" s="849">
        <v>0.77500000000000002</v>
      </c>
      <c r="O156" s="849">
        <f t="shared" si="169"/>
        <v>1.04</v>
      </c>
      <c r="P156" s="848">
        <v>3.2749999999999999</v>
      </c>
      <c r="Q156" s="849"/>
      <c r="R156" s="849"/>
      <c r="S156" s="849"/>
      <c r="T156" s="849"/>
      <c r="U156" s="848"/>
      <c r="V156" s="849"/>
      <c r="W156" s="849"/>
      <c r="X156" s="849"/>
      <c r="Y156" s="849"/>
      <c r="Z156" s="848"/>
      <c r="AA156" s="849"/>
      <c r="AB156" s="849"/>
      <c r="AC156" s="849"/>
      <c r="AD156" s="849"/>
      <c r="AE156" s="848"/>
      <c r="AF156" s="849"/>
      <c r="AG156" s="849"/>
      <c r="AH156" s="849"/>
      <c r="AI156" s="849"/>
      <c r="AJ156" s="848"/>
      <c r="AK156" s="849"/>
      <c r="AL156" s="849"/>
      <c r="AM156" s="850"/>
      <c r="AN156" s="849"/>
      <c r="AO156" s="848"/>
      <c r="AP156" s="849"/>
      <c r="AQ156" s="849"/>
      <c r="AR156" s="849"/>
      <c r="AS156" s="849"/>
      <c r="AT156" s="848"/>
      <c r="AU156" s="848"/>
      <c r="AV156" s="848"/>
      <c r="AW156" s="848"/>
      <c r="AX156" s="793"/>
    </row>
    <row r="157" spans="1:50" s="7" customFormat="1" hidden="1" outlineLevel="1" x14ac:dyDescent="0.45">
      <c r="A157" s="67" t="s">
        <v>429</v>
      </c>
      <c r="B157" s="55"/>
      <c r="C157" s="851">
        <f t="shared" ref="C157:P157" si="170">SUM(C153:C156)</f>
        <v>26.782</v>
      </c>
      <c r="D157" s="851">
        <f t="shared" si="170"/>
        <v>32.728000000000002</v>
      </c>
      <c r="E157" s="851">
        <f t="shared" si="170"/>
        <v>47.374000000000002</v>
      </c>
      <c r="F157" s="851">
        <f t="shared" si="170"/>
        <v>60.95</v>
      </c>
      <c r="G157" s="852">
        <f t="shared" si="170"/>
        <v>15.667</v>
      </c>
      <c r="H157" s="852">
        <f t="shared" si="170"/>
        <v>15.385</v>
      </c>
      <c r="I157" s="852">
        <f t="shared" si="170"/>
        <v>17.116</v>
      </c>
      <c r="J157" s="852">
        <f t="shared" si="170"/>
        <v>19.386000000000003</v>
      </c>
      <c r="K157" s="851">
        <f t="shared" si="170"/>
        <v>67.553999999999988</v>
      </c>
      <c r="L157" s="852">
        <f t="shared" si="170"/>
        <v>21.067999999999998</v>
      </c>
      <c r="M157" s="852">
        <f t="shared" si="170"/>
        <v>20.776</v>
      </c>
      <c r="N157" s="852">
        <f t="shared" si="170"/>
        <v>20.939</v>
      </c>
      <c r="O157" s="852">
        <f t="shared" si="170"/>
        <v>22.606999999999996</v>
      </c>
      <c r="P157" s="851">
        <f t="shared" si="170"/>
        <v>85.39</v>
      </c>
      <c r="Q157" s="852"/>
      <c r="R157" s="852"/>
      <c r="S157" s="852"/>
      <c r="T157" s="852"/>
      <c r="U157" s="851"/>
      <c r="V157" s="852"/>
      <c r="W157" s="852"/>
      <c r="X157" s="852"/>
      <c r="Y157" s="852"/>
      <c r="Z157" s="851"/>
      <c r="AA157" s="852"/>
      <c r="AB157" s="852"/>
      <c r="AC157" s="852"/>
      <c r="AD157" s="852"/>
      <c r="AE157" s="851"/>
      <c r="AF157" s="852"/>
      <c r="AG157" s="852"/>
      <c r="AH157" s="852"/>
      <c r="AI157" s="852"/>
      <c r="AJ157" s="851"/>
      <c r="AK157" s="852"/>
      <c r="AL157" s="852"/>
      <c r="AM157" s="853"/>
      <c r="AN157" s="854"/>
      <c r="AO157" s="855"/>
      <c r="AP157" s="854"/>
      <c r="AQ157" s="854"/>
      <c r="AR157" s="854"/>
      <c r="AS157" s="854"/>
      <c r="AT157" s="855"/>
      <c r="AU157" s="855"/>
      <c r="AV157" s="855"/>
      <c r="AW157" s="855"/>
      <c r="AX157" s="795"/>
    </row>
    <row r="158" spans="1:50" s="29" customFormat="1" hidden="1" outlineLevel="1" x14ac:dyDescent="0.45">
      <c r="A158" s="68" t="s">
        <v>456</v>
      </c>
      <c r="B158" s="57"/>
      <c r="C158" s="840">
        <f t="shared" ref="C158:P161" si="171">C138+C143+C148+C153</f>
        <v>132.03699999999998</v>
      </c>
      <c r="D158" s="840">
        <f t="shared" si="171"/>
        <v>157.65800000000002</v>
      </c>
      <c r="E158" s="840">
        <f t="shared" si="171"/>
        <v>201.40299999999999</v>
      </c>
      <c r="F158" s="840">
        <f t="shared" si="171"/>
        <v>240.75400000000002</v>
      </c>
      <c r="G158" s="841">
        <f t="shared" si="171"/>
        <v>62.343999999999994</v>
      </c>
      <c r="H158" s="841">
        <f t="shared" si="171"/>
        <v>63.622999999999998</v>
      </c>
      <c r="I158" s="841">
        <f t="shared" si="171"/>
        <v>65.581000000000003</v>
      </c>
      <c r="J158" s="841">
        <f t="shared" si="171"/>
        <v>69.954000000000008</v>
      </c>
      <c r="K158" s="840">
        <f t="shared" si="171"/>
        <v>261.50200000000001</v>
      </c>
      <c r="L158" s="841">
        <f t="shared" si="171"/>
        <v>72.548000000000002</v>
      </c>
      <c r="M158" s="841">
        <f t="shared" si="171"/>
        <v>73.561999999999998</v>
      </c>
      <c r="N158" s="841">
        <f t="shared" si="171"/>
        <v>74.609999999999985</v>
      </c>
      <c r="O158" s="841">
        <f t="shared" si="171"/>
        <v>76.549999999999983</v>
      </c>
      <c r="P158" s="840">
        <f t="shared" si="171"/>
        <v>297.27</v>
      </c>
      <c r="Q158" s="841"/>
      <c r="R158" s="841"/>
      <c r="S158" s="841"/>
      <c r="T158" s="841"/>
      <c r="U158" s="840"/>
      <c r="V158" s="841"/>
      <c r="W158" s="841"/>
      <c r="X158" s="841"/>
      <c r="Y158" s="841"/>
      <c r="Z158" s="840"/>
      <c r="AA158" s="841"/>
      <c r="AB158" s="841"/>
      <c r="AC158" s="841"/>
      <c r="AD158" s="841"/>
      <c r="AE158" s="840"/>
      <c r="AF158" s="841"/>
      <c r="AG158" s="841"/>
      <c r="AH158" s="841"/>
      <c r="AI158" s="841"/>
      <c r="AJ158" s="840"/>
      <c r="AK158" s="841"/>
      <c r="AL158" s="841"/>
      <c r="AM158" s="842"/>
      <c r="AN158" s="843"/>
      <c r="AO158" s="844"/>
      <c r="AP158" s="843"/>
      <c r="AQ158" s="843"/>
      <c r="AR158" s="843"/>
      <c r="AS158" s="843"/>
      <c r="AT158" s="844"/>
      <c r="AU158" s="844"/>
      <c r="AV158" s="844"/>
      <c r="AW158" s="844"/>
      <c r="AX158" s="793"/>
    </row>
    <row r="159" spans="1:50" s="29" customFormat="1" hidden="1" outlineLevel="1" x14ac:dyDescent="0.45">
      <c r="A159" s="68" t="s">
        <v>457</v>
      </c>
      <c r="B159" s="57"/>
      <c r="C159" s="840">
        <f t="shared" si="171"/>
        <v>40.917999999999992</v>
      </c>
      <c r="D159" s="840">
        <f t="shared" si="171"/>
        <v>48.088000000000001</v>
      </c>
      <c r="E159" s="840">
        <f t="shared" si="171"/>
        <v>48.957999999999998</v>
      </c>
      <c r="F159" s="840">
        <f t="shared" si="171"/>
        <v>63.878</v>
      </c>
      <c r="G159" s="841">
        <f t="shared" si="171"/>
        <v>17.283000000000001</v>
      </c>
      <c r="H159" s="841">
        <f t="shared" si="171"/>
        <v>16.638000000000002</v>
      </c>
      <c r="I159" s="841">
        <f t="shared" si="171"/>
        <v>17.310000000000002</v>
      </c>
      <c r="J159" s="841">
        <f t="shared" si="171"/>
        <v>16.471000000000004</v>
      </c>
      <c r="K159" s="840">
        <f t="shared" si="171"/>
        <v>67.701999999999998</v>
      </c>
      <c r="L159" s="841">
        <f t="shared" si="171"/>
        <v>17.663</v>
      </c>
      <c r="M159" s="841">
        <f t="shared" si="171"/>
        <v>18.452999999999996</v>
      </c>
      <c r="N159" s="841">
        <f t="shared" si="171"/>
        <v>21.682000000000002</v>
      </c>
      <c r="O159" s="841">
        <f t="shared" si="171"/>
        <v>21.576999999999998</v>
      </c>
      <c r="P159" s="840">
        <f t="shared" si="171"/>
        <v>79.374999999999986</v>
      </c>
      <c r="Q159" s="841"/>
      <c r="R159" s="841"/>
      <c r="S159" s="841"/>
      <c r="T159" s="841"/>
      <c r="U159" s="840"/>
      <c r="V159" s="841"/>
      <c r="W159" s="841"/>
      <c r="X159" s="841"/>
      <c r="Y159" s="841"/>
      <c r="Z159" s="840"/>
      <c r="AA159" s="841"/>
      <c r="AB159" s="841"/>
      <c r="AC159" s="841"/>
      <c r="AD159" s="841"/>
      <c r="AE159" s="840"/>
      <c r="AF159" s="841"/>
      <c r="AG159" s="841"/>
      <c r="AH159" s="841"/>
      <c r="AI159" s="841"/>
      <c r="AJ159" s="840"/>
      <c r="AK159" s="841"/>
      <c r="AL159" s="841"/>
      <c r="AM159" s="842"/>
      <c r="AN159" s="843"/>
      <c r="AO159" s="844"/>
      <c r="AP159" s="843"/>
      <c r="AQ159" s="843"/>
      <c r="AR159" s="843"/>
      <c r="AS159" s="843"/>
      <c r="AT159" s="844"/>
      <c r="AU159" s="844"/>
      <c r="AV159" s="844"/>
      <c r="AW159" s="844"/>
      <c r="AX159" s="793"/>
    </row>
    <row r="160" spans="1:50" s="29" customFormat="1" hidden="1" outlineLevel="1" x14ac:dyDescent="0.45">
      <c r="A160" s="68" t="s">
        <v>458</v>
      </c>
      <c r="B160" s="57"/>
      <c r="C160" s="840">
        <f t="shared" si="171"/>
        <v>13.194999999999999</v>
      </c>
      <c r="D160" s="840">
        <f t="shared" si="171"/>
        <v>13.470999999999998</v>
      </c>
      <c r="E160" s="840">
        <f t="shared" si="171"/>
        <v>13.965000000000002</v>
      </c>
      <c r="F160" s="840">
        <f t="shared" si="171"/>
        <v>14.573</v>
      </c>
      <c r="G160" s="841">
        <f t="shared" si="171"/>
        <v>3.9320000000000004</v>
      </c>
      <c r="H160" s="841">
        <f t="shared" si="171"/>
        <v>3.7970000000000002</v>
      </c>
      <c r="I160" s="841">
        <f t="shared" si="171"/>
        <v>3.794</v>
      </c>
      <c r="J160" s="841">
        <f t="shared" si="171"/>
        <v>3.9060000000000001</v>
      </c>
      <c r="K160" s="840">
        <f t="shared" si="171"/>
        <v>15.429</v>
      </c>
      <c r="L160" s="841">
        <f t="shared" si="171"/>
        <v>3.6510000000000002</v>
      </c>
      <c r="M160" s="841">
        <f t="shared" si="171"/>
        <v>3.8370000000000002</v>
      </c>
      <c r="N160" s="841">
        <f t="shared" si="171"/>
        <v>3.8940000000000001</v>
      </c>
      <c r="O160" s="841">
        <f t="shared" si="171"/>
        <v>3.6079999999999997</v>
      </c>
      <c r="P160" s="840">
        <f t="shared" si="171"/>
        <v>14.989999999999998</v>
      </c>
      <c r="Q160" s="841"/>
      <c r="R160" s="841"/>
      <c r="S160" s="841"/>
      <c r="T160" s="841"/>
      <c r="U160" s="840"/>
      <c r="V160" s="841"/>
      <c r="W160" s="841"/>
      <c r="X160" s="841"/>
      <c r="Y160" s="841"/>
      <c r="Z160" s="840"/>
      <c r="AA160" s="841"/>
      <c r="AB160" s="841"/>
      <c r="AC160" s="841"/>
      <c r="AD160" s="841"/>
      <c r="AE160" s="840"/>
      <c r="AF160" s="841"/>
      <c r="AG160" s="841"/>
      <c r="AH160" s="841"/>
      <c r="AI160" s="841"/>
      <c r="AJ160" s="840"/>
      <c r="AK160" s="841"/>
      <c r="AL160" s="841"/>
      <c r="AM160" s="842"/>
      <c r="AN160" s="843"/>
      <c r="AO160" s="844"/>
      <c r="AP160" s="843"/>
      <c r="AQ160" s="843"/>
      <c r="AR160" s="843"/>
      <c r="AS160" s="843"/>
      <c r="AT160" s="844"/>
      <c r="AU160" s="844"/>
      <c r="AV160" s="844"/>
      <c r="AW160" s="844"/>
      <c r="AX160" s="793"/>
    </row>
    <row r="161" spans="1:50" s="29" customFormat="1" hidden="1" outlineLevel="1" x14ac:dyDescent="0.45">
      <c r="A161" s="68" t="s">
        <v>459</v>
      </c>
      <c r="B161" s="57"/>
      <c r="C161" s="840">
        <f t="shared" si="171"/>
        <v>1.524</v>
      </c>
      <c r="D161" s="840">
        <f t="shared" si="171"/>
        <v>9.6169999999999991</v>
      </c>
      <c r="E161" s="840">
        <f t="shared" si="171"/>
        <v>16.711000000000002</v>
      </c>
      <c r="F161" s="840">
        <f t="shared" si="171"/>
        <v>17.443999999999999</v>
      </c>
      <c r="G161" s="841">
        <f t="shared" si="171"/>
        <v>3.423</v>
      </c>
      <c r="H161" s="841">
        <f t="shared" si="171"/>
        <v>3.6520000000000001</v>
      </c>
      <c r="I161" s="841">
        <f t="shared" si="171"/>
        <v>3.0089999999999999</v>
      </c>
      <c r="J161" s="841">
        <f t="shared" si="171"/>
        <v>3.1680000000000006</v>
      </c>
      <c r="K161" s="840">
        <f t="shared" si="171"/>
        <v>13.251999999999999</v>
      </c>
      <c r="L161" s="841">
        <f t="shared" si="171"/>
        <v>3.0230000000000001</v>
      </c>
      <c r="M161" s="841">
        <f t="shared" si="171"/>
        <v>3.3970000000000002</v>
      </c>
      <c r="N161" s="841">
        <f t="shared" si="171"/>
        <v>3.2410000000000001</v>
      </c>
      <c r="O161" s="841">
        <f t="shared" si="171"/>
        <v>3.9079999999999986</v>
      </c>
      <c r="P161" s="840">
        <f t="shared" si="171"/>
        <v>13.568999999999999</v>
      </c>
      <c r="Q161" s="841"/>
      <c r="R161" s="841"/>
      <c r="S161" s="841"/>
      <c r="T161" s="841"/>
      <c r="U161" s="840"/>
      <c r="V161" s="841"/>
      <c r="W161" s="841"/>
      <c r="X161" s="841"/>
      <c r="Y161" s="841"/>
      <c r="Z161" s="840"/>
      <c r="AA161" s="841"/>
      <c r="AB161" s="841"/>
      <c r="AC161" s="841"/>
      <c r="AD161" s="841"/>
      <c r="AE161" s="840"/>
      <c r="AF161" s="841"/>
      <c r="AG161" s="841"/>
      <c r="AH161" s="841"/>
      <c r="AI161" s="841"/>
      <c r="AJ161" s="840"/>
      <c r="AK161" s="841"/>
      <c r="AL161" s="841"/>
      <c r="AM161" s="842"/>
      <c r="AN161" s="843"/>
      <c r="AO161" s="844"/>
      <c r="AP161" s="843"/>
      <c r="AQ161" s="843"/>
      <c r="AR161" s="843"/>
      <c r="AS161" s="843"/>
      <c r="AT161" s="844"/>
      <c r="AU161" s="844"/>
      <c r="AV161" s="844"/>
      <c r="AW161" s="844"/>
      <c r="AX161" s="793"/>
    </row>
    <row r="162" spans="1:50" s="7" customFormat="1" hidden="1" outlineLevel="1" x14ac:dyDescent="0.45">
      <c r="A162" s="698" t="s">
        <v>460</v>
      </c>
      <c r="B162" s="87"/>
      <c r="C162" s="845">
        <f t="shared" ref="C162:P162" si="172">SUM(C158:C161)</f>
        <v>187.67399999999998</v>
      </c>
      <c r="D162" s="845">
        <f t="shared" si="172"/>
        <v>228.834</v>
      </c>
      <c r="E162" s="845">
        <f t="shared" si="172"/>
        <v>281.03699999999998</v>
      </c>
      <c r="F162" s="845">
        <f t="shared" si="172"/>
        <v>336.649</v>
      </c>
      <c r="G162" s="846">
        <f t="shared" si="172"/>
        <v>86.981999999999999</v>
      </c>
      <c r="H162" s="846">
        <f t="shared" si="172"/>
        <v>87.71</v>
      </c>
      <c r="I162" s="846">
        <f t="shared" si="172"/>
        <v>89.694000000000003</v>
      </c>
      <c r="J162" s="846">
        <f t="shared" si="172"/>
        <v>93.499000000000024</v>
      </c>
      <c r="K162" s="845">
        <v>357.88499999999999</v>
      </c>
      <c r="L162" s="846">
        <f t="shared" si="172"/>
        <v>96.884999999999991</v>
      </c>
      <c r="M162" s="846">
        <f t="shared" si="172"/>
        <v>99.248999999999995</v>
      </c>
      <c r="N162" s="846">
        <f t="shared" si="172"/>
        <v>103.42699999999999</v>
      </c>
      <c r="O162" s="846">
        <f t="shared" si="172"/>
        <v>105.64299999999999</v>
      </c>
      <c r="P162" s="845">
        <f t="shared" si="172"/>
        <v>405.20400000000001</v>
      </c>
      <c r="Q162" s="846"/>
      <c r="R162" s="846"/>
      <c r="S162" s="846"/>
      <c r="T162" s="846"/>
      <c r="U162" s="845"/>
      <c r="V162" s="846"/>
      <c r="W162" s="846"/>
      <c r="X162" s="846"/>
      <c r="Y162" s="846"/>
      <c r="Z162" s="845"/>
      <c r="AA162" s="846"/>
      <c r="AB162" s="846"/>
      <c r="AC162" s="846"/>
      <c r="AD162" s="846"/>
      <c r="AE162" s="845"/>
      <c r="AF162" s="846"/>
      <c r="AG162" s="846"/>
      <c r="AH162" s="846"/>
      <c r="AI162" s="846"/>
      <c r="AJ162" s="845"/>
      <c r="AK162" s="846"/>
      <c r="AL162" s="846"/>
      <c r="AM162" s="847"/>
      <c r="AN162" s="846"/>
      <c r="AO162" s="845"/>
      <c r="AP162" s="846"/>
      <c r="AQ162" s="846"/>
      <c r="AR162" s="846"/>
      <c r="AS162" s="846"/>
      <c r="AT162" s="845"/>
      <c r="AU162" s="845"/>
      <c r="AV162" s="845"/>
      <c r="AW162" s="845"/>
      <c r="AX162" s="795"/>
    </row>
    <row r="163" spans="1:50" s="29" customFormat="1" ht="6.75" hidden="1" customHeight="1" outlineLevel="1" x14ac:dyDescent="0.45">
      <c r="A163" s="61"/>
      <c r="B163" s="57"/>
      <c r="C163" s="840"/>
      <c r="D163" s="840"/>
      <c r="E163" s="840"/>
      <c r="F163" s="840"/>
      <c r="G163" s="841"/>
      <c r="H163" s="841"/>
      <c r="I163" s="841"/>
      <c r="J163" s="841"/>
      <c r="K163" s="840"/>
      <c r="L163" s="841"/>
      <c r="M163" s="841"/>
      <c r="N163" s="841"/>
      <c r="O163" s="841"/>
      <c r="P163" s="840"/>
      <c r="Q163" s="841"/>
      <c r="R163" s="841"/>
      <c r="S163" s="841"/>
      <c r="T163" s="841"/>
      <c r="U163" s="840"/>
      <c r="V163" s="841"/>
      <c r="W163" s="841"/>
      <c r="X163" s="841"/>
      <c r="Y163" s="841"/>
      <c r="Z163" s="840"/>
      <c r="AA163" s="841"/>
      <c r="AB163" s="841"/>
      <c r="AC163" s="841"/>
      <c r="AD163" s="841"/>
      <c r="AE163" s="840"/>
      <c r="AF163" s="841"/>
      <c r="AG163" s="841"/>
      <c r="AH163" s="841"/>
      <c r="AI163" s="841"/>
      <c r="AJ163" s="840"/>
      <c r="AK163" s="841"/>
      <c r="AL163" s="841"/>
      <c r="AM163" s="842"/>
      <c r="AN163" s="843"/>
      <c r="AO163" s="844"/>
      <c r="AP163" s="843"/>
      <c r="AQ163" s="843"/>
      <c r="AR163" s="843"/>
      <c r="AS163" s="843"/>
      <c r="AT163" s="844"/>
      <c r="AU163" s="844"/>
      <c r="AV163" s="844"/>
      <c r="AW163" s="844"/>
      <c r="AX163" s="793"/>
    </row>
    <row r="164" spans="1:50" s="29" customFormat="1" hidden="1" outlineLevel="1" x14ac:dyDescent="0.45">
      <c r="A164" s="61" t="s">
        <v>413</v>
      </c>
      <c r="B164" s="57"/>
      <c r="C164" s="840">
        <v>228.73</v>
      </c>
      <c r="D164" s="840">
        <v>266.54599999999999</v>
      </c>
      <c r="E164" s="840">
        <v>325.46699999999998</v>
      </c>
      <c r="F164" s="840">
        <v>344.315</v>
      </c>
      <c r="G164" s="841">
        <v>81.534999999999997</v>
      </c>
      <c r="H164" s="841">
        <v>84.700999999999993</v>
      </c>
      <c r="I164" s="841">
        <v>83.881</v>
      </c>
      <c r="J164" s="841">
        <f t="shared" ref="J164:J167" si="173">+K164-SUM(G164,H164,I164)</f>
        <v>91.003000000000014</v>
      </c>
      <c r="K164" s="840">
        <v>341.12</v>
      </c>
      <c r="L164" s="841">
        <v>91.713999999999999</v>
      </c>
      <c r="M164" s="841">
        <v>93.147999999999996</v>
      </c>
      <c r="N164" s="841">
        <v>92.054000000000002</v>
      </c>
      <c r="O164" s="841">
        <f t="shared" ref="O164:O167" si="174">+P164-SUM(L164,M164,N164)</f>
        <v>96.84899999999999</v>
      </c>
      <c r="P164" s="840">
        <v>373.76499999999999</v>
      </c>
      <c r="Q164" s="841">
        <v>91.614999999999995</v>
      </c>
      <c r="R164" s="841">
        <v>94.974999999999994</v>
      </c>
      <c r="S164" s="841">
        <v>88.692999999999998</v>
      </c>
      <c r="T164" s="841">
        <f t="shared" ref="T164:T167" si="175">+U164-SUM(Q164,R164,S164)</f>
        <v>100.51800000000003</v>
      </c>
      <c r="U164" s="840">
        <v>375.80099999999999</v>
      </c>
      <c r="V164" s="841"/>
      <c r="W164" s="841"/>
      <c r="X164" s="841"/>
      <c r="Y164" s="841"/>
      <c r="Z164" s="840"/>
      <c r="AA164" s="841"/>
      <c r="AB164" s="841"/>
      <c r="AC164" s="841"/>
      <c r="AD164" s="841"/>
      <c r="AE164" s="840"/>
      <c r="AF164" s="841"/>
      <c r="AG164" s="841"/>
      <c r="AH164" s="841"/>
      <c r="AI164" s="841"/>
      <c r="AJ164" s="840"/>
      <c r="AK164" s="841"/>
      <c r="AL164" s="841"/>
      <c r="AM164" s="842"/>
      <c r="AN164" s="843"/>
      <c r="AO164" s="844"/>
      <c r="AP164" s="843"/>
      <c r="AQ164" s="843"/>
      <c r="AR164" s="843"/>
      <c r="AS164" s="843"/>
      <c r="AT164" s="844"/>
      <c r="AU164" s="844"/>
      <c r="AV164" s="844"/>
      <c r="AW164" s="844"/>
      <c r="AX164" s="793"/>
    </row>
    <row r="165" spans="1:50" s="29" customFormat="1" hidden="1" outlineLevel="1" x14ac:dyDescent="0.45">
      <c r="A165" s="61" t="s">
        <v>414</v>
      </c>
      <c r="B165" s="57"/>
      <c r="C165" s="840">
        <v>43.061999999999998</v>
      </c>
      <c r="D165" s="840">
        <v>48.953000000000003</v>
      </c>
      <c r="E165" s="840">
        <v>50.308999999999997</v>
      </c>
      <c r="F165" s="840">
        <v>64.510999999999996</v>
      </c>
      <c r="G165" s="841">
        <v>17.376000000000001</v>
      </c>
      <c r="H165" s="841">
        <v>16.742000000000001</v>
      </c>
      <c r="I165" s="841">
        <v>17.408000000000001</v>
      </c>
      <c r="J165" s="841">
        <f t="shared" si="173"/>
        <v>16.567</v>
      </c>
      <c r="K165" s="840">
        <v>68.093000000000004</v>
      </c>
      <c r="L165" s="841">
        <v>17.760999999999999</v>
      </c>
      <c r="M165" s="841">
        <v>18.550999999999998</v>
      </c>
      <c r="N165" s="841">
        <v>21.913</v>
      </c>
      <c r="O165" s="841">
        <f t="shared" si="174"/>
        <v>21.78</v>
      </c>
      <c r="P165" s="840">
        <v>80.004999999999995</v>
      </c>
      <c r="Q165" s="841">
        <v>22.462</v>
      </c>
      <c r="R165" s="841">
        <v>22.532</v>
      </c>
      <c r="S165" s="841">
        <v>22.994</v>
      </c>
      <c r="T165" s="841">
        <f t="shared" si="175"/>
        <v>21.843000000000004</v>
      </c>
      <c r="U165" s="840">
        <v>89.831000000000003</v>
      </c>
      <c r="V165" s="841"/>
      <c r="W165" s="841"/>
      <c r="X165" s="841"/>
      <c r="Y165" s="841"/>
      <c r="Z165" s="840"/>
      <c r="AA165" s="841"/>
      <c r="AB165" s="841"/>
      <c r="AC165" s="841"/>
      <c r="AD165" s="841"/>
      <c r="AE165" s="840"/>
      <c r="AF165" s="841"/>
      <c r="AG165" s="841"/>
      <c r="AH165" s="841"/>
      <c r="AI165" s="841"/>
      <c r="AJ165" s="840"/>
      <c r="AK165" s="841"/>
      <c r="AL165" s="841"/>
      <c r="AM165" s="842"/>
      <c r="AN165" s="843"/>
      <c r="AO165" s="844"/>
      <c r="AP165" s="843"/>
      <c r="AQ165" s="843"/>
      <c r="AR165" s="843"/>
      <c r="AS165" s="843"/>
      <c r="AT165" s="844"/>
      <c r="AU165" s="844"/>
      <c r="AV165" s="844"/>
      <c r="AW165" s="844"/>
      <c r="AX165" s="793"/>
    </row>
    <row r="166" spans="1:50" s="29" customFormat="1" hidden="1" outlineLevel="1" x14ac:dyDescent="0.45">
      <c r="A166" s="61" t="s">
        <v>415</v>
      </c>
      <c r="B166" s="57"/>
      <c r="C166" s="840">
        <v>17.128</v>
      </c>
      <c r="D166" s="840">
        <v>19.966000000000001</v>
      </c>
      <c r="E166" s="840">
        <v>19.596</v>
      </c>
      <c r="F166" s="840">
        <v>19.989999999999998</v>
      </c>
      <c r="G166" s="841">
        <v>5.1509999999999998</v>
      </c>
      <c r="H166" s="841">
        <v>4.9039999999999999</v>
      </c>
      <c r="I166" s="841">
        <v>5.0819999999999999</v>
      </c>
      <c r="J166" s="841">
        <f t="shared" si="173"/>
        <v>4.7029999999999994</v>
      </c>
      <c r="K166" s="840">
        <v>19.84</v>
      </c>
      <c r="L166" s="841">
        <v>4.2430000000000003</v>
      </c>
      <c r="M166" s="841">
        <v>4.657</v>
      </c>
      <c r="N166" s="841">
        <v>4.4800000000000004</v>
      </c>
      <c r="O166" s="841">
        <f t="shared" si="174"/>
        <v>5.0709999999999997</v>
      </c>
      <c r="P166" s="840">
        <v>18.451000000000001</v>
      </c>
      <c r="Q166" s="841">
        <v>4.4180000000000001</v>
      </c>
      <c r="R166" s="841">
        <v>4.681</v>
      </c>
      <c r="S166" s="841">
        <v>4.726</v>
      </c>
      <c r="T166" s="841">
        <f t="shared" si="175"/>
        <v>5.5510000000000019</v>
      </c>
      <c r="U166" s="840">
        <v>19.376000000000001</v>
      </c>
      <c r="V166" s="841"/>
      <c r="W166" s="841"/>
      <c r="X166" s="841"/>
      <c r="Y166" s="841"/>
      <c r="Z166" s="840"/>
      <c r="AA166" s="841"/>
      <c r="AB166" s="841"/>
      <c r="AC166" s="841"/>
      <c r="AD166" s="841"/>
      <c r="AE166" s="840"/>
      <c r="AF166" s="841"/>
      <c r="AG166" s="841"/>
      <c r="AH166" s="841"/>
      <c r="AI166" s="841"/>
      <c r="AJ166" s="840"/>
      <c r="AK166" s="841"/>
      <c r="AL166" s="841"/>
      <c r="AM166" s="842"/>
      <c r="AN166" s="843"/>
      <c r="AO166" s="844"/>
      <c r="AP166" s="843"/>
      <c r="AQ166" s="843"/>
      <c r="AR166" s="843"/>
      <c r="AS166" s="843"/>
      <c r="AT166" s="844"/>
      <c r="AU166" s="844"/>
      <c r="AV166" s="844"/>
      <c r="AW166" s="844"/>
      <c r="AX166" s="793"/>
    </row>
    <row r="167" spans="1:50" s="29" customFormat="1" hidden="1" outlineLevel="1" x14ac:dyDescent="0.45">
      <c r="A167" s="61" t="s">
        <v>416</v>
      </c>
      <c r="B167" s="57"/>
      <c r="C167" s="840">
        <v>2.891</v>
      </c>
      <c r="D167" s="840">
        <v>17.898</v>
      </c>
      <c r="E167" s="840">
        <v>34.463000000000001</v>
      </c>
      <c r="F167" s="840">
        <v>31.413</v>
      </c>
      <c r="G167" s="841">
        <v>5.4669999999999996</v>
      </c>
      <c r="H167" s="841">
        <v>4.734</v>
      </c>
      <c r="I167" s="841">
        <v>2.4830000000000001</v>
      </c>
      <c r="J167" s="841">
        <f t="shared" si="173"/>
        <v>2.9299999999999997</v>
      </c>
      <c r="K167" s="840">
        <v>15.614000000000001</v>
      </c>
      <c r="L167" s="841">
        <v>4.1760000000000002</v>
      </c>
      <c r="M167" s="841">
        <v>4.1630000000000003</v>
      </c>
      <c r="N167" s="841">
        <v>4.9770000000000003</v>
      </c>
      <c r="O167" s="841">
        <f t="shared" si="174"/>
        <v>4.6880000000000006</v>
      </c>
      <c r="P167" s="840">
        <v>18.004000000000001</v>
      </c>
      <c r="Q167" s="841">
        <v>3.669</v>
      </c>
      <c r="R167" s="841">
        <v>3.181</v>
      </c>
      <c r="S167" s="841">
        <v>0.61899999999999999</v>
      </c>
      <c r="T167" s="841">
        <f t="shared" si="175"/>
        <v>0</v>
      </c>
      <c r="U167" s="840">
        <v>7.4690000000000003</v>
      </c>
      <c r="V167" s="841"/>
      <c r="W167" s="841"/>
      <c r="X167" s="841"/>
      <c r="Y167" s="841"/>
      <c r="Z167" s="840"/>
      <c r="AA167" s="841"/>
      <c r="AB167" s="841"/>
      <c r="AC167" s="841"/>
      <c r="AD167" s="841"/>
      <c r="AE167" s="840"/>
      <c r="AF167" s="841"/>
      <c r="AG167" s="841"/>
      <c r="AH167" s="841"/>
      <c r="AI167" s="841"/>
      <c r="AJ167" s="840"/>
      <c r="AK167" s="841"/>
      <c r="AL167" s="841"/>
      <c r="AM167" s="842"/>
      <c r="AN167" s="843"/>
      <c r="AO167" s="844"/>
      <c r="AP167" s="843"/>
      <c r="AQ167" s="843"/>
      <c r="AR167" s="843"/>
      <c r="AS167" s="843"/>
      <c r="AT167" s="844"/>
      <c r="AU167" s="844"/>
      <c r="AV167" s="844"/>
      <c r="AW167" s="844"/>
      <c r="AX167" s="793"/>
    </row>
    <row r="168" spans="1:50" s="7" customFormat="1" hidden="1" outlineLevel="1" x14ac:dyDescent="0.45">
      <c r="A168" s="53" t="s">
        <v>417</v>
      </c>
      <c r="B168" s="87"/>
      <c r="C168" s="845">
        <f t="shared" ref="C168:U168" si="176">SUM(C164:C167)</f>
        <v>291.81099999999998</v>
      </c>
      <c r="D168" s="845">
        <f t="shared" si="176"/>
        <v>353.36300000000006</v>
      </c>
      <c r="E168" s="845">
        <f t="shared" si="176"/>
        <v>429.83499999999998</v>
      </c>
      <c r="F168" s="845">
        <f t="shared" si="176"/>
        <v>460.22900000000004</v>
      </c>
      <c r="G168" s="846">
        <f t="shared" si="176"/>
        <v>109.529</v>
      </c>
      <c r="H168" s="846">
        <f t="shared" si="176"/>
        <v>111.08099999999999</v>
      </c>
      <c r="I168" s="846">
        <f t="shared" si="176"/>
        <v>108.854</v>
      </c>
      <c r="J168" s="846">
        <f t="shared" si="176"/>
        <v>115.20300000000003</v>
      </c>
      <c r="K168" s="845">
        <f t="shared" si="176"/>
        <v>444.66699999999997</v>
      </c>
      <c r="L168" s="846">
        <f t="shared" si="176"/>
        <v>117.89399999999999</v>
      </c>
      <c r="M168" s="846">
        <f t="shared" si="176"/>
        <v>120.51899999999999</v>
      </c>
      <c r="N168" s="846">
        <f t="shared" si="176"/>
        <v>123.42400000000001</v>
      </c>
      <c r="O168" s="846">
        <f t="shared" si="176"/>
        <v>128.38799999999998</v>
      </c>
      <c r="P168" s="845">
        <f t="shared" si="176"/>
        <v>490.22500000000002</v>
      </c>
      <c r="Q168" s="846">
        <f t="shared" si="176"/>
        <v>122.164</v>
      </c>
      <c r="R168" s="846">
        <f t="shared" si="176"/>
        <v>125.36899999999999</v>
      </c>
      <c r="S168" s="846">
        <f t="shared" si="176"/>
        <v>117.032</v>
      </c>
      <c r="T168" s="846">
        <f t="shared" si="176"/>
        <v>127.91200000000003</v>
      </c>
      <c r="U168" s="845">
        <f t="shared" si="176"/>
        <v>492.47699999999998</v>
      </c>
      <c r="V168" s="846"/>
      <c r="W168" s="846"/>
      <c r="X168" s="846"/>
      <c r="Y168" s="846"/>
      <c r="Z168" s="845"/>
      <c r="AA168" s="846"/>
      <c r="AB168" s="846"/>
      <c r="AC168" s="846"/>
      <c r="AD168" s="846"/>
      <c r="AE168" s="845"/>
      <c r="AF168" s="846"/>
      <c r="AG168" s="846"/>
      <c r="AH168" s="846"/>
      <c r="AI168" s="846"/>
      <c r="AJ168" s="845"/>
      <c r="AK168" s="846"/>
      <c r="AL168" s="846"/>
      <c r="AM168" s="847"/>
      <c r="AN168" s="846"/>
      <c r="AO168" s="845"/>
      <c r="AP168" s="846"/>
      <c r="AQ168" s="846"/>
      <c r="AR168" s="846"/>
      <c r="AS168" s="846"/>
      <c r="AT168" s="845"/>
      <c r="AU168" s="845"/>
      <c r="AV168" s="845"/>
      <c r="AW168" s="845"/>
      <c r="AX168" s="795"/>
    </row>
    <row r="169" spans="1:50" s="29" customFormat="1" ht="6.75" hidden="1" customHeight="1" outlineLevel="1" x14ac:dyDescent="0.45">
      <c r="A169" s="56"/>
      <c r="B169" s="57"/>
      <c r="C169" s="840"/>
      <c r="D169" s="840"/>
      <c r="E169" s="840"/>
      <c r="F169" s="840"/>
      <c r="G169" s="841"/>
      <c r="H169" s="841"/>
      <c r="I169" s="841"/>
      <c r="J169" s="841"/>
      <c r="K169" s="840"/>
      <c r="L169" s="841"/>
      <c r="M169" s="841"/>
      <c r="N169" s="841"/>
      <c r="O169" s="841"/>
      <c r="P169" s="840"/>
      <c r="Q169" s="841"/>
      <c r="R169" s="841"/>
      <c r="S169" s="841"/>
      <c r="T169" s="841"/>
      <c r="U169" s="840"/>
      <c r="V169" s="841"/>
      <c r="W169" s="841"/>
      <c r="X169" s="841"/>
      <c r="Y169" s="841"/>
      <c r="Z169" s="840"/>
      <c r="AA169" s="841"/>
      <c r="AB169" s="841"/>
      <c r="AC169" s="841"/>
      <c r="AD169" s="841"/>
      <c r="AE169" s="840"/>
      <c r="AF169" s="841"/>
      <c r="AG169" s="841"/>
      <c r="AH169" s="841"/>
      <c r="AI169" s="841"/>
      <c r="AJ169" s="840"/>
      <c r="AK169" s="841"/>
      <c r="AL169" s="841"/>
      <c r="AM169" s="842"/>
      <c r="AN169" s="843"/>
      <c r="AO169" s="844"/>
      <c r="AP169" s="843"/>
      <c r="AQ169" s="843"/>
      <c r="AR169" s="843"/>
      <c r="AS169" s="843"/>
      <c r="AT169" s="844"/>
      <c r="AU169" s="844"/>
      <c r="AV169" s="844"/>
      <c r="AW169" s="844"/>
      <c r="AX169" s="793"/>
    </row>
    <row r="170" spans="1:50" s="51" customFormat="1" hidden="1" outlineLevel="1" x14ac:dyDescent="0.45">
      <c r="A170" s="66" t="s">
        <v>511</v>
      </c>
      <c r="B170" s="684"/>
      <c r="C170" s="411"/>
      <c r="D170" s="411">
        <f>D164/C164-1</f>
        <v>0.16533030210291622</v>
      </c>
      <c r="E170" s="411">
        <f t="shared" ref="E170:F170" si="177">E164/D164-1</f>
        <v>0.22105377683401728</v>
      </c>
      <c r="F170" s="411">
        <f t="shared" si="177"/>
        <v>5.7910633028847913E-2</v>
      </c>
      <c r="G170" s="685"/>
      <c r="H170" s="685"/>
      <c r="I170" s="685"/>
      <c r="J170" s="685"/>
      <c r="K170" s="411">
        <f>K164/F164-1</f>
        <v>-9.2792936700405448E-3</v>
      </c>
      <c r="L170" s="685">
        <f t="shared" ref="L170:U173" si="178">L164/G164-1</f>
        <v>0.12484209235297739</v>
      </c>
      <c r="M170" s="685">
        <f t="shared" si="178"/>
        <v>9.9727275947155247E-2</v>
      </c>
      <c r="N170" s="685">
        <f t="shared" si="178"/>
        <v>9.7435652889212188E-2</v>
      </c>
      <c r="O170" s="685">
        <f t="shared" si="178"/>
        <v>6.4239640451413393E-2</v>
      </c>
      <c r="P170" s="411">
        <f t="shared" si="178"/>
        <v>9.5699460600375152E-2</v>
      </c>
      <c r="Q170" s="685">
        <f t="shared" si="178"/>
        <v>-1.0794426150860792E-3</v>
      </c>
      <c r="R170" s="685">
        <f t="shared" si="178"/>
        <v>1.9613947696139444E-2</v>
      </c>
      <c r="S170" s="685">
        <f t="shared" si="178"/>
        <v>-3.6511178221478757E-2</v>
      </c>
      <c r="T170" s="685">
        <f t="shared" si="178"/>
        <v>3.7883715887619296E-2</v>
      </c>
      <c r="U170" s="411">
        <f t="shared" si="178"/>
        <v>5.4472730191430507E-3</v>
      </c>
      <c r="V170" s="685"/>
      <c r="W170" s="685"/>
      <c r="X170" s="685"/>
      <c r="Y170" s="685"/>
      <c r="Z170" s="411"/>
      <c r="AA170" s="685"/>
      <c r="AB170" s="685"/>
      <c r="AC170" s="685"/>
      <c r="AD170" s="685"/>
      <c r="AE170" s="411"/>
      <c r="AF170" s="685"/>
      <c r="AG170" s="685"/>
      <c r="AH170" s="685"/>
      <c r="AI170" s="685"/>
      <c r="AJ170" s="411"/>
      <c r="AK170" s="685"/>
      <c r="AL170" s="685"/>
      <c r="AM170" s="686"/>
      <c r="AN170" s="58"/>
      <c r="AO170" s="27"/>
      <c r="AP170" s="58"/>
      <c r="AQ170" s="58"/>
      <c r="AR170" s="58"/>
      <c r="AS170" s="58"/>
      <c r="AT170" s="27"/>
      <c r="AU170" s="27"/>
      <c r="AV170" s="27"/>
      <c r="AW170" s="27"/>
      <c r="AX170" s="58"/>
    </row>
    <row r="171" spans="1:50" s="51" customFormat="1" hidden="1" outlineLevel="1" x14ac:dyDescent="0.45">
      <c r="A171" s="66" t="s">
        <v>591</v>
      </c>
      <c r="B171" s="684"/>
      <c r="C171" s="411"/>
      <c r="D171" s="411">
        <f t="shared" ref="D171:F173" si="179">D165/C165-1</f>
        <v>0.13680274952394234</v>
      </c>
      <c r="E171" s="411">
        <f t="shared" si="179"/>
        <v>2.7700038812738637E-2</v>
      </c>
      <c r="F171" s="411">
        <f t="shared" si="179"/>
        <v>0.28229541433938254</v>
      </c>
      <c r="G171" s="685"/>
      <c r="H171" s="685"/>
      <c r="I171" s="685"/>
      <c r="J171" s="685"/>
      <c r="K171" s="411">
        <f t="shared" ref="K171:K173" si="180">K165/F165-1</f>
        <v>5.552541427043467E-2</v>
      </c>
      <c r="L171" s="685">
        <f t="shared" si="178"/>
        <v>2.2156998158379348E-2</v>
      </c>
      <c r="M171" s="685">
        <f t="shared" si="178"/>
        <v>0.1080516067375461</v>
      </c>
      <c r="N171" s="685">
        <f t="shared" si="178"/>
        <v>0.2587890625</v>
      </c>
      <c r="O171" s="685">
        <f t="shared" si="178"/>
        <v>0.31466167682742818</v>
      </c>
      <c r="P171" s="411">
        <f t="shared" si="178"/>
        <v>0.17493721821626296</v>
      </c>
      <c r="Q171" s="685">
        <f t="shared" si="178"/>
        <v>0.26468104273408022</v>
      </c>
      <c r="R171" s="685">
        <f t="shared" si="178"/>
        <v>0.21459759581693727</v>
      </c>
      <c r="S171" s="685">
        <f t="shared" si="178"/>
        <v>4.9331447086204516E-2</v>
      </c>
      <c r="T171" s="685">
        <f t="shared" si="178"/>
        <v>2.8925619834712091E-3</v>
      </c>
      <c r="U171" s="411">
        <f t="shared" si="178"/>
        <v>0.12281732391725519</v>
      </c>
      <c r="V171" s="685"/>
      <c r="W171" s="685"/>
      <c r="X171" s="685"/>
      <c r="Y171" s="685"/>
      <c r="Z171" s="411"/>
      <c r="AA171" s="685"/>
      <c r="AB171" s="685"/>
      <c r="AC171" s="685"/>
      <c r="AD171" s="685"/>
      <c r="AE171" s="411"/>
      <c r="AF171" s="685"/>
      <c r="AG171" s="685"/>
      <c r="AH171" s="685"/>
      <c r="AI171" s="685"/>
      <c r="AJ171" s="411"/>
      <c r="AK171" s="685"/>
      <c r="AL171" s="685"/>
      <c r="AM171" s="686"/>
      <c r="AN171" s="58"/>
      <c r="AO171" s="27"/>
      <c r="AP171" s="58"/>
      <c r="AQ171" s="58"/>
      <c r="AR171" s="58"/>
      <c r="AS171" s="58"/>
      <c r="AT171" s="27"/>
      <c r="AU171" s="27"/>
      <c r="AV171" s="27"/>
      <c r="AW171" s="27"/>
      <c r="AX171" s="58"/>
    </row>
    <row r="172" spans="1:50" s="51" customFormat="1" hidden="1" outlineLevel="1" x14ac:dyDescent="0.45">
      <c r="A172" s="66" t="s">
        <v>512</v>
      </c>
      <c r="B172" s="684"/>
      <c r="C172" s="411"/>
      <c r="D172" s="411">
        <f t="shared" si="179"/>
        <v>0.16569360112097153</v>
      </c>
      <c r="E172" s="411">
        <f t="shared" si="179"/>
        <v>-1.8531503556045381E-2</v>
      </c>
      <c r="F172" s="411">
        <f t="shared" si="179"/>
        <v>2.0106144111043056E-2</v>
      </c>
      <c r="G172" s="685"/>
      <c r="H172" s="685"/>
      <c r="I172" s="685"/>
      <c r="J172" s="685"/>
      <c r="K172" s="411">
        <f t="shared" si="180"/>
        <v>-7.5037518759378807E-3</v>
      </c>
      <c r="L172" s="685">
        <f t="shared" si="178"/>
        <v>-0.17627645117452917</v>
      </c>
      <c r="M172" s="685">
        <f t="shared" si="178"/>
        <v>-5.0367047308319757E-2</v>
      </c>
      <c r="N172" s="685">
        <f t="shared" si="178"/>
        <v>-0.11845730027548196</v>
      </c>
      <c r="O172" s="685">
        <f t="shared" si="178"/>
        <v>7.824792685519899E-2</v>
      </c>
      <c r="P172" s="411">
        <f t="shared" si="178"/>
        <v>-7.0010080645161232E-2</v>
      </c>
      <c r="Q172" s="685">
        <f t="shared" si="178"/>
        <v>4.1244402545368875E-2</v>
      </c>
      <c r="R172" s="685">
        <f t="shared" si="178"/>
        <v>5.1535323169422664E-3</v>
      </c>
      <c r="S172" s="685">
        <f t="shared" si="178"/>
        <v>5.4910714285714146E-2</v>
      </c>
      <c r="T172" s="685">
        <f t="shared" si="178"/>
        <v>9.4655886412936763E-2</v>
      </c>
      <c r="U172" s="411">
        <f t="shared" si="178"/>
        <v>5.0132784130941355E-2</v>
      </c>
      <c r="V172" s="685"/>
      <c r="W172" s="685"/>
      <c r="X172" s="685"/>
      <c r="Y172" s="685"/>
      <c r="Z172" s="411"/>
      <c r="AA172" s="685"/>
      <c r="AB172" s="685"/>
      <c r="AC172" s="685"/>
      <c r="AD172" s="685"/>
      <c r="AE172" s="411"/>
      <c r="AF172" s="685"/>
      <c r="AG172" s="685"/>
      <c r="AH172" s="685"/>
      <c r="AI172" s="685"/>
      <c r="AJ172" s="411"/>
      <c r="AK172" s="685"/>
      <c r="AL172" s="685"/>
      <c r="AM172" s="686"/>
      <c r="AN172" s="58"/>
      <c r="AO172" s="27"/>
      <c r="AP172" s="58"/>
      <c r="AQ172" s="58"/>
      <c r="AR172" s="58"/>
      <c r="AS172" s="58"/>
      <c r="AT172" s="27"/>
      <c r="AU172" s="27"/>
      <c r="AV172" s="27"/>
      <c r="AW172" s="27"/>
      <c r="AX172" s="58"/>
    </row>
    <row r="173" spans="1:50" s="51" customFormat="1" hidden="1" outlineLevel="1" x14ac:dyDescent="0.45">
      <c r="A173" s="66" t="s">
        <v>513</v>
      </c>
      <c r="B173" s="684"/>
      <c r="C173" s="411"/>
      <c r="D173" s="411">
        <f t="shared" si="179"/>
        <v>5.1909373919059147</v>
      </c>
      <c r="E173" s="411">
        <f t="shared" si="179"/>
        <v>0.92552240473795955</v>
      </c>
      <c r="F173" s="411">
        <f t="shared" si="179"/>
        <v>-8.85007109073499E-2</v>
      </c>
      <c r="G173" s="685"/>
      <c r="H173" s="685"/>
      <c r="I173" s="685"/>
      <c r="J173" s="685"/>
      <c r="K173" s="411">
        <f t="shared" si="180"/>
        <v>-0.50294464075382805</v>
      </c>
      <c r="L173" s="685">
        <f t="shared" si="178"/>
        <v>-0.23614413755258823</v>
      </c>
      <c r="M173" s="685">
        <f t="shared" si="178"/>
        <v>-0.12061681453316431</v>
      </c>
      <c r="N173" s="685">
        <f t="shared" si="178"/>
        <v>1.0044301248489731</v>
      </c>
      <c r="O173" s="685">
        <f t="shared" si="178"/>
        <v>0.60000000000000031</v>
      </c>
      <c r="P173" s="411">
        <f t="shared" si="178"/>
        <v>0.15306775970283093</v>
      </c>
      <c r="Q173" s="685">
        <f t="shared" si="178"/>
        <v>-0.12140804597701149</v>
      </c>
      <c r="R173" s="685">
        <f t="shared" si="178"/>
        <v>-0.23588758107134278</v>
      </c>
      <c r="S173" s="685">
        <f t="shared" si="178"/>
        <v>-0.87562788828611615</v>
      </c>
      <c r="T173" s="685">
        <f t="shared" si="178"/>
        <v>-1</v>
      </c>
      <c r="U173" s="411">
        <f t="shared" si="178"/>
        <v>-0.58514774494556765</v>
      </c>
      <c r="V173" s="685"/>
      <c r="W173" s="685"/>
      <c r="X173" s="685"/>
      <c r="Y173" s="685"/>
      <c r="Z173" s="411"/>
      <c r="AA173" s="685"/>
      <c r="AB173" s="685"/>
      <c r="AC173" s="685"/>
      <c r="AD173" s="685"/>
      <c r="AE173" s="411"/>
      <c r="AF173" s="685"/>
      <c r="AG173" s="685"/>
      <c r="AH173" s="685"/>
      <c r="AI173" s="685"/>
      <c r="AJ173" s="411"/>
      <c r="AK173" s="685"/>
      <c r="AL173" s="685"/>
      <c r="AM173" s="686"/>
      <c r="AN173" s="58"/>
      <c r="AO173" s="27"/>
      <c r="AP173" s="58"/>
      <c r="AQ173" s="58"/>
      <c r="AR173" s="58"/>
      <c r="AS173" s="58"/>
      <c r="AT173" s="27"/>
      <c r="AU173" s="27"/>
      <c r="AV173" s="27"/>
      <c r="AW173" s="27"/>
      <c r="AX173" s="58"/>
    </row>
    <row r="174" spans="1:50" s="29" customFormat="1" hidden="1" outlineLevel="1" x14ac:dyDescent="0.45">
      <c r="A174" s="56"/>
      <c r="B174" s="57"/>
      <c r="C174" s="840"/>
      <c r="D174" s="840"/>
      <c r="E174" s="840"/>
      <c r="F174" s="840"/>
      <c r="G174" s="841"/>
      <c r="H174" s="841"/>
      <c r="I174" s="841"/>
      <c r="J174" s="841"/>
      <c r="K174" s="840"/>
      <c r="L174" s="841"/>
      <c r="M174" s="841"/>
      <c r="N174" s="841"/>
      <c r="O174" s="841"/>
      <c r="P174" s="840"/>
      <c r="Q174" s="841"/>
      <c r="R174" s="841"/>
      <c r="S174" s="841"/>
      <c r="T174" s="841"/>
      <c r="U174" s="840"/>
      <c r="V174" s="841"/>
      <c r="W174" s="841"/>
      <c r="X174" s="841"/>
      <c r="Y174" s="841"/>
      <c r="Z174" s="840"/>
      <c r="AA174" s="841"/>
      <c r="AB174" s="841"/>
      <c r="AC174" s="841"/>
      <c r="AD174" s="841"/>
      <c r="AE174" s="840"/>
      <c r="AF174" s="841"/>
      <c r="AG174" s="841"/>
      <c r="AH174" s="841"/>
      <c r="AI174" s="841"/>
      <c r="AJ174" s="840"/>
      <c r="AK174" s="841"/>
      <c r="AL174" s="841"/>
      <c r="AM174" s="842"/>
      <c r="AN174" s="843"/>
      <c r="AO174" s="844"/>
      <c r="AP174" s="843"/>
      <c r="AQ174" s="843"/>
      <c r="AR174" s="843"/>
      <c r="AS174" s="843"/>
      <c r="AT174" s="844"/>
      <c r="AU174" s="844"/>
      <c r="AV174" s="844"/>
      <c r="AW174" s="844"/>
      <c r="AX174" s="793"/>
    </row>
    <row r="175" spans="1:50" s="29" customFormat="1" hidden="1" outlineLevel="1" x14ac:dyDescent="0.45">
      <c r="A175" s="61" t="s">
        <v>461</v>
      </c>
      <c r="B175" s="57"/>
      <c r="C175" s="840">
        <v>73.122</v>
      </c>
      <c r="D175" s="840">
        <v>78.495999999999995</v>
      </c>
      <c r="E175" s="840">
        <v>93.722999999999999</v>
      </c>
      <c r="F175" s="840">
        <v>114.788</v>
      </c>
      <c r="G175" s="841">
        <v>26.856000000000002</v>
      </c>
      <c r="H175" s="841">
        <v>26.885999999999999</v>
      </c>
      <c r="I175" s="841">
        <v>27.34</v>
      </c>
      <c r="J175" s="841">
        <f t="shared" ref="J175:J179" si="181">+K175-SUM(G175,H175,I175)</f>
        <v>29.385999999999996</v>
      </c>
      <c r="K175" s="840">
        <v>110.468</v>
      </c>
      <c r="L175" s="841">
        <v>31.881</v>
      </c>
      <c r="M175" s="841">
        <v>32.9</v>
      </c>
      <c r="N175" s="841">
        <v>30.678000000000001</v>
      </c>
      <c r="O175" s="841">
        <f t="shared" ref="O175:O179" si="182">+P175-SUM(L175,M175,N175)</f>
        <v>32.399000000000001</v>
      </c>
      <c r="P175" s="840">
        <v>127.858</v>
      </c>
      <c r="Q175" s="841">
        <v>33.057000000000002</v>
      </c>
      <c r="R175" s="841">
        <v>33.313000000000002</v>
      </c>
      <c r="S175" s="841">
        <v>32.497</v>
      </c>
      <c r="T175" s="841"/>
      <c r="U175" s="840"/>
      <c r="V175" s="841"/>
      <c r="W175" s="841"/>
      <c r="X175" s="841"/>
      <c r="Y175" s="841"/>
      <c r="Z175" s="840"/>
      <c r="AA175" s="841"/>
      <c r="AB175" s="841"/>
      <c r="AC175" s="841"/>
      <c r="AD175" s="841"/>
      <c r="AE175" s="840"/>
      <c r="AF175" s="841"/>
      <c r="AG175" s="841"/>
      <c r="AH175" s="841"/>
      <c r="AI175" s="841"/>
      <c r="AJ175" s="840"/>
      <c r="AK175" s="841"/>
      <c r="AL175" s="841"/>
      <c r="AM175" s="842"/>
      <c r="AN175" s="843"/>
      <c r="AO175" s="844"/>
      <c r="AP175" s="843"/>
      <c r="AQ175" s="843"/>
      <c r="AR175" s="843"/>
      <c r="AS175" s="843"/>
      <c r="AT175" s="844"/>
      <c r="AU175" s="844"/>
      <c r="AV175" s="844"/>
      <c r="AW175" s="844"/>
      <c r="AX175" s="793"/>
    </row>
    <row r="176" spans="1:50" s="29" customFormat="1" hidden="1" outlineLevel="1" x14ac:dyDescent="0.45">
      <c r="A176" s="61" t="s">
        <v>462</v>
      </c>
      <c r="B176" s="57"/>
      <c r="C176" s="840">
        <v>29.484999999999999</v>
      </c>
      <c r="D176" s="840">
        <v>34.896000000000001</v>
      </c>
      <c r="E176" s="840">
        <v>35.558999999999997</v>
      </c>
      <c r="F176" s="840">
        <v>45.008000000000003</v>
      </c>
      <c r="G176" s="841">
        <v>11.882999999999999</v>
      </c>
      <c r="H176" s="841">
        <v>11.41</v>
      </c>
      <c r="I176" s="841">
        <v>12.13</v>
      </c>
      <c r="J176" s="841">
        <f t="shared" si="181"/>
        <v>12.510999999999996</v>
      </c>
      <c r="K176" s="840">
        <v>47.933999999999997</v>
      </c>
      <c r="L176" s="841">
        <v>13.195</v>
      </c>
      <c r="M176" s="841">
        <v>13.680999999999999</v>
      </c>
      <c r="N176" s="841">
        <v>14.757</v>
      </c>
      <c r="O176" s="841">
        <f t="shared" si="182"/>
        <v>14.833000000000006</v>
      </c>
      <c r="P176" s="840">
        <v>56.466000000000001</v>
      </c>
      <c r="Q176" s="841">
        <v>15.153</v>
      </c>
      <c r="R176" s="841">
        <v>15.372</v>
      </c>
      <c r="S176" s="841">
        <v>15.105</v>
      </c>
      <c r="T176" s="841"/>
      <c r="U176" s="840"/>
      <c r="V176" s="841"/>
      <c r="W176" s="841"/>
      <c r="X176" s="841"/>
      <c r="Y176" s="841"/>
      <c r="Z176" s="840"/>
      <c r="AA176" s="841"/>
      <c r="AB176" s="841"/>
      <c r="AC176" s="841"/>
      <c r="AD176" s="841"/>
      <c r="AE176" s="840"/>
      <c r="AF176" s="841"/>
      <c r="AG176" s="841"/>
      <c r="AH176" s="841"/>
      <c r="AI176" s="841"/>
      <c r="AJ176" s="840"/>
      <c r="AK176" s="841"/>
      <c r="AL176" s="841"/>
      <c r="AM176" s="842"/>
      <c r="AN176" s="843"/>
      <c r="AO176" s="844"/>
      <c r="AP176" s="843"/>
      <c r="AQ176" s="843"/>
      <c r="AR176" s="843"/>
      <c r="AS176" s="843"/>
      <c r="AT176" s="844"/>
      <c r="AU176" s="844"/>
      <c r="AV176" s="844"/>
      <c r="AW176" s="844"/>
      <c r="AX176" s="793"/>
    </row>
    <row r="177" spans="1:50" s="29" customFormat="1" hidden="1" outlineLevel="1" x14ac:dyDescent="0.45">
      <c r="A177" s="61" t="s">
        <v>463</v>
      </c>
      <c r="B177" s="57"/>
      <c r="C177" s="840">
        <v>7.7880000000000003</v>
      </c>
      <c r="D177" s="840">
        <v>9.0340000000000007</v>
      </c>
      <c r="E177" s="840">
        <v>9.0969999999999995</v>
      </c>
      <c r="F177" s="840">
        <v>10.452999999999999</v>
      </c>
      <c r="G177" s="841">
        <v>2.3919999999999999</v>
      </c>
      <c r="H177" s="841">
        <v>2.141</v>
      </c>
      <c r="I177" s="841">
        <v>2.3919999999999999</v>
      </c>
      <c r="J177" s="841">
        <f t="shared" si="181"/>
        <v>2.4370000000000012</v>
      </c>
      <c r="K177" s="840">
        <v>9.3620000000000001</v>
      </c>
      <c r="L177" s="841">
        <v>2.3170000000000002</v>
      </c>
      <c r="M177" s="841">
        <v>2.387</v>
      </c>
      <c r="N177" s="841">
        <v>2.1139999999999999</v>
      </c>
      <c r="O177" s="841">
        <f t="shared" si="182"/>
        <v>2.6439999999999992</v>
      </c>
      <c r="P177" s="840">
        <v>9.4619999999999997</v>
      </c>
      <c r="Q177" s="841">
        <v>2.4790000000000001</v>
      </c>
      <c r="R177" s="841">
        <v>2.2530000000000001</v>
      </c>
      <c r="S177" s="841">
        <v>2.093</v>
      </c>
      <c r="T177" s="841"/>
      <c r="U177" s="840"/>
      <c r="V177" s="841"/>
      <c r="W177" s="841"/>
      <c r="X177" s="841"/>
      <c r="Y177" s="841"/>
      <c r="Z177" s="840"/>
      <c r="AA177" s="841"/>
      <c r="AB177" s="841"/>
      <c r="AC177" s="841"/>
      <c r="AD177" s="841"/>
      <c r="AE177" s="840"/>
      <c r="AF177" s="841"/>
      <c r="AG177" s="841"/>
      <c r="AH177" s="841"/>
      <c r="AI177" s="841"/>
      <c r="AJ177" s="840"/>
      <c r="AK177" s="841"/>
      <c r="AL177" s="841"/>
      <c r="AM177" s="842"/>
      <c r="AN177" s="843"/>
      <c r="AO177" s="844"/>
      <c r="AP177" s="843"/>
      <c r="AQ177" s="843"/>
      <c r="AR177" s="843"/>
      <c r="AS177" s="843"/>
      <c r="AT177" s="844"/>
      <c r="AU177" s="844"/>
      <c r="AV177" s="844"/>
      <c r="AW177" s="844"/>
      <c r="AX177" s="793"/>
    </row>
    <row r="178" spans="1:50" s="29" customFormat="1" hidden="1" outlineLevel="1" x14ac:dyDescent="0.45">
      <c r="A178" s="61" t="s">
        <v>464</v>
      </c>
      <c r="B178" s="57"/>
      <c r="C178" s="840">
        <v>0.41199999999999998</v>
      </c>
      <c r="D178" s="840">
        <v>4.6710000000000003</v>
      </c>
      <c r="E178" s="840">
        <v>10.54</v>
      </c>
      <c r="F178" s="840">
        <v>16.702999999999999</v>
      </c>
      <c r="G178" s="841">
        <v>3.875</v>
      </c>
      <c r="H178" s="841">
        <v>3.968</v>
      </c>
      <c r="I178" s="841">
        <v>4.8689999999999998</v>
      </c>
      <c r="J178" s="841">
        <f t="shared" si="181"/>
        <v>4.4750000000000014</v>
      </c>
      <c r="K178" s="840">
        <v>17.187000000000001</v>
      </c>
      <c r="L178" s="841">
        <v>4.306</v>
      </c>
      <c r="M178" s="841">
        <v>3.4630000000000001</v>
      </c>
      <c r="N178" s="841">
        <v>2.9540000000000002</v>
      </c>
      <c r="O178" s="841">
        <f t="shared" si="182"/>
        <v>2.4049999999999994</v>
      </c>
      <c r="P178" s="840">
        <v>13.128</v>
      </c>
      <c r="Q178" s="841">
        <v>1.946</v>
      </c>
      <c r="R178" s="841">
        <v>2.266</v>
      </c>
      <c r="S178" s="841">
        <v>0.68799999999999994</v>
      </c>
      <c r="T178" s="841"/>
      <c r="U178" s="840"/>
      <c r="V178" s="841"/>
      <c r="W178" s="841"/>
      <c r="X178" s="841"/>
      <c r="Y178" s="841"/>
      <c r="Z178" s="840"/>
      <c r="AA178" s="841"/>
      <c r="AB178" s="841"/>
      <c r="AC178" s="841"/>
      <c r="AD178" s="841"/>
      <c r="AE178" s="840"/>
      <c r="AF178" s="841"/>
      <c r="AG178" s="841"/>
      <c r="AH178" s="841"/>
      <c r="AI178" s="841"/>
      <c r="AJ178" s="840"/>
      <c r="AK178" s="841"/>
      <c r="AL178" s="841"/>
      <c r="AM178" s="842"/>
      <c r="AN178" s="843"/>
      <c r="AO178" s="844"/>
      <c r="AP178" s="843"/>
      <c r="AQ178" s="843"/>
      <c r="AR178" s="843"/>
      <c r="AS178" s="843"/>
      <c r="AT178" s="844"/>
      <c r="AU178" s="844"/>
      <c r="AV178" s="844"/>
      <c r="AW178" s="844"/>
      <c r="AX178" s="793"/>
    </row>
    <row r="179" spans="1:50" s="29" customFormat="1" hidden="1" outlineLevel="1" x14ac:dyDescent="0.45">
      <c r="A179" s="61" t="s">
        <v>465</v>
      </c>
      <c r="B179" s="57"/>
      <c r="C179" s="840"/>
      <c r="D179" s="840">
        <v>0.38500000000000001</v>
      </c>
      <c r="E179" s="840">
        <v>2.3039999999999998</v>
      </c>
      <c r="F179" s="840">
        <v>2.7</v>
      </c>
      <c r="G179" s="841">
        <v>3.0659999999999998</v>
      </c>
      <c r="H179" s="841">
        <v>3.2770000000000001</v>
      </c>
      <c r="I179" s="841">
        <v>24.324000000000002</v>
      </c>
      <c r="J179" s="841">
        <f t="shared" si="181"/>
        <v>4.5450000000000017</v>
      </c>
      <c r="K179" s="840">
        <v>35.212000000000003</v>
      </c>
      <c r="L179" s="841">
        <v>4.4909999999999997</v>
      </c>
      <c r="M179" s="841">
        <v>4.3419999999999996</v>
      </c>
      <c r="N179" s="841">
        <v>3.8570000000000002</v>
      </c>
      <c r="O179" s="841">
        <f t="shared" si="182"/>
        <v>3.5600000000000023</v>
      </c>
      <c r="P179" s="840">
        <v>16.25</v>
      </c>
      <c r="Q179" s="841">
        <v>3.3420000000000001</v>
      </c>
      <c r="R179" s="841">
        <v>3.3940000000000001</v>
      </c>
      <c r="S179" s="841">
        <v>3.4020000000000001</v>
      </c>
      <c r="T179" s="841"/>
      <c r="U179" s="840"/>
      <c r="V179" s="841"/>
      <c r="W179" s="841"/>
      <c r="X179" s="841"/>
      <c r="Y179" s="841"/>
      <c r="Z179" s="840"/>
      <c r="AA179" s="841"/>
      <c r="AB179" s="841"/>
      <c r="AC179" s="841"/>
      <c r="AD179" s="841"/>
      <c r="AE179" s="840"/>
      <c r="AF179" s="841"/>
      <c r="AG179" s="841"/>
      <c r="AH179" s="841"/>
      <c r="AI179" s="841"/>
      <c r="AJ179" s="840"/>
      <c r="AK179" s="841"/>
      <c r="AL179" s="841"/>
      <c r="AM179" s="842"/>
      <c r="AN179" s="843"/>
      <c r="AO179" s="844"/>
      <c r="AP179" s="843"/>
      <c r="AQ179" s="843"/>
      <c r="AR179" s="843"/>
      <c r="AS179" s="843"/>
      <c r="AT179" s="844"/>
      <c r="AU179" s="844"/>
      <c r="AV179" s="844"/>
      <c r="AW179" s="844"/>
      <c r="AX179" s="793"/>
    </row>
    <row r="180" spans="1:50" s="7" customFormat="1" hidden="1" outlineLevel="1" x14ac:dyDescent="0.45">
      <c r="A180" s="53" t="s">
        <v>466</v>
      </c>
      <c r="B180" s="87"/>
      <c r="C180" s="845">
        <f t="shared" ref="C180:S180" si="183">SUM(C175:C179)</f>
        <v>110.807</v>
      </c>
      <c r="D180" s="845">
        <f t="shared" si="183"/>
        <v>127.48200000000001</v>
      </c>
      <c r="E180" s="845">
        <f t="shared" si="183"/>
        <v>151.22299999999998</v>
      </c>
      <c r="F180" s="845">
        <f t="shared" si="183"/>
        <v>189.65199999999999</v>
      </c>
      <c r="G180" s="846">
        <f t="shared" si="183"/>
        <v>48.07200000000001</v>
      </c>
      <c r="H180" s="846">
        <f t="shared" si="183"/>
        <v>47.682000000000002</v>
      </c>
      <c r="I180" s="846">
        <f t="shared" si="183"/>
        <v>71.055000000000007</v>
      </c>
      <c r="J180" s="846">
        <f t="shared" si="183"/>
        <v>53.353999999999992</v>
      </c>
      <c r="K180" s="845">
        <f t="shared" si="183"/>
        <v>220.16300000000001</v>
      </c>
      <c r="L180" s="846">
        <f t="shared" si="183"/>
        <v>56.19</v>
      </c>
      <c r="M180" s="846">
        <f t="shared" si="183"/>
        <v>56.772999999999996</v>
      </c>
      <c r="N180" s="846">
        <f t="shared" si="183"/>
        <v>54.36</v>
      </c>
      <c r="O180" s="846">
        <f t="shared" si="183"/>
        <v>55.841000000000008</v>
      </c>
      <c r="P180" s="845">
        <f t="shared" si="183"/>
        <v>223.16399999999999</v>
      </c>
      <c r="Q180" s="846">
        <f t="shared" si="183"/>
        <v>55.976999999999997</v>
      </c>
      <c r="R180" s="846">
        <f t="shared" si="183"/>
        <v>56.597999999999999</v>
      </c>
      <c r="S180" s="846">
        <f t="shared" si="183"/>
        <v>53.785000000000011</v>
      </c>
      <c r="T180" s="846"/>
      <c r="U180" s="845"/>
      <c r="V180" s="846"/>
      <c r="W180" s="846"/>
      <c r="X180" s="846"/>
      <c r="Y180" s="846"/>
      <c r="Z180" s="845"/>
      <c r="AA180" s="846"/>
      <c r="AB180" s="846"/>
      <c r="AC180" s="846"/>
      <c r="AD180" s="846"/>
      <c r="AE180" s="845"/>
      <c r="AF180" s="846"/>
      <c r="AG180" s="846"/>
      <c r="AH180" s="846"/>
      <c r="AI180" s="846"/>
      <c r="AJ180" s="845"/>
      <c r="AK180" s="846"/>
      <c r="AL180" s="846"/>
      <c r="AM180" s="847"/>
      <c r="AN180" s="846"/>
      <c r="AO180" s="845"/>
      <c r="AP180" s="846"/>
      <c r="AQ180" s="846"/>
      <c r="AR180" s="846"/>
      <c r="AS180" s="846"/>
      <c r="AT180" s="845"/>
      <c r="AU180" s="845"/>
      <c r="AV180" s="845"/>
      <c r="AW180" s="845"/>
      <c r="AX180" s="795"/>
    </row>
    <row r="181" spans="1:50" s="29" customFormat="1" ht="6.75" hidden="1" customHeight="1" outlineLevel="1" x14ac:dyDescent="0.45">
      <c r="A181" s="699"/>
      <c r="B181" s="683"/>
      <c r="C181" s="840"/>
      <c r="D181" s="840"/>
      <c r="E181" s="840"/>
      <c r="F181" s="840"/>
      <c r="G181" s="841"/>
      <c r="H181" s="841"/>
      <c r="I181" s="841"/>
      <c r="J181" s="841"/>
      <c r="K181" s="840"/>
      <c r="L181" s="841"/>
      <c r="M181" s="841"/>
      <c r="N181" s="841"/>
      <c r="O181" s="841"/>
      <c r="P181" s="840"/>
      <c r="Q181" s="841"/>
      <c r="R181" s="841"/>
      <c r="S181" s="841"/>
      <c r="T181" s="841"/>
      <c r="U181" s="840"/>
      <c r="V181" s="841"/>
      <c r="W181" s="841"/>
      <c r="X181" s="841"/>
      <c r="Y181" s="841"/>
      <c r="Z181" s="840"/>
      <c r="AA181" s="841"/>
      <c r="AB181" s="841"/>
      <c r="AC181" s="841"/>
      <c r="AD181" s="841"/>
      <c r="AE181" s="840"/>
      <c r="AF181" s="841"/>
      <c r="AG181" s="841"/>
      <c r="AH181" s="841"/>
      <c r="AI181" s="841"/>
      <c r="AJ181" s="840"/>
      <c r="AK181" s="841"/>
      <c r="AL181" s="841"/>
      <c r="AM181" s="842"/>
      <c r="AN181" s="841"/>
      <c r="AO181" s="840"/>
      <c r="AP181" s="841"/>
      <c r="AQ181" s="841"/>
      <c r="AR181" s="841"/>
      <c r="AS181" s="841"/>
      <c r="AT181" s="840"/>
      <c r="AU181" s="840"/>
      <c r="AV181" s="840"/>
      <c r="AW181" s="840"/>
      <c r="AX181" s="793"/>
    </row>
    <row r="182" spans="1:50" s="29" customFormat="1" hidden="1" outlineLevel="1" x14ac:dyDescent="0.45">
      <c r="A182" s="637" t="s">
        <v>467</v>
      </c>
      <c r="B182" s="683"/>
      <c r="C182" s="840">
        <f t="shared" ref="C182:Q182" si="184">C164-C175</f>
        <v>155.608</v>
      </c>
      <c r="D182" s="840">
        <f t="shared" si="184"/>
        <v>188.05</v>
      </c>
      <c r="E182" s="840">
        <f t="shared" si="184"/>
        <v>231.74399999999997</v>
      </c>
      <c r="F182" s="840">
        <f t="shared" si="184"/>
        <v>229.52699999999999</v>
      </c>
      <c r="G182" s="841">
        <f t="shared" si="184"/>
        <v>54.678999999999995</v>
      </c>
      <c r="H182" s="841">
        <f t="shared" si="184"/>
        <v>57.814999999999998</v>
      </c>
      <c r="I182" s="841">
        <f t="shared" si="184"/>
        <v>56.540999999999997</v>
      </c>
      <c r="J182" s="841">
        <f t="shared" si="184"/>
        <v>61.617000000000019</v>
      </c>
      <c r="K182" s="840">
        <f t="shared" si="184"/>
        <v>230.65199999999999</v>
      </c>
      <c r="L182" s="841">
        <f t="shared" si="184"/>
        <v>59.832999999999998</v>
      </c>
      <c r="M182" s="841">
        <f t="shared" si="184"/>
        <v>60.247999999999998</v>
      </c>
      <c r="N182" s="841">
        <f t="shared" si="184"/>
        <v>61.376000000000005</v>
      </c>
      <c r="O182" s="841">
        <f t="shared" si="184"/>
        <v>64.449999999999989</v>
      </c>
      <c r="P182" s="840">
        <f t="shared" si="184"/>
        <v>245.90699999999998</v>
      </c>
      <c r="Q182" s="841">
        <f t="shared" si="184"/>
        <v>58.557999999999993</v>
      </c>
      <c r="R182" s="841">
        <f t="shared" ref="R182:S182" si="185">R164-R175</f>
        <v>61.661999999999992</v>
      </c>
      <c r="S182" s="841">
        <f t="shared" si="185"/>
        <v>56.195999999999998</v>
      </c>
      <c r="T182" s="841"/>
      <c r="U182" s="840"/>
      <c r="V182" s="841"/>
      <c r="W182" s="841"/>
      <c r="X182" s="841"/>
      <c r="Y182" s="841"/>
      <c r="Z182" s="840"/>
      <c r="AA182" s="841"/>
      <c r="AB182" s="841"/>
      <c r="AC182" s="841"/>
      <c r="AD182" s="841"/>
      <c r="AE182" s="840"/>
      <c r="AF182" s="841"/>
      <c r="AG182" s="841"/>
      <c r="AH182" s="841"/>
      <c r="AI182" s="841"/>
      <c r="AJ182" s="840"/>
      <c r="AK182" s="841"/>
      <c r="AL182" s="841"/>
      <c r="AM182" s="842"/>
      <c r="AN182" s="841"/>
      <c r="AO182" s="840"/>
      <c r="AP182" s="841"/>
      <c r="AQ182" s="841"/>
      <c r="AR182" s="841"/>
      <c r="AS182" s="841"/>
      <c r="AT182" s="840"/>
      <c r="AU182" s="840"/>
      <c r="AV182" s="840"/>
      <c r="AW182" s="840"/>
      <c r="AX182" s="793"/>
    </row>
    <row r="183" spans="1:50" s="29" customFormat="1" hidden="1" outlineLevel="1" x14ac:dyDescent="0.45">
      <c r="A183" s="637" t="s">
        <v>468</v>
      </c>
      <c r="B183" s="683"/>
      <c r="C183" s="840">
        <f t="shared" ref="C183:Q183" si="186">C165-C176</f>
        <v>13.576999999999998</v>
      </c>
      <c r="D183" s="840">
        <f t="shared" si="186"/>
        <v>14.057000000000002</v>
      </c>
      <c r="E183" s="840">
        <f t="shared" si="186"/>
        <v>14.75</v>
      </c>
      <c r="F183" s="840">
        <f t="shared" si="186"/>
        <v>19.502999999999993</v>
      </c>
      <c r="G183" s="841">
        <f t="shared" si="186"/>
        <v>5.4930000000000021</v>
      </c>
      <c r="H183" s="841">
        <f t="shared" si="186"/>
        <v>5.3320000000000007</v>
      </c>
      <c r="I183" s="841">
        <f t="shared" si="186"/>
        <v>5.2780000000000005</v>
      </c>
      <c r="J183" s="841">
        <f t="shared" si="186"/>
        <v>4.0560000000000045</v>
      </c>
      <c r="K183" s="840">
        <f t="shared" si="186"/>
        <v>20.159000000000006</v>
      </c>
      <c r="L183" s="841">
        <f t="shared" si="186"/>
        <v>4.5659999999999989</v>
      </c>
      <c r="M183" s="841">
        <f t="shared" si="186"/>
        <v>4.8699999999999992</v>
      </c>
      <c r="N183" s="841">
        <f t="shared" si="186"/>
        <v>7.1560000000000006</v>
      </c>
      <c r="O183" s="841">
        <f t="shared" si="186"/>
        <v>6.9469999999999956</v>
      </c>
      <c r="P183" s="840">
        <f t="shared" si="186"/>
        <v>23.538999999999994</v>
      </c>
      <c r="Q183" s="841">
        <f t="shared" si="186"/>
        <v>7.3089999999999993</v>
      </c>
      <c r="R183" s="841">
        <f t="shared" ref="R183:S185" si="187">R165-R176</f>
        <v>7.16</v>
      </c>
      <c r="S183" s="841">
        <f t="shared" si="187"/>
        <v>7.8889999999999993</v>
      </c>
      <c r="T183" s="841"/>
      <c r="U183" s="840"/>
      <c r="V183" s="841"/>
      <c r="W183" s="841"/>
      <c r="X183" s="841"/>
      <c r="Y183" s="841"/>
      <c r="Z183" s="840"/>
      <c r="AA183" s="841"/>
      <c r="AB183" s="841"/>
      <c r="AC183" s="841"/>
      <c r="AD183" s="841"/>
      <c r="AE183" s="840"/>
      <c r="AF183" s="841"/>
      <c r="AG183" s="841"/>
      <c r="AH183" s="841"/>
      <c r="AI183" s="841"/>
      <c r="AJ183" s="840"/>
      <c r="AK183" s="841"/>
      <c r="AL183" s="841"/>
      <c r="AM183" s="842"/>
      <c r="AN183" s="841"/>
      <c r="AO183" s="840"/>
      <c r="AP183" s="841"/>
      <c r="AQ183" s="841"/>
      <c r="AR183" s="841"/>
      <c r="AS183" s="841"/>
      <c r="AT183" s="840"/>
      <c r="AU183" s="840"/>
      <c r="AV183" s="840"/>
      <c r="AW183" s="840"/>
      <c r="AX183" s="793"/>
    </row>
    <row r="184" spans="1:50" s="29" customFormat="1" hidden="1" outlineLevel="1" x14ac:dyDescent="0.45">
      <c r="A184" s="637" t="s">
        <v>469</v>
      </c>
      <c r="B184" s="683"/>
      <c r="C184" s="840">
        <f t="shared" ref="C184:Q184" si="188">C166-C177</f>
        <v>9.34</v>
      </c>
      <c r="D184" s="840">
        <f t="shared" si="188"/>
        <v>10.932</v>
      </c>
      <c r="E184" s="840">
        <f t="shared" si="188"/>
        <v>10.499000000000001</v>
      </c>
      <c r="F184" s="840">
        <f t="shared" si="188"/>
        <v>9.536999999999999</v>
      </c>
      <c r="G184" s="841">
        <f t="shared" si="188"/>
        <v>2.7589999999999999</v>
      </c>
      <c r="H184" s="841">
        <f t="shared" si="188"/>
        <v>2.7629999999999999</v>
      </c>
      <c r="I184" s="841">
        <f t="shared" si="188"/>
        <v>2.69</v>
      </c>
      <c r="J184" s="841">
        <f t="shared" si="188"/>
        <v>2.2659999999999982</v>
      </c>
      <c r="K184" s="840">
        <f t="shared" si="188"/>
        <v>10.478</v>
      </c>
      <c r="L184" s="841">
        <f t="shared" si="188"/>
        <v>1.9260000000000002</v>
      </c>
      <c r="M184" s="841">
        <f t="shared" si="188"/>
        <v>2.27</v>
      </c>
      <c r="N184" s="841">
        <f t="shared" si="188"/>
        <v>2.3660000000000005</v>
      </c>
      <c r="O184" s="841">
        <f t="shared" si="188"/>
        <v>2.4270000000000005</v>
      </c>
      <c r="P184" s="840">
        <f t="shared" si="188"/>
        <v>8.9890000000000008</v>
      </c>
      <c r="Q184" s="841">
        <f t="shared" si="188"/>
        <v>1.9390000000000001</v>
      </c>
      <c r="R184" s="841">
        <f t="shared" si="187"/>
        <v>2.4279999999999999</v>
      </c>
      <c r="S184" s="841">
        <f t="shared" si="187"/>
        <v>2.633</v>
      </c>
      <c r="T184" s="841"/>
      <c r="U184" s="840"/>
      <c r="V184" s="841"/>
      <c r="W184" s="841"/>
      <c r="X184" s="841"/>
      <c r="Y184" s="841"/>
      <c r="Z184" s="840"/>
      <c r="AA184" s="841"/>
      <c r="AB184" s="841"/>
      <c r="AC184" s="841"/>
      <c r="AD184" s="841"/>
      <c r="AE184" s="840"/>
      <c r="AF184" s="841"/>
      <c r="AG184" s="841"/>
      <c r="AH184" s="841"/>
      <c r="AI184" s="841"/>
      <c r="AJ184" s="840"/>
      <c r="AK184" s="841"/>
      <c r="AL184" s="841"/>
      <c r="AM184" s="842"/>
      <c r="AN184" s="841"/>
      <c r="AO184" s="840"/>
      <c r="AP184" s="841"/>
      <c r="AQ184" s="841"/>
      <c r="AR184" s="841"/>
      <c r="AS184" s="841"/>
      <c r="AT184" s="840"/>
      <c r="AU184" s="840"/>
      <c r="AV184" s="840"/>
      <c r="AW184" s="840"/>
      <c r="AX184" s="793"/>
    </row>
    <row r="185" spans="1:50" s="29" customFormat="1" hidden="1" outlineLevel="1" x14ac:dyDescent="0.45">
      <c r="A185" s="637" t="s">
        <v>470</v>
      </c>
      <c r="B185" s="683"/>
      <c r="C185" s="840">
        <f t="shared" ref="C185:Q185" si="189">C167-C178</f>
        <v>2.4790000000000001</v>
      </c>
      <c r="D185" s="840">
        <f t="shared" si="189"/>
        <v>13.227</v>
      </c>
      <c r="E185" s="840">
        <f t="shared" si="189"/>
        <v>23.923000000000002</v>
      </c>
      <c r="F185" s="840">
        <f t="shared" si="189"/>
        <v>14.71</v>
      </c>
      <c r="G185" s="841">
        <f t="shared" si="189"/>
        <v>1.5919999999999996</v>
      </c>
      <c r="H185" s="841">
        <f t="shared" si="189"/>
        <v>0.76600000000000001</v>
      </c>
      <c r="I185" s="841">
        <f t="shared" si="189"/>
        <v>-2.3859999999999997</v>
      </c>
      <c r="J185" s="841">
        <f t="shared" si="189"/>
        <v>-1.5450000000000017</v>
      </c>
      <c r="K185" s="840">
        <f t="shared" si="189"/>
        <v>-1.5730000000000004</v>
      </c>
      <c r="L185" s="841">
        <f t="shared" si="189"/>
        <v>-0.12999999999999989</v>
      </c>
      <c r="M185" s="841">
        <f t="shared" si="189"/>
        <v>0.70000000000000018</v>
      </c>
      <c r="N185" s="841">
        <f t="shared" si="189"/>
        <v>2.0230000000000001</v>
      </c>
      <c r="O185" s="841">
        <f t="shared" si="189"/>
        <v>2.2830000000000013</v>
      </c>
      <c r="P185" s="840">
        <f t="shared" si="189"/>
        <v>4.8760000000000012</v>
      </c>
      <c r="Q185" s="841">
        <f t="shared" si="189"/>
        <v>1.7230000000000001</v>
      </c>
      <c r="R185" s="841">
        <f t="shared" si="187"/>
        <v>0.91500000000000004</v>
      </c>
      <c r="S185" s="841">
        <f t="shared" si="187"/>
        <v>-6.899999999999995E-2</v>
      </c>
      <c r="T185" s="841"/>
      <c r="U185" s="840"/>
      <c r="V185" s="841"/>
      <c r="W185" s="841"/>
      <c r="X185" s="841"/>
      <c r="Y185" s="841"/>
      <c r="Z185" s="840"/>
      <c r="AA185" s="841"/>
      <c r="AB185" s="841"/>
      <c r="AC185" s="841"/>
      <c r="AD185" s="841"/>
      <c r="AE185" s="840"/>
      <c r="AF185" s="841"/>
      <c r="AG185" s="841"/>
      <c r="AH185" s="841"/>
      <c r="AI185" s="841"/>
      <c r="AJ185" s="840"/>
      <c r="AK185" s="841"/>
      <c r="AL185" s="841"/>
      <c r="AM185" s="842"/>
      <c r="AN185" s="841"/>
      <c r="AO185" s="840"/>
      <c r="AP185" s="841"/>
      <c r="AQ185" s="841"/>
      <c r="AR185" s="841"/>
      <c r="AS185" s="841"/>
      <c r="AT185" s="840"/>
      <c r="AU185" s="840"/>
      <c r="AV185" s="840"/>
      <c r="AW185" s="840"/>
      <c r="AX185" s="793"/>
    </row>
    <row r="186" spans="1:50" s="29" customFormat="1" hidden="1" outlineLevel="1" x14ac:dyDescent="0.45">
      <c r="A186" s="214" t="s">
        <v>465</v>
      </c>
      <c r="B186" s="682"/>
      <c r="C186" s="848">
        <f t="shared" ref="C186:P186" si="190">-C179</f>
        <v>0</v>
      </c>
      <c r="D186" s="848">
        <f t="shared" si="190"/>
        <v>-0.38500000000000001</v>
      </c>
      <c r="E186" s="848">
        <f t="shared" si="190"/>
        <v>-2.3039999999999998</v>
      </c>
      <c r="F186" s="848">
        <f t="shared" si="190"/>
        <v>-2.7</v>
      </c>
      <c r="G186" s="849">
        <f t="shared" si="190"/>
        <v>-3.0659999999999998</v>
      </c>
      <c r="H186" s="849">
        <f t="shared" si="190"/>
        <v>-3.2770000000000001</v>
      </c>
      <c r="I186" s="849">
        <f t="shared" si="190"/>
        <v>-24.324000000000002</v>
      </c>
      <c r="J186" s="849">
        <f t="shared" si="190"/>
        <v>-4.5450000000000017</v>
      </c>
      <c r="K186" s="848">
        <f t="shared" si="190"/>
        <v>-35.212000000000003</v>
      </c>
      <c r="L186" s="849">
        <f t="shared" si="190"/>
        <v>-4.4909999999999997</v>
      </c>
      <c r="M186" s="849">
        <f t="shared" si="190"/>
        <v>-4.3419999999999996</v>
      </c>
      <c r="N186" s="849">
        <f t="shared" si="190"/>
        <v>-3.8570000000000002</v>
      </c>
      <c r="O186" s="849">
        <f t="shared" si="190"/>
        <v>-3.5600000000000023</v>
      </c>
      <c r="P186" s="848">
        <f t="shared" si="190"/>
        <v>-16.25</v>
      </c>
      <c r="Q186" s="849">
        <f>-Q179</f>
        <v>-3.3420000000000001</v>
      </c>
      <c r="R186" s="849">
        <f t="shared" ref="R186:S186" si="191">-R179</f>
        <v>-3.3940000000000001</v>
      </c>
      <c r="S186" s="849">
        <f t="shared" si="191"/>
        <v>-3.4020000000000001</v>
      </c>
      <c r="T186" s="849"/>
      <c r="U186" s="848"/>
      <c r="V186" s="849"/>
      <c r="W186" s="849"/>
      <c r="X186" s="849"/>
      <c r="Y186" s="849"/>
      <c r="Z186" s="848"/>
      <c r="AA186" s="849"/>
      <c r="AB186" s="849"/>
      <c r="AC186" s="849"/>
      <c r="AD186" s="849"/>
      <c r="AE186" s="848"/>
      <c r="AF186" s="849"/>
      <c r="AG186" s="849"/>
      <c r="AH186" s="849"/>
      <c r="AI186" s="849"/>
      <c r="AJ186" s="848"/>
      <c r="AK186" s="849"/>
      <c r="AL186" s="849"/>
      <c r="AM186" s="850"/>
      <c r="AN186" s="849"/>
      <c r="AO186" s="848"/>
      <c r="AP186" s="849"/>
      <c r="AQ186" s="849"/>
      <c r="AR186" s="849"/>
      <c r="AS186" s="849"/>
      <c r="AT186" s="848"/>
      <c r="AU186" s="848"/>
      <c r="AV186" s="848"/>
      <c r="AW186" s="848"/>
      <c r="AX186" s="793"/>
    </row>
    <row r="187" spans="1:50" s="7" customFormat="1" hidden="1" outlineLevel="1" x14ac:dyDescent="0.45">
      <c r="A187" s="54" t="s">
        <v>425</v>
      </c>
      <c r="B187" s="55"/>
      <c r="C187" s="851">
        <f t="shared" ref="C187:S187" si="192">SUM(C182:C186)</f>
        <v>181.00400000000002</v>
      </c>
      <c r="D187" s="851">
        <f t="shared" si="192"/>
        <v>225.88100000000003</v>
      </c>
      <c r="E187" s="851">
        <f t="shared" si="192"/>
        <v>278.61200000000002</v>
      </c>
      <c r="F187" s="851">
        <f t="shared" si="192"/>
        <v>270.57699999999994</v>
      </c>
      <c r="G187" s="852">
        <f t="shared" si="192"/>
        <v>61.456999999999994</v>
      </c>
      <c r="H187" s="852">
        <f t="shared" si="192"/>
        <v>63.399000000000001</v>
      </c>
      <c r="I187" s="852">
        <f t="shared" si="192"/>
        <v>37.798999999999992</v>
      </c>
      <c r="J187" s="852">
        <f t="shared" si="192"/>
        <v>61.849000000000018</v>
      </c>
      <c r="K187" s="851">
        <f t="shared" si="192"/>
        <v>224.50400000000002</v>
      </c>
      <c r="L187" s="852">
        <f t="shared" si="192"/>
        <v>61.704000000000008</v>
      </c>
      <c r="M187" s="852">
        <f t="shared" si="192"/>
        <v>63.745999999999995</v>
      </c>
      <c r="N187" s="852">
        <f t="shared" si="192"/>
        <v>69.064000000000007</v>
      </c>
      <c r="O187" s="852">
        <f t="shared" si="192"/>
        <v>72.546999999999997</v>
      </c>
      <c r="P187" s="851">
        <f t="shared" si="192"/>
        <v>267.06099999999992</v>
      </c>
      <c r="Q187" s="852">
        <f t="shared" si="192"/>
        <v>66.186999999999983</v>
      </c>
      <c r="R187" s="852">
        <f t="shared" si="192"/>
        <v>68.770999999999987</v>
      </c>
      <c r="S187" s="852">
        <f t="shared" si="192"/>
        <v>63.246999999999986</v>
      </c>
      <c r="T187" s="852"/>
      <c r="U187" s="851"/>
      <c r="V187" s="852"/>
      <c r="W187" s="852"/>
      <c r="X187" s="852"/>
      <c r="Y187" s="852"/>
      <c r="Z187" s="851"/>
      <c r="AA187" s="852"/>
      <c r="AB187" s="852"/>
      <c r="AC187" s="852"/>
      <c r="AD187" s="852"/>
      <c r="AE187" s="851"/>
      <c r="AF187" s="852"/>
      <c r="AG187" s="852"/>
      <c r="AH187" s="852"/>
      <c r="AI187" s="852"/>
      <c r="AJ187" s="851"/>
      <c r="AK187" s="852"/>
      <c r="AL187" s="852"/>
      <c r="AM187" s="853"/>
      <c r="AN187" s="854"/>
      <c r="AO187" s="855"/>
      <c r="AP187" s="854"/>
      <c r="AQ187" s="854"/>
      <c r="AR187" s="854"/>
      <c r="AS187" s="854"/>
      <c r="AT187" s="855"/>
      <c r="AU187" s="855"/>
      <c r="AV187" s="855"/>
      <c r="AW187" s="855"/>
      <c r="AX187" s="795"/>
    </row>
    <row r="188" spans="1:50" s="29" customFormat="1" ht="6.75" hidden="1" customHeight="1" outlineLevel="1" x14ac:dyDescent="0.45">
      <c r="A188" s="56"/>
      <c r="B188" s="57"/>
      <c r="C188" s="840"/>
      <c r="D188" s="840"/>
      <c r="E188" s="840"/>
      <c r="F188" s="840"/>
      <c r="G188" s="841"/>
      <c r="H188" s="841"/>
      <c r="I188" s="841"/>
      <c r="J188" s="841"/>
      <c r="K188" s="840"/>
      <c r="L188" s="841"/>
      <c r="M188" s="841"/>
      <c r="N188" s="841"/>
      <c r="O188" s="841"/>
      <c r="P188" s="840"/>
      <c r="Q188" s="841"/>
      <c r="R188" s="841"/>
      <c r="S188" s="841"/>
      <c r="T188" s="841"/>
      <c r="U188" s="840"/>
      <c r="V188" s="841"/>
      <c r="W188" s="841"/>
      <c r="X188" s="841"/>
      <c r="Y188" s="841"/>
      <c r="Z188" s="840"/>
      <c r="AA188" s="841"/>
      <c r="AB188" s="841"/>
      <c r="AC188" s="841"/>
      <c r="AD188" s="841"/>
      <c r="AE188" s="840"/>
      <c r="AF188" s="841"/>
      <c r="AG188" s="841"/>
      <c r="AH188" s="841"/>
      <c r="AI188" s="841"/>
      <c r="AJ188" s="840"/>
      <c r="AK188" s="841"/>
      <c r="AL188" s="841"/>
      <c r="AM188" s="842"/>
      <c r="AN188" s="843"/>
      <c r="AO188" s="844"/>
      <c r="AP188" s="843"/>
      <c r="AQ188" s="843"/>
      <c r="AR188" s="843"/>
      <c r="AS188" s="843"/>
      <c r="AT188" s="844"/>
      <c r="AU188" s="844"/>
      <c r="AV188" s="844"/>
      <c r="AW188" s="844"/>
      <c r="AX188" s="793"/>
    </row>
    <row r="189" spans="1:50" s="51" customFormat="1" hidden="1" outlineLevel="1" x14ac:dyDescent="0.45">
      <c r="A189" s="66" t="s">
        <v>514</v>
      </c>
      <c r="B189" s="684"/>
      <c r="C189" s="411">
        <f>C182/C164</f>
        <v>0.68031303283347178</v>
      </c>
      <c r="D189" s="411">
        <f t="shared" ref="D189:S192" si="193">D182/D164</f>
        <v>0.70550674180066486</v>
      </c>
      <c r="E189" s="411">
        <f t="shared" si="193"/>
        <v>0.71203532155333715</v>
      </c>
      <c r="F189" s="411">
        <f t="shared" si="193"/>
        <v>0.66661922948462882</v>
      </c>
      <c r="G189" s="685">
        <f t="shared" si="193"/>
        <v>0.67061997915005822</v>
      </c>
      <c r="H189" s="685">
        <f t="shared" si="193"/>
        <v>0.68257753745528393</v>
      </c>
      <c r="I189" s="685">
        <f t="shared" si="193"/>
        <v>0.67406206411463854</v>
      </c>
      <c r="J189" s="685">
        <f t="shared" si="193"/>
        <v>0.67708756854169649</v>
      </c>
      <c r="K189" s="411">
        <f t="shared" si="193"/>
        <v>0.67616088180112566</v>
      </c>
      <c r="L189" s="685">
        <f t="shared" si="193"/>
        <v>0.65238676756002356</v>
      </c>
      <c r="M189" s="685">
        <f t="shared" si="193"/>
        <v>0.64679864301971057</v>
      </c>
      <c r="N189" s="685">
        <f t="shared" si="193"/>
        <v>0.66673908792665182</v>
      </c>
      <c r="O189" s="685">
        <f t="shared" si="193"/>
        <v>0.66546892585364836</v>
      </c>
      <c r="P189" s="411">
        <f t="shared" si="193"/>
        <v>0.6579187457359571</v>
      </c>
      <c r="Q189" s="685">
        <f t="shared" si="193"/>
        <v>0.63917480761883971</v>
      </c>
      <c r="R189" s="685">
        <f t="shared" si="193"/>
        <v>0.64924453803632531</v>
      </c>
      <c r="S189" s="685">
        <f t="shared" si="193"/>
        <v>0.63360129886236793</v>
      </c>
      <c r="T189" s="685"/>
      <c r="U189" s="411"/>
      <c r="V189" s="685"/>
      <c r="W189" s="685"/>
      <c r="X189" s="685"/>
      <c r="Y189" s="685"/>
      <c r="Z189" s="411"/>
      <c r="AA189" s="685"/>
      <c r="AB189" s="685"/>
      <c r="AC189" s="685"/>
      <c r="AD189" s="685"/>
      <c r="AE189" s="411"/>
      <c r="AF189" s="685"/>
      <c r="AG189" s="685"/>
      <c r="AH189" s="685"/>
      <c r="AI189" s="685"/>
      <c r="AJ189" s="411"/>
      <c r="AK189" s="685"/>
      <c r="AL189" s="685"/>
      <c r="AM189" s="686"/>
      <c r="AN189" s="58"/>
      <c r="AO189" s="27"/>
      <c r="AP189" s="58"/>
      <c r="AQ189" s="58"/>
      <c r="AR189" s="58"/>
      <c r="AS189" s="58"/>
      <c r="AT189" s="27"/>
      <c r="AU189" s="27"/>
      <c r="AV189" s="27"/>
      <c r="AW189" s="27"/>
      <c r="AX189" s="58"/>
    </row>
    <row r="190" spans="1:50" s="51" customFormat="1" hidden="1" outlineLevel="1" x14ac:dyDescent="0.45">
      <c r="A190" s="66" t="s">
        <v>515</v>
      </c>
      <c r="B190" s="684"/>
      <c r="C190" s="411">
        <f t="shared" ref="C190:R192" si="194">C183/C165</f>
        <v>0.31528958246249589</v>
      </c>
      <c r="D190" s="411">
        <f t="shared" si="194"/>
        <v>0.28715298347394441</v>
      </c>
      <c r="E190" s="411">
        <f t="shared" si="194"/>
        <v>0.29318809755709713</v>
      </c>
      <c r="F190" s="411">
        <f t="shared" si="194"/>
        <v>0.30232053448249124</v>
      </c>
      <c r="G190" s="685">
        <f t="shared" si="194"/>
        <v>0.31612569060773493</v>
      </c>
      <c r="H190" s="685">
        <f t="shared" si="194"/>
        <v>0.31848046828335924</v>
      </c>
      <c r="I190" s="685">
        <f t="shared" si="194"/>
        <v>0.30319393382352944</v>
      </c>
      <c r="J190" s="685">
        <f t="shared" si="194"/>
        <v>0.24482404780587944</v>
      </c>
      <c r="K190" s="411">
        <f t="shared" si="194"/>
        <v>0.29605098908845262</v>
      </c>
      <c r="L190" s="685">
        <f t="shared" si="194"/>
        <v>0.25708011936264846</v>
      </c>
      <c r="M190" s="685">
        <f t="shared" si="194"/>
        <v>0.26251954072556732</v>
      </c>
      <c r="N190" s="685">
        <f t="shared" si="194"/>
        <v>0.32656414000821432</v>
      </c>
      <c r="O190" s="685">
        <f t="shared" si="194"/>
        <v>0.31896235078053237</v>
      </c>
      <c r="P190" s="411">
        <f t="shared" si="194"/>
        <v>0.29421911130554335</v>
      </c>
      <c r="Q190" s="685">
        <f t="shared" si="194"/>
        <v>0.32539399875345026</v>
      </c>
      <c r="R190" s="685">
        <f t="shared" si="194"/>
        <v>0.3177702822652228</v>
      </c>
      <c r="S190" s="685">
        <f t="shared" si="193"/>
        <v>0.34308950160911539</v>
      </c>
      <c r="T190" s="685"/>
      <c r="U190" s="411"/>
      <c r="V190" s="685"/>
      <c r="W190" s="685"/>
      <c r="X190" s="685"/>
      <c r="Y190" s="685"/>
      <c r="Z190" s="411"/>
      <c r="AA190" s="685"/>
      <c r="AB190" s="685"/>
      <c r="AC190" s="685"/>
      <c r="AD190" s="685"/>
      <c r="AE190" s="411"/>
      <c r="AF190" s="685"/>
      <c r="AG190" s="685"/>
      <c r="AH190" s="685"/>
      <c r="AI190" s="685"/>
      <c r="AJ190" s="411"/>
      <c r="AK190" s="685"/>
      <c r="AL190" s="685"/>
      <c r="AM190" s="686"/>
      <c r="AN190" s="58"/>
      <c r="AO190" s="27"/>
      <c r="AP190" s="58"/>
      <c r="AQ190" s="58"/>
      <c r="AR190" s="58"/>
      <c r="AS190" s="58"/>
      <c r="AT190" s="27"/>
      <c r="AU190" s="27"/>
      <c r="AV190" s="27"/>
      <c r="AW190" s="27"/>
      <c r="AX190" s="58"/>
    </row>
    <row r="191" spans="1:50" s="51" customFormat="1" hidden="1" outlineLevel="1" x14ac:dyDescent="0.45">
      <c r="A191" s="66" t="s">
        <v>516</v>
      </c>
      <c r="B191" s="684"/>
      <c r="C191" s="411">
        <f t="shared" si="194"/>
        <v>0.54530593180756659</v>
      </c>
      <c r="D191" s="411">
        <f t="shared" si="193"/>
        <v>0.54753080236401885</v>
      </c>
      <c r="E191" s="411">
        <f t="shared" si="193"/>
        <v>0.53577260665441928</v>
      </c>
      <c r="F191" s="411">
        <f t="shared" si="193"/>
        <v>0.47708854427213604</v>
      </c>
      <c r="G191" s="685">
        <f t="shared" si="193"/>
        <v>0.53562415065035918</v>
      </c>
      <c r="H191" s="685">
        <f t="shared" si="193"/>
        <v>0.56341761827079939</v>
      </c>
      <c r="I191" s="685">
        <f t="shared" si="193"/>
        <v>0.52931916568280202</v>
      </c>
      <c r="J191" s="685">
        <f t="shared" si="193"/>
        <v>0.48182011482032716</v>
      </c>
      <c r="K191" s="411">
        <f t="shared" si="193"/>
        <v>0.52812499999999996</v>
      </c>
      <c r="L191" s="685">
        <f t="shared" si="193"/>
        <v>0.45392411029931651</v>
      </c>
      <c r="M191" s="685">
        <f t="shared" si="193"/>
        <v>0.48743826497745329</v>
      </c>
      <c r="N191" s="685">
        <f t="shared" si="193"/>
        <v>0.52812500000000007</v>
      </c>
      <c r="O191" s="685">
        <f t="shared" si="193"/>
        <v>0.47860382567540932</v>
      </c>
      <c r="P191" s="411">
        <f t="shared" si="193"/>
        <v>0.4871822665438188</v>
      </c>
      <c r="Q191" s="685">
        <f t="shared" si="193"/>
        <v>0.43888637392485286</v>
      </c>
      <c r="R191" s="685">
        <f t="shared" si="193"/>
        <v>0.5186925870540483</v>
      </c>
      <c r="S191" s="685">
        <f t="shared" si="193"/>
        <v>0.55713076597545497</v>
      </c>
      <c r="T191" s="685"/>
      <c r="U191" s="411"/>
      <c r="V191" s="685"/>
      <c r="W191" s="685"/>
      <c r="X191" s="685"/>
      <c r="Y191" s="685"/>
      <c r="Z191" s="411"/>
      <c r="AA191" s="685"/>
      <c r="AB191" s="685"/>
      <c r="AC191" s="685"/>
      <c r="AD191" s="685"/>
      <c r="AE191" s="411"/>
      <c r="AF191" s="685"/>
      <c r="AG191" s="685"/>
      <c r="AH191" s="685"/>
      <c r="AI191" s="685"/>
      <c r="AJ191" s="411"/>
      <c r="AK191" s="685"/>
      <c r="AL191" s="685"/>
      <c r="AM191" s="686"/>
      <c r="AN191" s="58"/>
      <c r="AO191" s="27"/>
      <c r="AP191" s="58"/>
      <c r="AQ191" s="58"/>
      <c r="AR191" s="58"/>
      <c r="AS191" s="58"/>
      <c r="AT191" s="27"/>
      <c r="AU191" s="27"/>
      <c r="AV191" s="27"/>
      <c r="AW191" s="27"/>
      <c r="AX191" s="58"/>
    </row>
    <row r="192" spans="1:50" s="51" customFormat="1" hidden="1" outlineLevel="1" x14ac:dyDescent="0.45">
      <c r="A192" s="66" t="s">
        <v>517</v>
      </c>
      <c r="B192" s="684"/>
      <c r="C192" s="411">
        <f t="shared" si="194"/>
        <v>0.85748875821515047</v>
      </c>
      <c r="D192" s="411">
        <f t="shared" si="193"/>
        <v>0.73902111967817641</v>
      </c>
      <c r="E192" s="411">
        <f t="shared" si="193"/>
        <v>0.6941647564054203</v>
      </c>
      <c r="F192" s="411">
        <f t="shared" si="193"/>
        <v>0.46827746474389587</v>
      </c>
      <c r="G192" s="685">
        <f t="shared" si="193"/>
        <v>0.29120175599048836</v>
      </c>
      <c r="H192" s="685">
        <f t="shared" si="193"/>
        <v>0.16180819602872834</v>
      </c>
      <c r="I192" s="685">
        <f t="shared" si="193"/>
        <v>-0.96093435360451052</v>
      </c>
      <c r="J192" s="685">
        <f t="shared" si="193"/>
        <v>-0.52730375426621223</v>
      </c>
      <c r="K192" s="411">
        <f t="shared" si="193"/>
        <v>-0.10074292301780456</v>
      </c>
      <c r="L192" s="685">
        <f t="shared" si="193"/>
        <v>-3.1130268199233691E-2</v>
      </c>
      <c r="M192" s="685">
        <f t="shared" si="193"/>
        <v>0.16814797021378816</v>
      </c>
      <c r="N192" s="685">
        <f t="shared" si="193"/>
        <v>0.40646976090014064</v>
      </c>
      <c r="O192" s="685">
        <f t="shared" si="193"/>
        <v>0.48698805460750871</v>
      </c>
      <c r="P192" s="411">
        <f t="shared" si="193"/>
        <v>0.27082870473228177</v>
      </c>
      <c r="Q192" s="685">
        <f t="shared" si="193"/>
        <v>0.46961024802398477</v>
      </c>
      <c r="R192" s="685">
        <f t="shared" si="193"/>
        <v>0.28764539453002202</v>
      </c>
      <c r="S192" s="685">
        <f t="shared" si="193"/>
        <v>-0.11147011308562189</v>
      </c>
      <c r="T192" s="685"/>
      <c r="U192" s="411"/>
      <c r="V192" s="685"/>
      <c r="W192" s="685"/>
      <c r="X192" s="685"/>
      <c r="Y192" s="685"/>
      <c r="Z192" s="411"/>
      <c r="AA192" s="685"/>
      <c r="AB192" s="685"/>
      <c r="AC192" s="685"/>
      <c r="AD192" s="685"/>
      <c r="AE192" s="411"/>
      <c r="AF192" s="685"/>
      <c r="AG192" s="685"/>
      <c r="AH192" s="685"/>
      <c r="AI192" s="685"/>
      <c r="AJ192" s="411"/>
      <c r="AK192" s="685"/>
      <c r="AL192" s="685"/>
      <c r="AM192" s="686"/>
      <c r="AN192" s="58"/>
      <c r="AO192" s="27"/>
      <c r="AP192" s="58"/>
      <c r="AQ192" s="58"/>
      <c r="AR192" s="58"/>
      <c r="AS192" s="58"/>
      <c r="AT192" s="27"/>
      <c r="AU192" s="27"/>
      <c r="AV192" s="27"/>
      <c r="AW192" s="27"/>
      <c r="AX192" s="58"/>
    </row>
    <row r="193" spans="1:50" s="29" customFormat="1" hidden="1" outlineLevel="1" x14ac:dyDescent="0.45">
      <c r="A193" s="56"/>
      <c r="B193" s="57"/>
      <c r="C193" s="840"/>
      <c r="D193" s="840"/>
      <c r="E193" s="840"/>
      <c r="F193" s="840"/>
      <c r="G193" s="841"/>
      <c r="H193" s="841"/>
      <c r="I193" s="841"/>
      <c r="J193" s="841"/>
      <c r="K193" s="840"/>
      <c r="L193" s="841"/>
      <c r="M193" s="841"/>
      <c r="N193" s="841"/>
      <c r="O193" s="841"/>
      <c r="P193" s="840"/>
      <c r="Q193" s="841"/>
      <c r="R193" s="841"/>
      <c r="S193" s="841"/>
      <c r="T193" s="841"/>
      <c r="U193" s="840"/>
      <c r="V193" s="841"/>
      <c r="W193" s="841"/>
      <c r="X193" s="841"/>
      <c r="Y193" s="841"/>
      <c r="Z193" s="840"/>
      <c r="AA193" s="841"/>
      <c r="AB193" s="841"/>
      <c r="AC193" s="841"/>
      <c r="AD193" s="841"/>
      <c r="AE193" s="840"/>
      <c r="AF193" s="841"/>
      <c r="AG193" s="841"/>
      <c r="AH193" s="841"/>
      <c r="AI193" s="841"/>
      <c r="AJ193" s="840"/>
      <c r="AK193" s="841"/>
      <c r="AL193" s="841"/>
      <c r="AM193" s="842"/>
      <c r="AN193" s="843"/>
      <c r="AO193" s="844"/>
      <c r="AP193" s="843"/>
      <c r="AQ193" s="843"/>
      <c r="AR193" s="843"/>
      <c r="AS193" s="843"/>
      <c r="AT193" s="844"/>
      <c r="AU193" s="844"/>
      <c r="AV193" s="844"/>
      <c r="AW193" s="844"/>
      <c r="AX193" s="793"/>
    </row>
    <row r="194" spans="1:50" s="29" customFormat="1" hidden="1" outlineLevel="1" x14ac:dyDescent="0.45">
      <c r="A194" s="68" t="s">
        <v>418</v>
      </c>
      <c r="B194" s="57"/>
      <c r="C194" s="840">
        <v>87.432000000000002</v>
      </c>
      <c r="D194" s="840">
        <v>104.39100000000001</v>
      </c>
      <c r="E194" s="840">
        <v>127.032</v>
      </c>
      <c r="F194" s="840">
        <v>120.974</v>
      </c>
      <c r="G194" s="841">
        <v>36.628999999999998</v>
      </c>
      <c r="H194" s="841">
        <v>38.985999999999997</v>
      </c>
      <c r="I194" s="841">
        <v>36.834000000000003</v>
      </c>
      <c r="J194" s="841">
        <f t="shared" ref="J194:J197" si="195">+K194-SUM(G194,H194,I194)</f>
        <v>43.129000000000005</v>
      </c>
      <c r="K194" s="840">
        <v>155.578</v>
      </c>
      <c r="L194" s="841">
        <v>44.344999999999999</v>
      </c>
      <c r="M194" s="841">
        <v>44.713000000000001</v>
      </c>
      <c r="N194" s="841">
        <v>45.107999999999997</v>
      </c>
      <c r="O194" s="841">
        <f t="shared" ref="O194:O197" si="196">+P194-SUM(L194,M194,N194)</f>
        <v>48.153999999999996</v>
      </c>
      <c r="P194" s="840">
        <v>182.32</v>
      </c>
      <c r="Q194" s="841">
        <v>44.857999999999997</v>
      </c>
      <c r="R194" s="841">
        <v>47.64</v>
      </c>
      <c r="S194" s="841">
        <v>42.012</v>
      </c>
      <c r="T194" s="841">
        <f t="shared" ref="T194:T197" si="197">+U194-SUM(Q194,R194,S194)</f>
        <v>47.998000000000019</v>
      </c>
      <c r="U194" s="840">
        <v>182.50800000000001</v>
      </c>
      <c r="V194" s="841"/>
      <c r="W194" s="841"/>
      <c r="X194" s="841"/>
      <c r="Y194" s="841"/>
      <c r="Z194" s="840"/>
      <c r="AA194" s="841"/>
      <c r="AB194" s="841"/>
      <c r="AC194" s="841"/>
      <c r="AD194" s="841"/>
      <c r="AE194" s="840"/>
      <c r="AF194" s="841"/>
      <c r="AG194" s="841"/>
      <c r="AH194" s="841"/>
      <c r="AI194" s="841"/>
      <c r="AJ194" s="840"/>
      <c r="AK194" s="841"/>
      <c r="AL194" s="841"/>
      <c r="AM194" s="842"/>
      <c r="AN194" s="843"/>
      <c r="AO194" s="844"/>
      <c r="AP194" s="843"/>
      <c r="AQ194" s="843"/>
      <c r="AR194" s="843"/>
      <c r="AS194" s="843"/>
      <c r="AT194" s="844"/>
      <c r="AU194" s="844"/>
      <c r="AV194" s="844"/>
      <c r="AW194" s="844"/>
      <c r="AX194" s="793"/>
    </row>
    <row r="195" spans="1:50" s="29" customFormat="1" hidden="1" outlineLevel="1" x14ac:dyDescent="0.45">
      <c r="A195" s="68" t="s">
        <v>419</v>
      </c>
      <c r="B195" s="57"/>
      <c r="C195" s="840">
        <v>2.3140000000000001</v>
      </c>
      <c r="D195" s="840">
        <v>4.2350000000000003</v>
      </c>
      <c r="E195" s="840">
        <v>5.835</v>
      </c>
      <c r="F195" s="840">
        <v>8.18</v>
      </c>
      <c r="G195" s="841">
        <v>3.0219999999999998</v>
      </c>
      <c r="H195" s="841">
        <v>2.8860000000000001</v>
      </c>
      <c r="I195" s="841">
        <v>2.722</v>
      </c>
      <c r="J195" s="841">
        <f t="shared" si="195"/>
        <v>0.71300000000000097</v>
      </c>
      <c r="K195" s="840">
        <v>9.343</v>
      </c>
      <c r="L195" s="841">
        <v>2.2450000000000001</v>
      </c>
      <c r="M195" s="841">
        <v>2.657</v>
      </c>
      <c r="N195" s="841">
        <v>4.681</v>
      </c>
      <c r="O195" s="841">
        <f t="shared" si="196"/>
        <v>4.3360000000000003</v>
      </c>
      <c r="P195" s="840">
        <v>13.919</v>
      </c>
      <c r="Q195" s="841">
        <v>4.4169999999999998</v>
      </c>
      <c r="R195" s="841">
        <v>4.0789999999999997</v>
      </c>
      <c r="S195" s="841">
        <v>4.8380000000000001</v>
      </c>
      <c r="T195" s="841">
        <f t="shared" si="197"/>
        <v>4.3049999999999997</v>
      </c>
      <c r="U195" s="840">
        <v>17.638999999999999</v>
      </c>
      <c r="V195" s="841"/>
      <c r="W195" s="841"/>
      <c r="X195" s="841"/>
      <c r="Y195" s="841"/>
      <c r="Z195" s="840"/>
      <c r="AA195" s="841"/>
      <c r="AB195" s="841"/>
      <c r="AC195" s="841"/>
      <c r="AD195" s="841"/>
      <c r="AE195" s="840"/>
      <c r="AF195" s="841"/>
      <c r="AG195" s="841"/>
      <c r="AH195" s="841"/>
      <c r="AI195" s="841"/>
      <c r="AJ195" s="840"/>
      <c r="AK195" s="841"/>
      <c r="AL195" s="841"/>
      <c r="AM195" s="842"/>
      <c r="AN195" s="843"/>
      <c r="AO195" s="844"/>
      <c r="AP195" s="843"/>
      <c r="AQ195" s="843"/>
      <c r="AR195" s="843"/>
      <c r="AS195" s="843"/>
      <c r="AT195" s="844"/>
      <c r="AU195" s="844"/>
      <c r="AV195" s="844"/>
      <c r="AW195" s="844"/>
      <c r="AX195" s="793"/>
    </row>
    <row r="196" spans="1:50" s="29" customFormat="1" hidden="1" outlineLevel="1" x14ac:dyDescent="0.45">
      <c r="A196" s="68" t="s">
        <v>420</v>
      </c>
      <c r="B196" s="57"/>
      <c r="C196" s="840">
        <v>3.46</v>
      </c>
      <c r="D196" s="840">
        <v>4.6719999999999997</v>
      </c>
      <c r="E196" s="840">
        <v>3.3519999999999999</v>
      </c>
      <c r="F196" s="840">
        <v>3.02</v>
      </c>
      <c r="G196" s="841">
        <v>1.641</v>
      </c>
      <c r="H196" s="841">
        <v>1.835</v>
      </c>
      <c r="I196" s="841">
        <v>1.323</v>
      </c>
      <c r="J196" s="841">
        <f t="shared" si="195"/>
        <v>1.3560000000000008</v>
      </c>
      <c r="K196" s="840">
        <v>6.1550000000000002</v>
      </c>
      <c r="L196" s="841">
        <v>0.92</v>
      </c>
      <c r="M196" s="841">
        <v>1.4159999999999999</v>
      </c>
      <c r="N196" s="841">
        <v>1.5229999999999999</v>
      </c>
      <c r="O196" s="841">
        <f t="shared" si="196"/>
        <v>1.3019999999999996</v>
      </c>
      <c r="P196" s="840">
        <v>5.1609999999999996</v>
      </c>
      <c r="Q196" s="841">
        <v>0.95</v>
      </c>
      <c r="R196" s="841">
        <v>1.6359999999999999</v>
      </c>
      <c r="S196" s="841">
        <v>1.7829999999999999</v>
      </c>
      <c r="T196" s="841">
        <f t="shared" si="197"/>
        <v>1.7320000000000002</v>
      </c>
      <c r="U196" s="840">
        <v>6.101</v>
      </c>
      <c r="V196" s="841"/>
      <c r="W196" s="841"/>
      <c r="X196" s="841"/>
      <c r="Y196" s="841"/>
      <c r="Z196" s="840"/>
      <c r="AA196" s="841"/>
      <c r="AB196" s="841"/>
      <c r="AC196" s="841"/>
      <c r="AD196" s="841"/>
      <c r="AE196" s="840"/>
      <c r="AF196" s="841"/>
      <c r="AG196" s="841"/>
      <c r="AH196" s="841"/>
      <c r="AI196" s="841"/>
      <c r="AJ196" s="840"/>
      <c r="AK196" s="841"/>
      <c r="AL196" s="841"/>
      <c r="AM196" s="842"/>
      <c r="AN196" s="843"/>
      <c r="AO196" s="844"/>
      <c r="AP196" s="843"/>
      <c r="AQ196" s="843"/>
      <c r="AR196" s="843"/>
      <c r="AS196" s="843"/>
      <c r="AT196" s="844"/>
      <c r="AU196" s="844"/>
      <c r="AV196" s="844"/>
      <c r="AW196" s="844"/>
      <c r="AX196" s="793"/>
    </row>
    <row r="197" spans="1:50" s="29" customFormat="1" hidden="1" outlineLevel="1" x14ac:dyDescent="0.45">
      <c r="A197" s="68" t="s">
        <v>421</v>
      </c>
      <c r="B197" s="57"/>
      <c r="C197" s="840">
        <v>0.67600000000000005</v>
      </c>
      <c r="D197" s="840">
        <v>5.3620000000000001</v>
      </c>
      <c r="E197" s="840">
        <v>10.417</v>
      </c>
      <c r="F197" s="840">
        <v>-4.3540000000000001</v>
      </c>
      <c r="G197" s="841">
        <v>-0.70399999999999996</v>
      </c>
      <c r="H197" s="841">
        <v>-1.988</v>
      </c>
      <c r="I197" s="841">
        <v>-1.9690000000000001</v>
      </c>
      <c r="J197" s="841">
        <f t="shared" si="195"/>
        <v>-2.7919999999999998</v>
      </c>
      <c r="K197" s="840">
        <v>-7.4530000000000003</v>
      </c>
      <c r="L197" s="841">
        <v>-1.6910000000000001</v>
      </c>
      <c r="M197" s="841">
        <v>-0.83099999999999996</v>
      </c>
      <c r="N197" s="841">
        <v>0.372</v>
      </c>
      <c r="O197" s="841">
        <f t="shared" si="196"/>
        <v>0.81100000000000039</v>
      </c>
      <c r="P197" s="840">
        <v>-1.339</v>
      </c>
      <c r="Q197" s="841">
        <v>0.95499999999999996</v>
      </c>
      <c r="R197" s="841">
        <v>0.221</v>
      </c>
      <c r="S197" s="841">
        <v>-2.1030000000000002</v>
      </c>
      <c r="T197" s="841">
        <f t="shared" si="197"/>
        <v>0</v>
      </c>
      <c r="U197" s="840">
        <v>-0.92700000000000005</v>
      </c>
      <c r="V197" s="841"/>
      <c r="W197" s="841"/>
      <c r="X197" s="841"/>
      <c r="Y197" s="841"/>
      <c r="Z197" s="840"/>
      <c r="AA197" s="841"/>
      <c r="AB197" s="841"/>
      <c r="AC197" s="841"/>
      <c r="AD197" s="841"/>
      <c r="AE197" s="840"/>
      <c r="AF197" s="841"/>
      <c r="AG197" s="841"/>
      <c r="AH197" s="841"/>
      <c r="AI197" s="841"/>
      <c r="AJ197" s="840"/>
      <c r="AK197" s="841"/>
      <c r="AL197" s="841"/>
      <c r="AM197" s="842"/>
      <c r="AN197" s="843"/>
      <c r="AO197" s="844"/>
      <c r="AP197" s="843"/>
      <c r="AQ197" s="843"/>
      <c r="AR197" s="843"/>
      <c r="AS197" s="843"/>
      <c r="AT197" s="844"/>
      <c r="AU197" s="844"/>
      <c r="AV197" s="844"/>
      <c r="AW197" s="844"/>
      <c r="AX197" s="793"/>
    </row>
    <row r="198" spans="1:50" s="29" customFormat="1" hidden="1" outlineLevel="1" x14ac:dyDescent="0.45">
      <c r="A198" s="494" t="s">
        <v>422</v>
      </c>
      <c r="B198" s="681"/>
      <c r="C198" s="856">
        <f t="shared" ref="C198:U198" si="198">SUM(C194:C197)</f>
        <v>93.882000000000005</v>
      </c>
      <c r="D198" s="856">
        <f t="shared" si="198"/>
        <v>118.66</v>
      </c>
      <c r="E198" s="856">
        <f t="shared" si="198"/>
        <v>146.636</v>
      </c>
      <c r="F198" s="856">
        <f t="shared" si="198"/>
        <v>127.82000000000001</v>
      </c>
      <c r="G198" s="857">
        <f t="shared" si="198"/>
        <v>40.587999999999994</v>
      </c>
      <c r="H198" s="857">
        <f t="shared" si="198"/>
        <v>41.719000000000001</v>
      </c>
      <c r="I198" s="857">
        <f t="shared" si="198"/>
        <v>38.910000000000004</v>
      </c>
      <c r="J198" s="857">
        <f t="shared" si="198"/>
        <v>42.406000000000006</v>
      </c>
      <c r="K198" s="856">
        <f t="shared" si="198"/>
        <v>163.62299999999999</v>
      </c>
      <c r="L198" s="857">
        <f t="shared" si="198"/>
        <v>45.818999999999996</v>
      </c>
      <c r="M198" s="857">
        <f t="shared" si="198"/>
        <v>47.954999999999998</v>
      </c>
      <c r="N198" s="857">
        <f t="shared" si="198"/>
        <v>51.683999999999997</v>
      </c>
      <c r="O198" s="857">
        <f t="shared" si="198"/>
        <v>54.602999999999994</v>
      </c>
      <c r="P198" s="856">
        <f t="shared" si="198"/>
        <v>200.06100000000001</v>
      </c>
      <c r="Q198" s="857">
        <f t="shared" si="198"/>
        <v>51.18</v>
      </c>
      <c r="R198" s="857">
        <f t="shared" si="198"/>
        <v>53.576000000000001</v>
      </c>
      <c r="S198" s="857">
        <f t="shared" si="198"/>
        <v>46.53</v>
      </c>
      <c r="T198" s="857">
        <f t="shared" si="198"/>
        <v>54.035000000000018</v>
      </c>
      <c r="U198" s="856">
        <f t="shared" si="198"/>
        <v>205.32100000000003</v>
      </c>
      <c r="V198" s="857"/>
      <c r="W198" s="857"/>
      <c r="X198" s="857"/>
      <c r="Y198" s="857"/>
      <c r="Z198" s="856"/>
      <c r="AA198" s="857"/>
      <c r="AB198" s="857"/>
      <c r="AC198" s="857"/>
      <c r="AD198" s="857"/>
      <c r="AE198" s="856"/>
      <c r="AF198" s="857"/>
      <c r="AG198" s="857"/>
      <c r="AH198" s="857"/>
      <c r="AI198" s="857"/>
      <c r="AJ198" s="856"/>
      <c r="AK198" s="857"/>
      <c r="AL198" s="857"/>
      <c r="AM198" s="858"/>
      <c r="AN198" s="857"/>
      <c r="AO198" s="856"/>
      <c r="AP198" s="857"/>
      <c r="AQ198" s="857"/>
      <c r="AR198" s="857"/>
      <c r="AS198" s="857"/>
      <c r="AT198" s="856"/>
      <c r="AU198" s="856"/>
      <c r="AV198" s="856"/>
      <c r="AW198" s="856"/>
      <c r="AX198" s="793"/>
    </row>
    <row r="199" spans="1:50" s="29" customFormat="1" hidden="1" outlineLevel="1" x14ac:dyDescent="0.45">
      <c r="A199" s="214" t="s">
        <v>423</v>
      </c>
      <c r="B199" s="682"/>
      <c r="C199" s="848">
        <v>-18.158000000000001</v>
      </c>
      <c r="D199" s="848">
        <v>-24.568000000000001</v>
      </c>
      <c r="E199" s="848">
        <v>-30.437000000000001</v>
      </c>
      <c r="F199" s="848">
        <v>-58.72</v>
      </c>
      <c r="G199" s="849">
        <v>-21.035</v>
      </c>
      <c r="H199" s="849">
        <v>-25.773</v>
      </c>
      <c r="I199" s="849">
        <v>-58.241999999999997</v>
      </c>
      <c r="J199" s="849">
        <f t="shared" ref="J199" si="199">+K199-SUM(G199,H199,I199)</f>
        <v>-35.484999999999999</v>
      </c>
      <c r="K199" s="848">
        <v>-140.535</v>
      </c>
      <c r="L199" s="849">
        <v>-38.064</v>
      </c>
      <c r="M199" s="849">
        <v>-40.695999999999998</v>
      </c>
      <c r="N199" s="849">
        <v>-43.473999999999997</v>
      </c>
      <c r="O199" s="849">
        <f t="shared" ref="O199" si="200">+P199-SUM(L199,M199,N199)</f>
        <v>-41.871000000000009</v>
      </c>
      <c r="P199" s="848">
        <v>-164.10499999999999</v>
      </c>
      <c r="Q199" s="849">
        <v>-42.146000000000001</v>
      </c>
      <c r="R199" s="849">
        <v>-41.08</v>
      </c>
      <c r="S199" s="849">
        <v>-38.093000000000004</v>
      </c>
      <c r="T199" s="849">
        <f t="shared" ref="T199" si="201">+U199-SUM(Q199,R199,S199)</f>
        <v>-76.64</v>
      </c>
      <c r="U199" s="848">
        <v>-197.959</v>
      </c>
      <c r="V199" s="849"/>
      <c r="W199" s="849"/>
      <c r="X199" s="849"/>
      <c r="Y199" s="849"/>
      <c r="Z199" s="848"/>
      <c r="AA199" s="849"/>
      <c r="AB199" s="849"/>
      <c r="AC199" s="849"/>
      <c r="AD199" s="849"/>
      <c r="AE199" s="848"/>
      <c r="AF199" s="849"/>
      <c r="AG199" s="849"/>
      <c r="AH199" s="849"/>
      <c r="AI199" s="849"/>
      <c r="AJ199" s="848"/>
      <c r="AK199" s="849"/>
      <c r="AL199" s="849"/>
      <c r="AM199" s="850"/>
      <c r="AN199" s="849"/>
      <c r="AO199" s="848"/>
      <c r="AP199" s="849"/>
      <c r="AQ199" s="849"/>
      <c r="AR199" s="849"/>
      <c r="AS199" s="849"/>
      <c r="AT199" s="848"/>
      <c r="AU199" s="848"/>
      <c r="AV199" s="848"/>
      <c r="AW199" s="848"/>
      <c r="AX199" s="793"/>
    </row>
    <row r="200" spans="1:50" s="7" customFormat="1" hidden="1" outlineLevel="1" x14ac:dyDescent="0.45">
      <c r="A200" s="54" t="s">
        <v>424</v>
      </c>
      <c r="B200" s="55"/>
      <c r="C200" s="851">
        <f t="shared" ref="C200:U200" si="202">SUM(C198:C199)</f>
        <v>75.724000000000004</v>
      </c>
      <c r="D200" s="851">
        <f t="shared" si="202"/>
        <v>94.091999999999999</v>
      </c>
      <c r="E200" s="851">
        <f t="shared" si="202"/>
        <v>116.199</v>
      </c>
      <c r="F200" s="851">
        <f t="shared" si="202"/>
        <v>69.100000000000009</v>
      </c>
      <c r="G200" s="852">
        <f t="shared" si="202"/>
        <v>19.552999999999994</v>
      </c>
      <c r="H200" s="852">
        <f t="shared" si="202"/>
        <v>15.946000000000002</v>
      </c>
      <c r="I200" s="852">
        <f t="shared" si="202"/>
        <v>-19.331999999999994</v>
      </c>
      <c r="J200" s="852">
        <f t="shared" si="202"/>
        <v>6.9210000000000065</v>
      </c>
      <c r="K200" s="851">
        <f t="shared" si="202"/>
        <v>23.087999999999994</v>
      </c>
      <c r="L200" s="852">
        <f t="shared" si="202"/>
        <v>7.7549999999999955</v>
      </c>
      <c r="M200" s="852">
        <f t="shared" si="202"/>
        <v>7.2590000000000003</v>
      </c>
      <c r="N200" s="852">
        <f t="shared" si="202"/>
        <v>8.2100000000000009</v>
      </c>
      <c r="O200" s="852">
        <f t="shared" si="202"/>
        <v>12.731999999999985</v>
      </c>
      <c r="P200" s="851">
        <f t="shared" si="202"/>
        <v>35.956000000000017</v>
      </c>
      <c r="Q200" s="852">
        <f t="shared" si="202"/>
        <v>9.0339999999999989</v>
      </c>
      <c r="R200" s="852">
        <f t="shared" si="202"/>
        <v>12.496000000000002</v>
      </c>
      <c r="S200" s="852">
        <f t="shared" si="202"/>
        <v>8.4369999999999976</v>
      </c>
      <c r="T200" s="852">
        <f t="shared" si="202"/>
        <v>-22.604999999999983</v>
      </c>
      <c r="U200" s="851">
        <f t="shared" si="202"/>
        <v>7.3620000000000232</v>
      </c>
      <c r="V200" s="852"/>
      <c r="W200" s="852"/>
      <c r="X200" s="852"/>
      <c r="Y200" s="852"/>
      <c r="Z200" s="851"/>
      <c r="AA200" s="852"/>
      <c r="AB200" s="852"/>
      <c r="AC200" s="852"/>
      <c r="AD200" s="852"/>
      <c r="AE200" s="851"/>
      <c r="AF200" s="852"/>
      <c r="AG200" s="852"/>
      <c r="AH200" s="852"/>
      <c r="AI200" s="852"/>
      <c r="AJ200" s="851"/>
      <c r="AK200" s="852"/>
      <c r="AL200" s="852"/>
      <c r="AM200" s="853"/>
      <c r="AN200" s="854"/>
      <c r="AO200" s="855"/>
      <c r="AP200" s="854"/>
      <c r="AQ200" s="854"/>
      <c r="AR200" s="854"/>
      <c r="AS200" s="854"/>
      <c r="AT200" s="855"/>
      <c r="AU200" s="855"/>
      <c r="AV200" s="855"/>
      <c r="AW200" s="855"/>
      <c r="AX200" s="795"/>
    </row>
    <row r="201" spans="1:50" s="29" customFormat="1" ht="6.75" hidden="1" customHeight="1" outlineLevel="1" x14ac:dyDescent="0.45">
      <c r="A201" s="56"/>
      <c r="B201" s="57"/>
      <c r="C201" s="840"/>
      <c r="D201" s="840"/>
      <c r="E201" s="840"/>
      <c r="F201" s="840"/>
      <c r="G201" s="841"/>
      <c r="H201" s="841"/>
      <c r="I201" s="841"/>
      <c r="J201" s="841"/>
      <c r="K201" s="840"/>
      <c r="L201" s="841"/>
      <c r="M201" s="841"/>
      <c r="N201" s="841"/>
      <c r="O201" s="841"/>
      <c r="P201" s="840"/>
      <c r="Q201" s="841"/>
      <c r="R201" s="841"/>
      <c r="S201" s="841"/>
      <c r="T201" s="841"/>
      <c r="U201" s="840"/>
      <c r="V201" s="841"/>
      <c r="W201" s="841"/>
      <c r="X201" s="841"/>
      <c r="Y201" s="841"/>
      <c r="Z201" s="840"/>
      <c r="AA201" s="841"/>
      <c r="AB201" s="841"/>
      <c r="AC201" s="841"/>
      <c r="AD201" s="841"/>
      <c r="AE201" s="840"/>
      <c r="AF201" s="841"/>
      <c r="AG201" s="841"/>
      <c r="AH201" s="841"/>
      <c r="AI201" s="841"/>
      <c r="AJ201" s="840"/>
      <c r="AK201" s="841"/>
      <c r="AL201" s="841"/>
      <c r="AM201" s="842"/>
      <c r="AN201" s="843"/>
      <c r="AO201" s="844"/>
      <c r="AP201" s="843"/>
      <c r="AQ201" s="843"/>
      <c r="AR201" s="843"/>
      <c r="AS201" s="843"/>
      <c r="AT201" s="844"/>
      <c r="AU201" s="844"/>
      <c r="AV201" s="844"/>
      <c r="AW201" s="844"/>
      <c r="AX201" s="793"/>
    </row>
    <row r="202" spans="1:50" s="51" customFormat="1" hidden="1" outlineLevel="1" x14ac:dyDescent="0.45">
      <c r="A202" s="66" t="s">
        <v>518</v>
      </c>
      <c r="B202" s="684"/>
      <c r="C202" s="411">
        <f>C194/C164</f>
        <v>0.38224981419140475</v>
      </c>
      <c r="D202" s="411">
        <f t="shared" ref="D202:U205" si="203">D194/D164</f>
        <v>0.391643468669573</v>
      </c>
      <c r="E202" s="411">
        <f t="shared" si="203"/>
        <v>0.3903068513858548</v>
      </c>
      <c r="F202" s="411">
        <f t="shared" si="203"/>
        <v>0.351346877132858</v>
      </c>
      <c r="G202" s="685">
        <f t="shared" si="203"/>
        <v>0.44924265652787143</v>
      </c>
      <c r="H202" s="685">
        <f t="shared" si="203"/>
        <v>0.46027791879670843</v>
      </c>
      <c r="I202" s="685">
        <f t="shared" si="203"/>
        <v>0.43912208962697158</v>
      </c>
      <c r="J202" s="685">
        <f t="shared" si="203"/>
        <v>0.47392943089788248</v>
      </c>
      <c r="K202" s="411">
        <f t="shared" si="203"/>
        <v>0.45607997185741089</v>
      </c>
      <c r="L202" s="685">
        <f t="shared" si="203"/>
        <v>0.48351396733323154</v>
      </c>
      <c r="M202" s="685">
        <f t="shared" si="203"/>
        <v>0.48002104178296906</v>
      </c>
      <c r="N202" s="685">
        <f t="shared" si="203"/>
        <v>0.4900167293110565</v>
      </c>
      <c r="O202" s="685">
        <f t="shared" si="203"/>
        <v>0.4972069923282636</v>
      </c>
      <c r="P202" s="411">
        <f t="shared" si="203"/>
        <v>0.48779313204821212</v>
      </c>
      <c r="Q202" s="685">
        <f t="shared" si="203"/>
        <v>0.4896359766413797</v>
      </c>
      <c r="R202" s="685">
        <f t="shared" si="203"/>
        <v>0.501605685706765</v>
      </c>
      <c r="S202" s="685">
        <f t="shared" si="203"/>
        <v>0.47367886980934237</v>
      </c>
      <c r="T202" s="685">
        <f t="shared" si="203"/>
        <v>0.47750651624584656</v>
      </c>
      <c r="U202" s="411">
        <f t="shared" si="203"/>
        <v>0.485650650211149</v>
      </c>
      <c r="V202" s="685"/>
      <c r="W202" s="685"/>
      <c r="X202" s="685"/>
      <c r="Y202" s="685"/>
      <c r="Z202" s="411"/>
      <c r="AA202" s="685"/>
      <c r="AB202" s="685"/>
      <c r="AC202" s="685"/>
      <c r="AD202" s="685"/>
      <c r="AE202" s="411"/>
      <c r="AF202" s="685"/>
      <c r="AG202" s="685"/>
      <c r="AH202" s="685"/>
      <c r="AI202" s="685"/>
      <c r="AJ202" s="411"/>
      <c r="AK202" s="685"/>
      <c r="AL202" s="685"/>
      <c r="AM202" s="686"/>
      <c r="AN202" s="58"/>
      <c r="AO202" s="27"/>
      <c r="AP202" s="58"/>
      <c r="AQ202" s="58"/>
      <c r="AR202" s="58"/>
      <c r="AS202" s="58"/>
      <c r="AT202" s="27"/>
      <c r="AU202" s="27"/>
      <c r="AV202" s="27"/>
      <c r="AW202" s="27"/>
      <c r="AX202" s="58"/>
    </row>
    <row r="203" spans="1:50" s="51" customFormat="1" hidden="1" outlineLevel="1" x14ac:dyDescent="0.45">
      <c r="A203" s="66" t="s">
        <v>519</v>
      </c>
      <c r="B203" s="684"/>
      <c r="C203" s="411">
        <f t="shared" ref="C203:R205" si="204">C195/C165</f>
        <v>5.3736472992429528E-2</v>
      </c>
      <c r="D203" s="411">
        <f t="shared" si="204"/>
        <v>8.6511551896717262E-2</v>
      </c>
      <c r="E203" s="411">
        <f t="shared" si="204"/>
        <v>0.115983223677672</v>
      </c>
      <c r="F203" s="411">
        <f t="shared" si="204"/>
        <v>0.12680008060640821</v>
      </c>
      <c r="G203" s="685">
        <f t="shared" si="204"/>
        <v>0.17391804788213625</v>
      </c>
      <c r="H203" s="685">
        <f t="shared" si="204"/>
        <v>0.17238083860948514</v>
      </c>
      <c r="I203" s="685">
        <f t="shared" si="204"/>
        <v>0.15636488970588233</v>
      </c>
      <c r="J203" s="685">
        <f t="shared" si="204"/>
        <v>4.303736343333138E-2</v>
      </c>
      <c r="K203" s="411">
        <f t="shared" si="204"/>
        <v>0.13720940478463278</v>
      </c>
      <c r="L203" s="685">
        <f t="shared" si="204"/>
        <v>0.12640054051010643</v>
      </c>
      <c r="M203" s="685">
        <f t="shared" si="204"/>
        <v>0.143226780227481</v>
      </c>
      <c r="N203" s="685">
        <f t="shared" si="204"/>
        <v>0.21361748733628438</v>
      </c>
      <c r="O203" s="685">
        <f t="shared" si="204"/>
        <v>0.19908172635445362</v>
      </c>
      <c r="P203" s="411">
        <f t="shared" si="204"/>
        <v>0.17397662646084622</v>
      </c>
      <c r="Q203" s="685">
        <f t="shared" si="204"/>
        <v>0.19664321965987</v>
      </c>
      <c r="R203" s="685">
        <f t="shared" si="204"/>
        <v>0.18103142197763181</v>
      </c>
      <c r="S203" s="685">
        <f t="shared" si="203"/>
        <v>0.21040271375141342</v>
      </c>
      <c r="T203" s="685">
        <f t="shared" si="203"/>
        <v>0.1970883120450487</v>
      </c>
      <c r="U203" s="411">
        <f t="shared" si="203"/>
        <v>0.1963576048357471</v>
      </c>
      <c r="V203" s="685"/>
      <c r="W203" s="685"/>
      <c r="X203" s="685"/>
      <c r="Y203" s="685"/>
      <c r="Z203" s="411"/>
      <c r="AA203" s="685"/>
      <c r="AB203" s="685"/>
      <c r="AC203" s="685"/>
      <c r="AD203" s="685"/>
      <c r="AE203" s="411"/>
      <c r="AF203" s="685"/>
      <c r="AG203" s="685"/>
      <c r="AH203" s="685"/>
      <c r="AI203" s="685"/>
      <c r="AJ203" s="411"/>
      <c r="AK203" s="685"/>
      <c r="AL203" s="685"/>
      <c r="AM203" s="686"/>
      <c r="AN203" s="58"/>
      <c r="AO203" s="27"/>
      <c r="AP203" s="58"/>
      <c r="AQ203" s="58"/>
      <c r="AR203" s="58"/>
      <c r="AS203" s="58"/>
      <c r="AT203" s="27"/>
      <c r="AU203" s="27"/>
      <c r="AV203" s="27"/>
      <c r="AW203" s="27"/>
      <c r="AX203" s="58"/>
    </row>
    <row r="204" spans="1:50" s="51" customFormat="1" hidden="1" outlineLevel="1" x14ac:dyDescent="0.45">
      <c r="A204" s="66" t="s">
        <v>520</v>
      </c>
      <c r="B204" s="684"/>
      <c r="C204" s="411">
        <f t="shared" si="204"/>
        <v>0.20200840728631481</v>
      </c>
      <c r="D204" s="411">
        <f t="shared" si="203"/>
        <v>0.23399779625363115</v>
      </c>
      <c r="E204" s="411">
        <f t="shared" si="203"/>
        <v>0.17105531741171667</v>
      </c>
      <c r="F204" s="411">
        <f t="shared" si="203"/>
        <v>0.15107553776888447</v>
      </c>
      <c r="G204" s="685">
        <f t="shared" si="203"/>
        <v>0.31857891671520094</v>
      </c>
      <c r="H204" s="685">
        <f t="shared" si="203"/>
        <v>0.37418433931484502</v>
      </c>
      <c r="I204" s="685">
        <f t="shared" si="203"/>
        <v>0.26033057851239672</v>
      </c>
      <c r="J204" s="685">
        <f t="shared" si="203"/>
        <v>0.28832660004252625</v>
      </c>
      <c r="K204" s="411">
        <f t="shared" si="203"/>
        <v>0.31023185483870969</v>
      </c>
      <c r="L204" s="685">
        <f t="shared" si="203"/>
        <v>0.21682771623851049</v>
      </c>
      <c r="M204" s="685">
        <f t="shared" si="203"/>
        <v>0.304058406699592</v>
      </c>
      <c r="N204" s="685">
        <f t="shared" si="203"/>
        <v>0.33995535714285707</v>
      </c>
      <c r="O204" s="685">
        <f t="shared" si="203"/>
        <v>0.25675409189508969</v>
      </c>
      <c r="P204" s="411">
        <f t="shared" si="203"/>
        <v>0.27971383664842009</v>
      </c>
      <c r="Q204" s="685">
        <f t="shared" si="203"/>
        <v>0.21502942507922135</v>
      </c>
      <c r="R204" s="685">
        <f t="shared" si="203"/>
        <v>0.34949797051911979</v>
      </c>
      <c r="S204" s="685">
        <f t="shared" si="203"/>
        <v>0.37727465086754125</v>
      </c>
      <c r="T204" s="685">
        <f t="shared" si="203"/>
        <v>0.3120158529994595</v>
      </c>
      <c r="U204" s="411">
        <f t="shared" si="203"/>
        <v>0.31487407101568948</v>
      </c>
      <c r="V204" s="685"/>
      <c r="W204" s="685"/>
      <c r="X204" s="685"/>
      <c r="Y204" s="685"/>
      <c r="Z204" s="411"/>
      <c r="AA204" s="685"/>
      <c r="AB204" s="685"/>
      <c r="AC204" s="685"/>
      <c r="AD204" s="685"/>
      <c r="AE204" s="411"/>
      <c r="AF204" s="685"/>
      <c r="AG204" s="685"/>
      <c r="AH204" s="685"/>
      <c r="AI204" s="685"/>
      <c r="AJ204" s="411"/>
      <c r="AK204" s="685"/>
      <c r="AL204" s="685"/>
      <c r="AM204" s="686"/>
      <c r="AN204" s="58"/>
      <c r="AO204" s="27"/>
      <c r="AP204" s="58"/>
      <c r="AQ204" s="58"/>
      <c r="AR204" s="58"/>
      <c r="AS204" s="58"/>
      <c r="AT204" s="27"/>
      <c r="AU204" s="27"/>
      <c r="AV204" s="27"/>
      <c r="AW204" s="27"/>
      <c r="AX204" s="58"/>
    </row>
    <row r="205" spans="1:50" s="51" customFormat="1" hidden="1" outlineLevel="1" x14ac:dyDescent="0.45">
      <c r="A205" s="66" t="s">
        <v>521</v>
      </c>
      <c r="B205" s="684"/>
      <c r="C205" s="411">
        <f t="shared" si="204"/>
        <v>0.23382912487028712</v>
      </c>
      <c r="D205" s="411">
        <f t="shared" si="203"/>
        <v>0.29958654598279139</v>
      </c>
      <c r="E205" s="411">
        <f t="shared" si="203"/>
        <v>0.30226619853175868</v>
      </c>
      <c r="F205" s="411">
        <f t="shared" si="203"/>
        <v>-0.13860503613153791</v>
      </c>
      <c r="G205" s="685">
        <f t="shared" si="203"/>
        <v>-0.12877263581488935</v>
      </c>
      <c r="H205" s="685">
        <f t="shared" si="203"/>
        <v>-0.41994085340092946</v>
      </c>
      <c r="I205" s="685">
        <f t="shared" si="203"/>
        <v>-0.79299234796616991</v>
      </c>
      <c r="J205" s="685">
        <f t="shared" si="203"/>
        <v>-0.95290102389078501</v>
      </c>
      <c r="K205" s="411">
        <f t="shared" si="203"/>
        <v>-0.47732803893941333</v>
      </c>
      <c r="L205" s="685">
        <f t="shared" si="203"/>
        <v>-0.40493295019157088</v>
      </c>
      <c r="M205" s="685">
        <f t="shared" si="203"/>
        <v>-0.19961566178236848</v>
      </c>
      <c r="N205" s="685">
        <f t="shared" si="203"/>
        <v>7.474382157926461E-2</v>
      </c>
      <c r="O205" s="685">
        <f t="shared" si="203"/>
        <v>0.17299488054607515</v>
      </c>
      <c r="P205" s="411">
        <f t="shared" si="203"/>
        <v>-7.4372361697400566E-2</v>
      </c>
      <c r="Q205" s="685">
        <f t="shared" si="203"/>
        <v>0.26028890705914415</v>
      </c>
      <c r="R205" s="685">
        <f t="shared" si="203"/>
        <v>6.9475007859163787E-2</v>
      </c>
      <c r="S205" s="685">
        <f t="shared" si="203"/>
        <v>-3.397415185783522</v>
      </c>
      <c r="T205" s="685"/>
      <c r="U205" s="411">
        <f t="shared" si="203"/>
        <v>-0.12411300040166019</v>
      </c>
      <c r="V205" s="685"/>
      <c r="W205" s="685"/>
      <c r="X205" s="685"/>
      <c r="Y205" s="685"/>
      <c r="Z205" s="411"/>
      <c r="AA205" s="685"/>
      <c r="AB205" s="685"/>
      <c r="AC205" s="685"/>
      <c r="AD205" s="685"/>
      <c r="AE205" s="411"/>
      <c r="AF205" s="685"/>
      <c r="AG205" s="685"/>
      <c r="AH205" s="685"/>
      <c r="AI205" s="685"/>
      <c r="AJ205" s="411"/>
      <c r="AK205" s="685"/>
      <c r="AL205" s="685"/>
      <c r="AM205" s="686"/>
      <c r="AN205" s="58"/>
      <c r="AO205" s="27"/>
      <c r="AP205" s="58"/>
      <c r="AQ205" s="58"/>
      <c r="AR205" s="58"/>
      <c r="AS205" s="58"/>
      <c r="AT205" s="27"/>
      <c r="AU205" s="27"/>
      <c r="AV205" s="27"/>
      <c r="AW205" s="27"/>
      <c r="AX205" s="58"/>
    </row>
    <row r="206" spans="1:50" s="29" customFormat="1" collapsed="1" x14ac:dyDescent="0.45">
      <c r="A206" s="56"/>
      <c r="B206" s="57"/>
      <c r="C206" s="840"/>
      <c r="D206" s="840"/>
      <c r="E206" s="840"/>
      <c r="F206" s="840"/>
      <c r="G206" s="841"/>
      <c r="H206" s="841"/>
      <c r="I206" s="841"/>
      <c r="J206" s="841"/>
      <c r="K206" s="840"/>
      <c r="L206" s="841"/>
      <c r="M206" s="841"/>
      <c r="N206" s="841"/>
      <c r="O206" s="841"/>
      <c r="P206" s="840"/>
      <c r="Q206" s="841"/>
      <c r="R206" s="841"/>
      <c r="S206" s="841"/>
      <c r="T206" s="841"/>
      <c r="U206" s="840"/>
      <c r="V206" s="841"/>
      <c r="W206" s="841"/>
      <c r="X206" s="841"/>
      <c r="Y206" s="841"/>
      <c r="Z206" s="840"/>
      <c r="AA206" s="841"/>
      <c r="AB206" s="841"/>
      <c r="AC206" s="841"/>
      <c r="AD206" s="841"/>
      <c r="AE206" s="840"/>
      <c r="AF206" s="841"/>
      <c r="AG206" s="841"/>
      <c r="AH206" s="841"/>
      <c r="AI206" s="841"/>
      <c r="AJ206" s="840"/>
      <c r="AK206" s="841"/>
      <c r="AL206" s="841"/>
      <c r="AM206" s="842"/>
      <c r="AN206" s="843"/>
      <c r="AO206" s="844"/>
      <c r="AP206" s="843"/>
      <c r="AQ206" s="843"/>
      <c r="AR206" s="843"/>
      <c r="AS206" s="843"/>
      <c r="AT206" s="844"/>
      <c r="AU206" s="844"/>
      <c r="AV206" s="844"/>
      <c r="AW206" s="844"/>
      <c r="AX206" s="793"/>
    </row>
    <row r="207" spans="1:50" s="33" customFormat="1" x14ac:dyDescent="0.45">
      <c r="A207" s="75" t="s">
        <v>14</v>
      </c>
      <c r="B207" s="75"/>
      <c r="C207" s="369"/>
      <c r="D207" s="369"/>
      <c r="E207" s="369"/>
      <c r="F207" s="369"/>
      <c r="G207" s="369"/>
      <c r="H207" s="369"/>
      <c r="I207" s="369"/>
      <c r="J207" s="369"/>
      <c r="K207" s="369"/>
      <c r="L207" s="369"/>
      <c r="M207" s="369"/>
      <c r="N207" s="369"/>
      <c r="O207" s="369"/>
      <c r="P207" s="369"/>
      <c r="Q207" s="369"/>
      <c r="R207" s="369"/>
      <c r="S207" s="369"/>
      <c r="T207" s="369"/>
      <c r="U207" s="369"/>
      <c r="V207" s="369"/>
      <c r="W207" s="369"/>
      <c r="X207" s="369"/>
      <c r="Y207" s="369"/>
      <c r="Z207" s="369"/>
      <c r="AA207" s="369"/>
      <c r="AB207" s="369"/>
      <c r="AC207" s="369"/>
      <c r="AD207" s="369"/>
      <c r="AE207" s="369"/>
      <c r="AF207" s="369"/>
      <c r="AG207" s="369"/>
      <c r="AH207" s="369"/>
      <c r="AI207" s="369"/>
      <c r="AJ207" s="369"/>
      <c r="AK207" s="369"/>
      <c r="AL207" s="369"/>
      <c r="AM207" s="679"/>
      <c r="AN207" s="75"/>
      <c r="AO207" s="75"/>
      <c r="AP207" s="75"/>
      <c r="AQ207" s="75"/>
      <c r="AR207" s="75"/>
      <c r="AS207" s="75"/>
      <c r="AT207" s="75"/>
      <c r="AU207" s="75"/>
      <c r="AV207" s="75"/>
      <c r="AW207" s="75"/>
      <c r="AX207" s="126"/>
    </row>
    <row r="208" spans="1:50" s="33" customFormat="1" x14ac:dyDescent="0.45">
      <c r="A208" s="640" t="s">
        <v>381</v>
      </c>
      <c r="B208" s="641"/>
      <c r="C208" s="456">
        <f t="shared" ref="C208:AW208" si="205">(C305+C290+C315)/C302</f>
        <v>0.37972180623759899</v>
      </c>
      <c r="D208" s="456">
        <f t="shared" si="205"/>
        <v>0.36076782232435195</v>
      </c>
      <c r="E208" s="456">
        <f t="shared" si="205"/>
        <v>0.35181639466306841</v>
      </c>
      <c r="F208" s="456">
        <f t="shared" si="205"/>
        <v>0.412081811446041</v>
      </c>
      <c r="G208" s="374">
        <f t="shared" si="205"/>
        <v>0.43889746094641607</v>
      </c>
      <c r="H208" s="374">
        <f t="shared" si="205"/>
        <v>0.42925432792286711</v>
      </c>
      <c r="I208" s="374">
        <f t="shared" si="205"/>
        <v>0.65275506641924053</v>
      </c>
      <c r="J208" s="374">
        <f t="shared" si="205"/>
        <v>0.46313030042620418</v>
      </c>
      <c r="K208" s="456">
        <f t="shared" si="205"/>
        <v>0.49511881925125995</v>
      </c>
      <c r="L208" s="374">
        <f t="shared" si="205"/>
        <v>0.47661458598401951</v>
      </c>
      <c r="M208" s="374">
        <f t="shared" si="205"/>
        <v>0.4710709514682333</v>
      </c>
      <c r="N208" s="374">
        <f t="shared" si="205"/>
        <v>0.44043297899922218</v>
      </c>
      <c r="O208" s="374">
        <f t="shared" si="205"/>
        <v>0.43493940243636481</v>
      </c>
      <c r="P208" s="456">
        <f t="shared" si="205"/>
        <v>0.45522770156560766</v>
      </c>
      <c r="Q208" s="374">
        <f t="shared" si="205"/>
        <v>0.45821191185619325</v>
      </c>
      <c r="R208" s="374">
        <f t="shared" si="205"/>
        <v>0.45145131571600633</v>
      </c>
      <c r="S208" s="374">
        <f t="shared" si="205"/>
        <v>0.45957515893089063</v>
      </c>
      <c r="T208" s="374">
        <f t="shared" si="205"/>
        <v>0.46324817061729934</v>
      </c>
      <c r="U208" s="456">
        <f t="shared" si="205"/>
        <v>0.45812291741543265</v>
      </c>
      <c r="V208" s="374">
        <f t="shared" si="205"/>
        <v>0.46491551082197946</v>
      </c>
      <c r="W208" s="374">
        <f t="shared" si="205"/>
        <v>0.44034568988566125</v>
      </c>
      <c r="X208" s="374">
        <f t="shared" si="205"/>
        <v>0.42506334657615663</v>
      </c>
      <c r="Y208" s="371">
        <f t="shared" si="205"/>
        <v>0.42278203723986857</v>
      </c>
      <c r="Z208" s="405">
        <f t="shared" si="205"/>
        <v>0.43784044707470599</v>
      </c>
      <c r="AA208" s="371">
        <f t="shared" si="205"/>
        <v>0.45194085027726433</v>
      </c>
      <c r="AB208" s="374">
        <f t="shared" si="205"/>
        <v>0.44307615736725814</v>
      </c>
      <c r="AC208" s="374">
        <f t="shared" si="205"/>
        <v>0.46793455566943781</v>
      </c>
      <c r="AD208" s="371">
        <f t="shared" si="205"/>
        <v>0.4564684220217271</v>
      </c>
      <c r="AE208" s="405">
        <f t="shared" si="205"/>
        <v>0.45485189795468717</v>
      </c>
      <c r="AF208" s="371">
        <f t="shared" si="205"/>
        <v>0.46434684684684679</v>
      </c>
      <c r="AG208" s="374">
        <f t="shared" si="205"/>
        <v>0.46898044060435384</v>
      </c>
      <c r="AH208" s="374">
        <f t="shared" si="205"/>
        <v>0.47124943645074768</v>
      </c>
      <c r="AI208" s="371">
        <f t="shared" si="205"/>
        <v>0.46041473457728971</v>
      </c>
      <c r="AJ208" s="405">
        <f t="shared" si="205"/>
        <v>0.46619347547966355</v>
      </c>
      <c r="AK208" s="371">
        <f t="shared" si="205"/>
        <v>0.49469517143052166</v>
      </c>
      <c r="AL208" s="374">
        <f t="shared" si="205"/>
        <v>0.48961685138839239</v>
      </c>
      <c r="AM208" s="565">
        <f t="shared" si="205"/>
        <v>0.4946638594453317</v>
      </c>
      <c r="AN208" s="374">
        <f t="shared" si="205"/>
        <v>0.49192271168867208</v>
      </c>
      <c r="AO208" s="405">
        <f t="shared" si="205"/>
        <v>0.49272190358076301</v>
      </c>
      <c r="AP208" s="374">
        <f t="shared" si="205"/>
        <v>0.49268080663549024</v>
      </c>
      <c r="AQ208" s="374">
        <f t="shared" si="205"/>
        <v>0.49149539006167192</v>
      </c>
      <c r="AR208" s="374">
        <f t="shared" si="205"/>
        <v>0.4884946948386078</v>
      </c>
      <c r="AS208" s="374">
        <f t="shared" si="205"/>
        <v>0.48601509711081298</v>
      </c>
      <c r="AT208" s="405">
        <f t="shared" si="205"/>
        <v>0.48963060399551689</v>
      </c>
      <c r="AU208" s="456">
        <f t="shared" si="205"/>
        <v>0.48968841003257807</v>
      </c>
      <c r="AV208" s="456">
        <f t="shared" si="205"/>
        <v>0.48773179772254821</v>
      </c>
      <c r="AW208" s="456">
        <f t="shared" si="205"/>
        <v>0.48578927744383876</v>
      </c>
      <c r="AX208" s="126"/>
    </row>
    <row r="209" spans="1:50" s="33" customFormat="1" x14ac:dyDescent="0.45">
      <c r="A209" s="640" t="s">
        <v>528</v>
      </c>
      <c r="B209" s="641"/>
      <c r="C209" s="456">
        <f t="shared" ref="C209:AL209" si="206">C305/C302</f>
        <v>0.35911943004204777</v>
      </c>
      <c r="D209" s="456">
        <f t="shared" si="206"/>
        <v>0.33547937956152735</v>
      </c>
      <c r="E209" s="456">
        <f t="shared" si="206"/>
        <v>0.32664859771772892</v>
      </c>
      <c r="F209" s="456">
        <f t="shared" si="206"/>
        <v>0.38477149419093543</v>
      </c>
      <c r="G209" s="374">
        <f t="shared" si="206"/>
        <v>0.40762720375425693</v>
      </c>
      <c r="H209" s="374">
        <f t="shared" si="206"/>
        <v>0.39640442559933742</v>
      </c>
      <c r="I209" s="374">
        <f t="shared" si="206"/>
        <v>0.60499384496665265</v>
      </c>
      <c r="J209" s="374">
        <f t="shared" si="206"/>
        <v>0.42894716283430118</v>
      </c>
      <c r="K209" s="456">
        <f t="shared" si="206"/>
        <v>0.45866232484083591</v>
      </c>
      <c r="L209" s="374">
        <f t="shared" si="206"/>
        <v>0.43805452355505792</v>
      </c>
      <c r="M209" s="374">
        <f t="shared" si="206"/>
        <v>0.43401455372181985</v>
      </c>
      <c r="N209" s="374">
        <f t="shared" si="206"/>
        <v>0.40772459165154262</v>
      </c>
      <c r="O209" s="374">
        <f t="shared" si="206"/>
        <v>0.40709412094588282</v>
      </c>
      <c r="P209" s="456">
        <f t="shared" si="206"/>
        <v>0.42131674231220362</v>
      </c>
      <c r="Q209" s="374">
        <f t="shared" si="206"/>
        <v>0.43006122916734874</v>
      </c>
      <c r="R209" s="374">
        <f t="shared" si="206"/>
        <v>0.42356563424770083</v>
      </c>
      <c r="S209" s="374">
        <f t="shared" si="206"/>
        <v>0.42964317451637152</v>
      </c>
      <c r="T209" s="374">
        <f t="shared" si="206"/>
        <v>0.42022640565388697</v>
      </c>
      <c r="U209" s="456">
        <f t="shared" si="206"/>
        <v>0.42575389307520961</v>
      </c>
      <c r="V209" s="374">
        <f t="shared" si="206"/>
        <v>0.41952456937113869</v>
      </c>
      <c r="W209" s="374">
        <f t="shared" si="206"/>
        <v>0.39596275734079867</v>
      </c>
      <c r="X209" s="374">
        <f t="shared" si="206"/>
        <v>0.38628898551631369</v>
      </c>
      <c r="Y209" s="371">
        <f t="shared" si="206"/>
        <v>0.39042187559013486</v>
      </c>
      <c r="Z209" s="405">
        <f t="shared" si="206"/>
        <v>0.39774618149851648</v>
      </c>
      <c r="AA209" s="371">
        <f t="shared" si="206"/>
        <v>0.41520905577366679</v>
      </c>
      <c r="AB209" s="374">
        <f t="shared" si="206"/>
        <v>0.40237694842655369</v>
      </c>
      <c r="AC209" s="374">
        <f t="shared" si="206"/>
        <v>0.42068101582963213</v>
      </c>
      <c r="AD209" s="371">
        <f t="shared" si="206"/>
        <v>0.40788068495672991</v>
      </c>
      <c r="AE209" s="405">
        <f t="shared" si="206"/>
        <v>0.41148810117905393</v>
      </c>
      <c r="AF209" s="371">
        <f t="shared" si="206"/>
        <v>0.41346846846846841</v>
      </c>
      <c r="AG209" s="374">
        <f t="shared" si="206"/>
        <v>0.41318743717436174</v>
      </c>
      <c r="AH209" s="374">
        <f t="shared" si="206"/>
        <v>0.41426792086622299</v>
      </c>
      <c r="AI209" s="371">
        <f t="shared" si="206"/>
        <v>0.3993025930185109</v>
      </c>
      <c r="AJ209" s="405">
        <f t="shared" si="206"/>
        <v>0.40998879383490838</v>
      </c>
      <c r="AK209" s="371">
        <f t="shared" si="206"/>
        <v>0.42738186423582414</v>
      </c>
      <c r="AL209" s="374">
        <f t="shared" si="206"/>
        <v>0.41975777618877369</v>
      </c>
      <c r="AM209" s="565">
        <f>AM305/AM302</f>
        <v>0.42573689560040651</v>
      </c>
      <c r="AN209" s="374">
        <f t="shared" ref="AN209:AW209" si="207">AN305/AN302</f>
        <v>0.42556991777806991</v>
      </c>
      <c r="AO209" s="405">
        <f t="shared" si="207"/>
        <v>0.42461437689447046</v>
      </c>
      <c r="AP209" s="374">
        <f t="shared" si="207"/>
        <v>0.42549720843021244</v>
      </c>
      <c r="AQ209" s="374">
        <f t="shared" si="207"/>
        <v>0.42520163059589583</v>
      </c>
      <c r="AR209" s="374">
        <f t="shared" si="207"/>
        <v>0.42360665632783906</v>
      </c>
      <c r="AS209" s="374">
        <f t="shared" si="207"/>
        <v>0.42148065849072475</v>
      </c>
      <c r="AT209" s="405">
        <f t="shared" si="207"/>
        <v>0.42392296728392409</v>
      </c>
      <c r="AU209" s="456">
        <f t="shared" si="207"/>
        <v>0.42589183976528311</v>
      </c>
      <c r="AV209" s="456">
        <f t="shared" si="207"/>
        <v>0.42583092256975891</v>
      </c>
      <c r="AW209" s="456">
        <f t="shared" si="207"/>
        <v>0.4257671543118593</v>
      </c>
      <c r="AX209" s="126"/>
    </row>
    <row r="210" spans="1:50" s="33" customFormat="1" x14ac:dyDescent="0.45">
      <c r="A210" s="116" t="s">
        <v>382</v>
      </c>
      <c r="B210" s="142"/>
      <c r="C210" s="79">
        <f t="shared" ref="C210:AL210" si="208">1-C208</f>
        <v>0.62027819376240101</v>
      </c>
      <c r="D210" s="79">
        <f t="shared" si="208"/>
        <v>0.63923217767564799</v>
      </c>
      <c r="E210" s="79">
        <f t="shared" si="208"/>
        <v>0.64818360533693165</v>
      </c>
      <c r="F210" s="79">
        <f t="shared" si="208"/>
        <v>0.58791818855395905</v>
      </c>
      <c r="G210" s="78">
        <f t="shared" si="208"/>
        <v>0.56110253905358398</v>
      </c>
      <c r="H210" s="78">
        <f t="shared" si="208"/>
        <v>0.57074567207713289</v>
      </c>
      <c r="I210" s="78">
        <f t="shared" si="208"/>
        <v>0.34724493358075947</v>
      </c>
      <c r="J210" s="78">
        <f t="shared" si="208"/>
        <v>0.53686969957379582</v>
      </c>
      <c r="K210" s="79">
        <f t="shared" si="208"/>
        <v>0.50488118074874011</v>
      </c>
      <c r="L210" s="78">
        <f t="shared" si="208"/>
        <v>0.52338541401598049</v>
      </c>
      <c r="M210" s="78">
        <f t="shared" si="208"/>
        <v>0.5289290485317667</v>
      </c>
      <c r="N210" s="78">
        <f t="shared" si="208"/>
        <v>0.55956702100077782</v>
      </c>
      <c r="O210" s="78">
        <f t="shared" si="208"/>
        <v>0.56506059756363514</v>
      </c>
      <c r="P210" s="79">
        <f t="shared" si="208"/>
        <v>0.54477229843439234</v>
      </c>
      <c r="Q210" s="78">
        <f t="shared" si="208"/>
        <v>0.54178808814380675</v>
      </c>
      <c r="R210" s="78">
        <f t="shared" si="208"/>
        <v>0.54854868428399373</v>
      </c>
      <c r="S210" s="78">
        <f t="shared" si="208"/>
        <v>0.54042484106910937</v>
      </c>
      <c r="T210" s="78">
        <f t="shared" si="208"/>
        <v>0.53675182938270072</v>
      </c>
      <c r="U210" s="79">
        <f t="shared" si="208"/>
        <v>0.54187708258456735</v>
      </c>
      <c r="V210" s="78">
        <f t="shared" si="208"/>
        <v>0.53508448917802054</v>
      </c>
      <c r="W210" s="78">
        <f t="shared" si="208"/>
        <v>0.55965431011433875</v>
      </c>
      <c r="X210" s="78">
        <f t="shared" si="208"/>
        <v>0.57493665342384337</v>
      </c>
      <c r="Y210" s="123">
        <f t="shared" si="208"/>
        <v>0.57721796276013149</v>
      </c>
      <c r="Z210" s="127">
        <f t="shared" si="208"/>
        <v>0.56215955292529407</v>
      </c>
      <c r="AA210" s="123">
        <f t="shared" si="208"/>
        <v>0.54805914972273562</v>
      </c>
      <c r="AB210" s="78">
        <f t="shared" si="208"/>
        <v>0.55692384263274186</v>
      </c>
      <c r="AC210" s="78">
        <f t="shared" si="208"/>
        <v>0.53206544433056213</v>
      </c>
      <c r="AD210" s="123">
        <f t="shared" si="208"/>
        <v>0.5435315779782729</v>
      </c>
      <c r="AE210" s="127">
        <f t="shared" si="208"/>
        <v>0.54514810204531283</v>
      </c>
      <c r="AF210" s="123">
        <f t="shared" si="208"/>
        <v>0.53565315315315321</v>
      </c>
      <c r="AG210" s="78">
        <f t="shared" si="208"/>
        <v>0.53101955939564616</v>
      </c>
      <c r="AH210" s="78">
        <f t="shared" si="208"/>
        <v>0.52875056354925232</v>
      </c>
      <c r="AI210" s="123">
        <f t="shared" si="208"/>
        <v>0.53958526542271024</v>
      </c>
      <c r="AJ210" s="127">
        <f t="shared" si="208"/>
        <v>0.5338065245203365</v>
      </c>
      <c r="AK210" s="123">
        <f t="shared" si="208"/>
        <v>0.50530482856947834</v>
      </c>
      <c r="AL210" s="78">
        <f t="shared" si="208"/>
        <v>0.51038314861160761</v>
      </c>
      <c r="AM210" s="599">
        <f>1-AM208</f>
        <v>0.50533614055466836</v>
      </c>
      <c r="AN210" s="78">
        <f t="shared" ref="AN210:AW210" si="209">1-AN208</f>
        <v>0.50807728831132792</v>
      </c>
      <c r="AO210" s="127">
        <f t="shared" si="209"/>
        <v>0.50727809641923693</v>
      </c>
      <c r="AP210" s="78">
        <f t="shared" si="209"/>
        <v>0.50731919336450981</v>
      </c>
      <c r="AQ210" s="78">
        <f t="shared" si="209"/>
        <v>0.50850460993832813</v>
      </c>
      <c r="AR210" s="78">
        <f t="shared" si="209"/>
        <v>0.51150530516139225</v>
      </c>
      <c r="AS210" s="78">
        <f t="shared" si="209"/>
        <v>0.51398490288918697</v>
      </c>
      <c r="AT210" s="127">
        <f t="shared" si="209"/>
        <v>0.51036939600448306</v>
      </c>
      <c r="AU210" s="79">
        <f t="shared" si="209"/>
        <v>0.51031158996742199</v>
      </c>
      <c r="AV210" s="79">
        <f t="shared" si="209"/>
        <v>0.51226820227745185</v>
      </c>
      <c r="AW210" s="79">
        <f t="shared" si="209"/>
        <v>0.51421072255616118</v>
      </c>
      <c r="AX210" s="126"/>
    </row>
    <row r="211" spans="1:50" s="33" customFormat="1" x14ac:dyDescent="0.45">
      <c r="A211" s="709" t="s">
        <v>529</v>
      </c>
      <c r="B211" s="641"/>
      <c r="C211" s="456">
        <f t="shared" ref="C211:AL211" si="210">1-C209</f>
        <v>0.64088056995795228</v>
      </c>
      <c r="D211" s="456">
        <f t="shared" si="210"/>
        <v>0.6645206204384726</v>
      </c>
      <c r="E211" s="456">
        <f t="shared" si="210"/>
        <v>0.67335140228227108</v>
      </c>
      <c r="F211" s="456">
        <f t="shared" si="210"/>
        <v>0.61522850580906452</v>
      </c>
      <c r="G211" s="374">
        <f t="shared" si="210"/>
        <v>0.59237279624574302</v>
      </c>
      <c r="H211" s="374">
        <f t="shared" si="210"/>
        <v>0.60359557440066258</v>
      </c>
      <c r="I211" s="374">
        <f t="shared" si="210"/>
        <v>0.39500615503334735</v>
      </c>
      <c r="J211" s="374">
        <f t="shared" si="210"/>
        <v>0.57105283716569888</v>
      </c>
      <c r="K211" s="456">
        <f t="shared" si="210"/>
        <v>0.54133767515916409</v>
      </c>
      <c r="L211" s="374">
        <f t="shared" si="210"/>
        <v>0.56194547644494208</v>
      </c>
      <c r="M211" s="374">
        <f t="shared" si="210"/>
        <v>0.56598544627818015</v>
      </c>
      <c r="N211" s="374">
        <f t="shared" si="210"/>
        <v>0.59227540834845738</v>
      </c>
      <c r="O211" s="374">
        <f t="shared" si="210"/>
        <v>0.59290587905411718</v>
      </c>
      <c r="P211" s="456">
        <f t="shared" si="210"/>
        <v>0.57868325768779638</v>
      </c>
      <c r="Q211" s="374">
        <f t="shared" si="210"/>
        <v>0.56993877083265132</v>
      </c>
      <c r="R211" s="374">
        <f t="shared" si="210"/>
        <v>0.57643436575229923</v>
      </c>
      <c r="S211" s="374">
        <f t="shared" si="210"/>
        <v>0.57035682548362843</v>
      </c>
      <c r="T211" s="374">
        <f t="shared" si="210"/>
        <v>0.57977359434611309</v>
      </c>
      <c r="U211" s="456">
        <f t="shared" si="210"/>
        <v>0.57424610692479039</v>
      </c>
      <c r="V211" s="374">
        <f t="shared" si="210"/>
        <v>0.58047543062886131</v>
      </c>
      <c r="W211" s="374">
        <f t="shared" si="210"/>
        <v>0.60403724265920133</v>
      </c>
      <c r="X211" s="374">
        <f t="shared" si="210"/>
        <v>0.61371101448368637</v>
      </c>
      <c r="Y211" s="371">
        <f t="shared" si="210"/>
        <v>0.60957812440986514</v>
      </c>
      <c r="Z211" s="405">
        <f t="shared" si="210"/>
        <v>0.60225381850148352</v>
      </c>
      <c r="AA211" s="371">
        <f t="shared" si="210"/>
        <v>0.58479094422633326</v>
      </c>
      <c r="AB211" s="374">
        <f t="shared" si="210"/>
        <v>0.59762305157344631</v>
      </c>
      <c r="AC211" s="374">
        <f t="shared" si="210"/>
        <v>0.57931898417036787</v>
      </c>
      <c r="AD211" s="371">
        <f t="shared" si="210"/>
        <v>0.59211931504327009</v>
      </c>
      <c r="AE211" s="405">
        <f t="shared" si="210"/>
        <v>0.58851189882094612</v>
      </c>
      <c r="AF211" s="371">
        <f t="shared" si="210"/>
        <v>0.58653153153153159</v>
      </c>
      <c r="AG211" s="374">
        <f t="shared" si="210"/>
        <v>0.58681256282563821</v>
      </c>
      <c r="AH211" s="374">
        <f t="shared" si="210"/>
        <v>0.58573207913377701</v>
      </c>
      <c r="AI211" s="371">
        <f t="shared" si="210"/>
        <v>0.6006974069814891</v>
      </c>
      <c r="AJ211" s="405">
        <f t="shared" si="210"/>
        <v>0.59001120616509162</v>
      </c>
      <c r="AK211" s="371">
        <f t="shared" si="210"/>
        <v>0.57261813576417586</v>
      </c>
      <c r="AL211" s="374">
        <f t="shared" si="210"/>
        <v>0.58024222381122637</v>
      </c>
      <c r="AM211" s="565">
        <f>1-AM209</f>
        <v>0.57426310439959349</v>
      </c>
      <c r="AN211" s="374">
        <f t="shared" ref="AN211:AW211" si="211">1-AN209</f>
        <v>0.57443008222193015</v>
      </c>
      <c r="AO211" s="405">
        <f t="shared" si="211"/>
        <v>0.57538562310552954</v>
      </c>
      <c r="AP211" s="374">
        <f t="shared" si="211"/>
        <v>0.57450279156978756</v>
      </c>
      <c r="AQ211" s="374">
        <f t="shared" si="211"/>
        <v>0.57479836940410411</v>
      </c>
      <c r="AR211" s="374">
        <f t="shared" si="211"/>
        <v>0.57639334367216088</v>
      </c>
      <c r="AS211" s="374">
        <f t="shared" si="211"/>
        <v>0.57851934150927531</v>
      </c>
      <c r="AT211" s="405">
        <f t="shared" si="211"/>
        <v>0.57607703271607591</v>
      </c>
      <c r="AU211" s="456">
        <f t="shared" si="211"/>
        <v>0.57410816023471689</v>
      </c>
      <c r="AV211" s="456">
        <f t="shared" si="211"/>
        <v>0.57416907743024104</v>
      </c>
      <c r="AW211" s="456">
        <f t="shared" si="211"/>
        <v>0.5742328456881407</v>
      </c>
      <c r="AX211" s="126"/>
    </row>
    <row r="212" spans="1:50" s="154" customFormat="1" x14ac:dyDescent="0.45">
      <c r="A212" s="152" t="str">
        <f>CONCATENATE("Consensus Estimates - ",IFERROR(LEFT(A210,FIND("(",A210)-1),A210))</f>
        <v>Consensus Estimates - Gross Margin, %</v>
      </c>
      <c r="B212" s="191"/>
      <c r="C212" s="457"/>
      <c r="D212" s="457"/>
      <c r="E212" s="457"/>
      <c r="F212" s="457"/>
      <c r="G212" s="373"/>
      <c r="H212" s="373"/>
      <c r="I212" s="373"/>
      <c r="J212" s="373"/>
      <c r="K212" s="457"/>
      <c r="L212" s="373"/>
      <c r="M212" s="373"/>
      <c r="N212" s="373"/>
      <c r="O212" s="373"/>
      <c r="P212" s="457"/>
      <c r="Q212" s="373"/>
      <c r="R212" s="373"/>
      <c r="S212" s="373"/>
      <c r="T212" s="373"/>
      <c r="U212" s="457"/>
      <c r="V212" s="373"/>
      <c r="W212" s="373"/>
      <c r="X212" s="375"/>
      <c r="Y212" s="375"/>
      <c r="Z212" s="458"/>
      <c r="AA212" s="407"/>
      <c r="AB212" s="373"/>
      <c r="AC212" s="375"/>
      <c r="AD212" s="407"/>
      <c r="AE212" s="408"/>
      <c r="AF212" s="407"/>
      <c r="AG212" s="373"/>
      <c r="AH212" s="375"/>
      <c r="AI212" s="407"/>
      <c r="AJ212" s="408"/>
      <c r="AK212" s="407"/>
      <c r="AL212" s="373"/>
      <c r="AM212" s="600"/>
      <c r="AN212" s="626" t="str">
        <f t="shared" ref="AN212:AW212" ca="1" si="212">IFERROR(VLOOKUP($A212,tb_ConsensusEstimate,MATCH(AN$5,OFFSET(tb_ConsensusEstimate,0,0,1,COLUMNS(tb_ConsensusEstimate)),0),FALSE),"-")</f>
        <v>N/A</v>
      </c>
      <c r="AO212" s="627" t="str">
        <f t="shared" ca="1" si="212"/>
        <v>N/A</v>
      </c>
      <c r="AP212" s="626" t="str">
        <f t="shared" ca="1" si="212"/>
        <v>N/A</v>
      </c>
      <c r="AQ212" s="626" t="str">
        <f t="shared" ca="1" si="212"/>
        <v>N/A</v>
      </c>
      <c r="AR212" s="626" t="str">
        <f t="shared" ca="1" si="212"/>
        <v>N/A</v>
      </c>
      <c r="AS212" s="626" t="str">
        <f t="shared" ca="1" si="212"/>
        <v>N/A</v>
      </c>
      <c r="AT212" s="627" t="str">
        <f t="shared" ca="1" si="212"/>
        <v>N/A</v>
      </c>
      <c r="AU212" s="628" t="str">
        <f t="shared" ca="1" si="212"/>
        <v>N/A</v>
      </c>
      <c r="AV212" s="628" t="str">
        <f t="shared" ca="1" si="212"/>
        <v>N/A</v>
      </c>
      <c r="AW212" s="628" t="str">
        <f t="shared" ca="1" si="212"/>
        <v>N/A</v>
      </c>
      <c r="AX212" s="153"/>
    </row>
    <row r="213" spans="1:50" s="33" customFormat="1" x14ac:dyDescent="0.45">
      <c r="A213" s="188"/>
      <c r="B213" s="144"/>
      <c r="C213" s="456"/>
      <c r="D213" s="456"/>
      <c r="E213" s="456"/>
      <c r="F213" s="456"/>
      <c r="G213" s="374"/>
      <c r="H213" s="374"/>
      <c r="I213" s="374"/>
      <c r="J213" s="374"/>
      <c r="K213" s="456"/>
      <c r="L213" s="374"/>
      <c r="M213" s="374"/>
      <c r="N213" s="374"/>
      <c r="O213" s="374"/>
      <c r="P213" s="456"/>
      <c r="Q213" s="374"/>
      <c r="R213" s="374"/>
      <c r="S213" s="374"/>
      <c r="T213" s="374"/>
      <c r="U213" s="456"/>
      <c r="V213" s="374"/>
      <c r="W213" s="374"/>
      <c r="X213" s="374"/>
      <c r="Y213" s="371"/>
      <c r="Z213" s="405"/>
      <c r="AA213" s="371"/>
      <c r="AB213" s="374"/>
      <c r="AC213" s="374"/>
      <c r="AD213" s="371"/>
      <c r="AE213" s="405"/>
      <c r="AF213" s="371"/>
      <c r="AG213" s="374"/>
      <c r="AH213" s="374"/>
      <c r="AI213" s="371"/>
      <c r="AJ213" s="405"/>
      <c r="AK213" s="371"/>
      <c r="AL213" s="374"/>
      <c r="AM213" s="565"/>
      <c r="AN213" s="80"/>
      <c r="AO213" s="4"/>
      <c r="AP213" s="80"/>
      <c r="AQ213" s="80"/>
      <c r="AR213" s="80"/>
      <c r="AS213" s="80"/>
      <c r="AT213" s="4"/>
      <c r="AU213" s="81"/>
      <c r="AV213" s="81"/>
      <c r="AW213" s="81"/>
      <c r="AX213" s="126"/>
    </row>
    <row r="214" spans="1:50" s="33" customFormat="1" x14ac:dyDescent="0.45">
      <c r="A214" s="188" t="s">
        <v>15</v>
      </c>
      <c r="B214" s="144"/>
      <c r="C214" s="456">
        <f t="shared" ref="C214:AM214" si="213">(C308+C291)/C302</f>
        <v>5.6701083920756921E-2</v>
      </c>
      <c r="D214" s="456">
        <f t="shared" si="213"/>
        <v>6.1684443475972302E-2</v>
      </c>
      <c r="E214" s="456">
        <f t="shared" si="213"/>
        <v>7.2979166424325601E-2</v>
      </c>
      <c r="F214" s="456">
        <f t="shared" si="213"/>
        <v>6.7064439659386965E-2</v>
      </c>
      <c r="G214" s="374">
        <f t="shared" si="213"/>
        <v>5.1255831788841313E-2</v>
      </c>
      <c r="H214" s="374">
        <f t="shared" si="213"/>
        <v>6.8553578019643319E-2</v>
      </c>
      <c r="I214" s="374">
        <f t="shared" si="213"/>
        <v>0.12103367813768902</v>
      </c>
      <c r="J214" s="374">
        <f t="shared" si="213"/>
        <v>0.13124658212025728</v>
      </c>
      <c r="K214" s="456">
        <f t="shared" si="213"/>
        <v>9.3382238843898915E-2</v>
      </c>
      <c r="L214" s="374">
        <f t="shared" si="213"/>
        <v>0.13771693215939743</v>
      </c>
      <c r="M214" s="374">
        <f t="shared" si="213"/>
        <v>0.14021025730382761</v>
      </c>
      <c r="N214" s="374">
        <f t="shared" si="213"/>
        <v>0.14963054187192118</v>
      </c>
      <c r="O214" s="374">
        <f t="shared" si="213"/>
        <v>0.13738044053961429</v>
      </c>
      <c r="P214" s="456">
        <f t="shared" si="213"/>
        <v>0.14124126676526086</v>
      </c>
      <c r="Q214" s="374">
        <f t="shared" si="213"/>
        <v>0.13985298451262237</v>
      </c>
      <c r="R214" s="374">
        <f t="shared" si="213"/>
        <v>0.14342461054965744</v>
      </c>
      <c r="S214" s="374">
        <f t="shared" si="213"/>
        <v>0.12405154145874632</v>
      </c>
      <c r="T214" s="374">
        <f t="shared" si="213"/>
        <v>0.12568797298142473</v>
      </c>
      <c r="U214" s="456">
        <f t="shared" si="213"/>
        <v>0.13332805389896382</v>
      </c>
      <c r="V214" s="374">
        <f t="shared" si="213"/>
        <v>0.14912646782046562</v>
      </c>
      <c r="W214" s="374">
        <f t="shared" si="213"/>
        <v>0.14384348017551862</v>
      </c>
      <c r="X214" s="374">
        <f t="shared" si="213"/>
        <v>0.15417461757437356</v>
      </c>
      <c r="Y214" s="374">
        <f t="shared" si="213"/>
        <v>0.16702043282849266</v>
      </c>
      <c r="Z214" s="456">
        <f t="shared" si="213"/>
        <v>0.15372313705790935</v>
      </c>
      <c r="AA214" s="374">
        <f t="shared" si="213"/>
        <v>0.1526786941843235</v>
      </c>
      <c r="AB214" s="374">
        <f t="shared" si="213"/>
        <v>0.14725466981381075</v>
      </c>
      <c r="AC214" s="374">
        <f t="shared" si="213"/>
        <v>0.15673993091143756</v>
      </c>
      <c r="AD214" s="374">
        <f t="shared" si="213"/>
        <v>0.15538943104400663</v>
      </c>
      <c r="AE214" s="456">
        <f t="shared" si="213"/>
        <v>0.15302465636822787</v>
      </c>
      <c r="AF214" s="374">
        <f t="shared" si="213"/>
        <v>0.16612612612612609</v>
      </c>
      <c r="AG214" s="374">
        <f t="shared" si="213"/>
        <v>0.14096730381135811</v>
      </c>
      <c r="AH214" s="374">
        <f t="shared" si="213"/>
        <v>0.15803831370781021</v>
      </c>
      <c r="AI214" s="374">
        <f t="shared" si="213"/>
        <v>0.1469970694068331</v>
      </c>
      <c r="AJ214" s="456">
        <f t="shared" si="213"/>
        <v>0.1530576956874217</v>
      </c>
      <c r="AK214" s="374">
        <f t="shared" si="213"/>
        <v>0.16722912764198664</v>
      </c>
      <c r="AL214" s="374">
        <f t="shared" si="213"/>
        <v>0.1473975092360863</v>
      </c>
      <c r="AM214" s="644">
        <f t="shared" si="213"/>
        <v>0.14538986496297371</v>
      </c>
      <c r="AN214" s="199">
        <v>0.14399999999999999</v>
      </c>
      <c r="AO214" s="456">
        <f>(AO308+AO291)/AO302</f>
        <v>0.15083967749227165</v>
      </c>
      <c r="AP214" s="199">
        <v>0.16700000000000001</v>
      </c>
      <c r="AQ214" s="199">
        <v>0.15</v>
      </c>
      <c r="AR214" s="199">
        <v>0.14099999999999999</v>
      </c>
      <c r="AS214" s="199">
        <v>0.14699999999999999</v>
      </c>
      <c r="AT214" s="456">
        <f>(AT308+AT291)/AT302</f>
        <v>0.15111457721442126</v>
      </c>
      <c r="AU214" s="26">
        <v>0.14799999999999999</v>
      </c>
      <c r="AV214" s="26">
        <v>0.14699999999999999</v>
      </c>
      <c r="AW214" s="26">
        <v>0.14599999999999999</v>
      </c>
      <c r="AX214" s="126"/>
    </row>
    <row r="215" spans="1:50" s="33" customFormat="1" x14ac:dyDescent="0.45">
      <c r="A215" s="188" t="s">
        <v>383</v>
      </c>
      <c r="B215" s="144"/>
      <c r="C215" s="456">
        <f t="shared" ref="C215:AL215" si="214">C308/C302</f>
        <v>5.6330981354369772E-2</v>
      </c>
      <c r="D215" s="456">
        <f t="shared" si="214"/>
        <v>6.1254290913310111E-2</v>
      </c>
      <c r="E215" s="456">
        <f t="shared" si="214"/>
        <v>7.2551095187688291E-2</v>
      </c>
      <c r="F215" s="456">
        <f t="shared" si="214"/>
        <v>6.6564688448576687E-2</v>
      </c>
      <c r="G215" s="374">
        <f t="shared" si="214"/>
        <v>5.0872371700645493E-2</v>
      </c>
      <c r="H215" s="374">
        <f t="shared" si="214"/>
        <v>6.7752360889801133E-2</v>
      </c>
      <c r="I215" s="374">
        <f t="shared" si="214"/>
        <v>0.12011501644404432</v>
      </c>
      <c r="J215" s="374">
        <f t="shared" si="214"/>
        <v>0.13044799180576894</v>
      </c>
      <c r="K215" s="456">
        <f t="shared" si="214"/>
        <v>9.2655852581819645E-2</v>
      </c>
      <c r="L215" s="374">
        <f t="shared" si="214"/>
        <v>0.13701290990211548</v>
      </c>
      <c r="M215" s="374">
        <f t="shared" si="214"/>
        <v>0.13940540495689477</v>
      </c>
      <c r="N215" s="374">
        <f t="shared" si="214"/>
        <v>0.14871499870365568</v>
      </c>
      <c r="O215" s="374">
        <f t="shared" si="214"/>
        <v>0.13657818487709131</v>
      </c>
      <c r="P215" s="456">
        <f t="shared" si="214"/>
        <v>0.14043347442500892</v>
      </c>
      <c r="Q215" s="374">
        <f t="shared" si="214"/>
        <v>0.13895255558102224</v>
      </c>
      <c r="R215" s="374">
        <f t="shared" si="214"/>
        <v>0.14260303583820561</v>
      </c>
      <c r="S215" s="374">
        <f t="shared" si="214"/>
        <v>0.12347904846537698</v>
      </c>
      <c r="T215" s="374">
        <f t="shared" si="214"/>
        <v>0.12539089373944587</v>
      </c>
      <c r="U215" s="456">
        <f t="shared" si="214"/>
        <v>0.13268233846453745</v>
      </c>
      <c r="V215" s="374">
        <f t="shared" si="214"/>
        <v>0.14844728120780656</v>
      </c>
      <c r="W215" s="374">
        <f t="shared" si="214"/>
        <v>0.14121699196326065</v>
      </c>
      <c r="X215" s="374">
        <f t="shared" si="214"/>
        <v>0.15203960334094535</v>
      </c>
      <c r="Y215" s="374">
        <f t="shared" si="214"/>
        <v>0.16488272840578616</v>
      </c>
      <c r="Z215" s="456">
        <f t="shared" si="214"/>
        <v>0.15181388631618603</v>
      </c>
      <c r="AA215" s="374">
        <f t="shared" si="214"/>
        <v>0.14992132720245643</v>
      </c>
      <c r="AB215" s="374">
        <f t="shared" si="214"/>
        <v>0.14338609575663427</v>
      </c>
      <c r="AC215" s="374">
        <f t="shared" si="214"/>
        <v>0.15251110351896141</v>
      </c>
      <c r="AD215" s="374">
        <f t="shared" si="214"/>
        <v>0.15091879948444117</v>
      </c>
      <c r="AE215" s="456">
        <f t="shared" si="214"/>
        <v>0.14918675226310171</v>
      </c>
      <c r="AF215" s="374">
        <f t="shared" si="214"/>
        <v>0.16154654654654654</v>
      </c>
      <c r="AG215" s="374">
        <f t="shared" si="214"/>
        <v>0.1353964441647931</v>
      </c>
      <c r="AH215" s="374">
        <f t="shared" si="214"/>
        <v>0.15146675632512399</v>
      </c>
      <c r="AI215" s="374">
        <f t="shared" si="214"/>
        <v>0.14163297102793337</v>
      </c>
      <c r="AJ215" s="456">
        <f t="shared" si="214"/>
        <v>0.14754154123509702</v>
      </c>
      <c r="AK215" s="374">
        <f t="shared" si="214"/>
        <v>0.15943303933687747</v>
      </c>
      <c r="AL215" s="374">
        <f t="shared" si="214"/>
        <v>0.14131212012870933</v>
      </c>
      <c r="AM215" s="644">
        <f>AM308/AM302</f>
        <v>0.13839843182808187</v>
      </c>
      <c r="AN215" s="80">
        <f t="shared" ref="AN215:AW215" si="215">AN308/AN302</f>
        <v>0.13750896581309327</v>
      </c>
      <c r="AO215" s="456">
        <f t="shared" si="215"/>
        <v>0.1440047777939639</v>
      </c>
      <c r="AP215" s="80">
        <f t="shared" si="215"/>
        <v>0.1604276914799185</v>
      </c>
      <c r="AQ215" s="80">
        <f t="shared" si="215"/>
        <v>0.14351474092182626</v>
      </c>
      <c r="AR215" s="80">
        <f t="shared" si="215"/>
        <v>0.13465225710220741</v>
      </c>
      <c r="AS215" s="80">
        <f t="shared" si="215"/>
        <v>0.14068684839586093</v>
      </c>
      <c r="AT215" s="456">
        <f t="shared" si="215"/>
        <v>0.14468665623176546</v>
      </c>
      <c r="AU215" s="81">
        <f t="shared" si="215"/>
        <v>0.14175903116950375</v>
      </c>
      <c r="AV215" s="81">
        <f t="shared" si="215"/>
        <v>0.14094447960461845</v>
      </c>
      <c r="AW215" s="81">
        <f t="shared" si="215"/>
        <v>0.14012827056317592</v>
      </c>
      <c r="AX215" s="126"/>
    </row>
    <row r="216" spans="1:50" s="33" customFormat="1" x14ac:dyDescent="0.45">
      <c r="A216" s="640" t="s">
        <v>384</v>
      </c>
      <c r="B216" s="641"/>
      <c r="C216" s="456">
        <f t="shared" ref="C216:AM216" si="216">(C309+C292+C314)/C302</f>
        <v>0.29797026157341561</v>
      </c>
      <c r="D216" s="456">
        <f t="shared" si="216"/>
        <v>0.30651200040751297</v>
      </c>
      <c r="E216" s="456">
        <f t="shared" si="216"/>
        <v>0.29975688345527934</v>
      </c>
      <c r="F216" s="456">
        <f t="shared" si="216"/>
        <v>0.32234604946667861</v>
      </c>
      <c r="G216" s="374">
        <f t="shared" si="216"/>
        <v>0.32042655369810735</v>
      </c>
      <c r="H216" s="374">
        <f t="shared" si="216"/>
        <v>0.34729611724777415</v>
      </c>
      <c r="I216" s="374">
        <f t="shared" si="216"/>
        <v>0.33865544674518161</v>
      </c>
      <c r="J216" s="374">
        <f t="shared" si="216"/>
        <v>0.33572042394729307</v>
      </c>
      <c r="K216" s="456">
        <f t="shared" si="216"/>
        <v>0.33556346659410297</v>
      </c>
      <c r="L216" s="374">
        <f t="shared" si="216"/>
        <v>0.31155105433694669</v>
      </c>
      <c r="M216" s="374">
        <f t="shared" si="216"/>
        <v>0.32095354259494352</v>
      </c>
      <c r="N216" s="374">
        <f t="shared" si="216"/>
        <v>0.33609346642468235</v>
      </c>
      <c r="O216" s="374">
        <f t="shared" si="216"/>
        <v>0.32151758731345609</v>
      </c>
      <c r="P216" s="456">
        <f t="shared" si="216"/>
        <v>0.32265184354123111</v>
      </c>
      <c r="Q216" s="374">
        <f t="shared" si="216"/>
        <v>0.32064274254281133</v>
      </c>
      <c r="R216" s="374">
        <f t="shared" si="216"/>
        <v>0.29828745543156604</v>
      </c>
      <c r="S216" s="374">
        <f t="shared" si="216"/>
        <v>0.33661733542962607</v>
      </c>
      <c r="T216" s="374">
        <f t="shared" si="216"/>
        <v>0.31484145349928072</v>
      </c>
      <c r="U216" s="456">
        <f t="shared" si="216"/>
        <v>0.31724121126468852</v>
      </c>
      <c r="V216" s="374">
        <f t="shared" si="216"/>
        <v>0.33207315576285751</v>
      </c>
      <c r="W216" s="374">
        <f t="shared" si="216"/>
        <v>0.33648931318119624</v>
      </c>
      <c r="X216" s="374">
        <f t="shared" si="216"/>
        <v>0.2935996496386899</v>
      </c>
      <c r="Y216" s="374">
        <f t="shared" si="216"/>
        <v>0.32261963213354988</v>
      </c>
      <c r="Z216" s="456">
        <f t="shared" si="216"/>
        <v>0.32106611933503915</v>
      </c>
      <c r="AA216" s="374">
        <f t="shared" si="216"/>
        <v>0.32826415728448999</v>
      </c>
      <c r="AB216" s="374">
        <f t="shared" si="216"/>
        <v>0.30901083653200812</v>
      </c>
      <c r="AC216" s="374">
        <f t="shared" si="216"/>
        <v>0.33073681813005351</v>
      </c>
      <c r="AD216" s="374">
        <f t="shared" si="216"/>
        <v>0.48395507273062049</v>
      </c>
      <c r="AE216" s="456">
        <f t="shared" si="216"/>
        <v>0.36387775202017253</v>
      </c>
      <c r="AF216" s="374">
        <f t="shared" si="216"/>
        <v>0.33510510510510511</v>
      </c>
      <c r="AG216" s="374">
        <f t="shared" si="216"/>
        <v>0.26265145295079073</v>
      </c>
      <c r="AH216" s="374">
        <f t="shared" si="216"/>
        <v>0.31561814666799121</v>
      </c>
      <c r="AI216" s="374">
        <f t="shared" si="216"/>
        <v>0.33171346959973291</v>
      </c>
      <c r="AJ216" s="456">
        <f t="shared" si="216"/>
        <v>0.31157863307462774</v>
      </c>
      <c r="AK216" s="374">
        <f t="shared" si="216"/>
        <v>0.30432045866480617</v>
      </c>
      <c r="AL216" s="374">
        <f t="shared" si="216"/>
        <v>0.29083243951853177</v>
      </c>
      <c r="AM216" s="644">
        <f t="shared" si="216"/>
        <v>0.31102802381298095</v>
      </c>
      <c r="AN216" s="642">
        <v>0.31</v>
      </c>
      <c r="AO216" s="456">
        <f>(AO309+AO292+AO314)/AO302</f>
        <v>0.30413711962691031</v>
      </c>
      <c r="AP216" s="642">
        <v>0.30399999999999999</v>
      </c>
      <c r="AQ216" s="642">
        <v>0.29299999999999998</v>
      </c>
      <c r="AR216" s="642">
        <v>0.307</v>
      </c>
      <c r="AS216" s="642">
        <v>0.312</v>
      </c>
      <c r="AT216" s="456">
        <f>(AT309+AT292+AT314)/AT302</f>
        <v>0.30407014560620166</v>
      </c>
      <c r="AU216" s="643">
        <v>0.3</v>
      </c>
      <c r="AV216" s="643">
        <v>0.3</v>
      </c>
      <c r="AW216" s="643">
        <v>0.29899999999999999</v>
      </c>
      <c r="AX216" s="126"/>
    </row>
    <row r="217" spans="1:50" s="33" customFormat="1" x14ac:dyDescent="0.45">
      <c r="A217" s="500" t="s">
        <v>530</v>
      </c>
      <c r="B217" s="498"/>
      <c r="C217" s="523">
        <f t="shared" ref="C217:AL217" si="217">C309/C302</f>
        <v>0.27897509004115673</v>
      </c>
      <c r="D217" s="523">
        <f t="shared" si="217"/>
        <v>0.28492513364443928</v>
      </c>
      <c r="E217" s="523">
        <f t="shared" si="217"/>
        <v>0.28097991089604152</v>
      </c>
      <c r="F217" s="523">
        <f t="shared" si="217"/>
        <v>0.30317298562237505</v>
      </c>
      <c r="G217" s="499">
        <f t="shared" si="217"/>
        <v>0.29922668882213843</v>
      </c>
      <c r="H217" s="499">
        <f t="shared" si="217"/>
        <v>0.32634744015628236</v>
      </c>
      <c r="I217" s="499">
        <f t="shared" si="217"/>
        <v>0.31480698917816519</v>
      </c>
      <c r="J217" s="499">
        <f t="shared" si="217"/>
        <v>0.31277831306476395</v>
      </c>
      <c r="K217" s="523">
        <f t="shared" si="217"/>
        <v>0.31332660170419663</v>
      </c>
      <c r="L217" s="499">
        <f t="shared" si="217"/>
        <v>0.2881656403209662</v>
      </c>
      <c r="M217" s="499">
        <f t="shared" si="217"/>
        <v>0.29652585899318784</v>
      </c>
      <c r="N217" s="499">
        <f t="shared" si="217"/>
        <v>0.31093628467721024</v>
      </c>
      <c r="O217" s="499">
        <f t="shared" si="217"/>
        <v>0.29643736174720381</v>
      </c>
      <c r="P217" s="523">
        <f t="shared" si="217"/>
        <v>0.29812025090519656</v>
      </c>
      <c r="Q217" s="499">
        <f t="shared" si="217"/>
        <v>0.29808290494744771</v>
      </c>
      <c r="R217" s="499">
        <f t="shared" si="217"/>
        <v>0.27542693967408211</v>
      </c>
      <c r="S217" s="499">
        <f t="shared" si="217"/>
        <v>0.31352108824936764</v>
      </c>
      <c r="T217" s="499">
        <f t="shared" si="217"/>
        <v>0.29074676339983735</v>
      </c>
      <c r="U217" s="523">
        <f t="shared" si="217"/>
        <v>0.29407870824424287</v>
      </c>
      <c r="V217" s="499">
        <f t="shared" si="217"/>
        <v>0.30276993576367578</v>
      </c>
      <c r="W217" s="499">
        <f t="shared" si="217"/>
        <v>0.30527027664627338</v>
      </c>
      <c r="X217" s="499">
        <f t="shared" si="217"/>
        <v>0.2620045672099352</v>
      </c>
      <c r="Y217" s="499">
        <f t="shared" si="217"/>
        <v>0.28787249310722518</v>
      </c>
      <c r="Z217" s="523">
        <f t="shared" si="217"/>
        <v>0.2892956375680894</v>
      </c>
      <c r="AA217" s="499">
        <f t="shared" si="217"/>
        <v>0.2952903255373428</v>
      </c>
      <c r="AB217" s="499">
        <f t="shared" si="217"/>
        <v>0.27215003732834614</v>
      </c>
      <c r="AC217" s="499">
        <f t="shared" si="217"/>
        <v>0.29065026762327756</v>
      </c>
      <c r="AD217" s="499">
        <f t="shared" si="217"/>
        <v>0.44541336770392193</v>
      </c>
      <c r="AE217" s="523">
        <f t="shared" si="217"/>
        <v>0.32674537069295073</v>
      </c>
      <c r="AF217" s="499">
        <f t="shared" si="217"/>
        <v>0.30007507507507503</v>
      </c>
      <c r="AG217" s="499">
        <f t="shared" si="217"/>
        <v>0.2191895396751099</v>
      </c>
      <c r="AH217" s="499">
        <f t="shared" si="217"/>
        <v>0.26820359601733063</v>
      </c>
      <c r="AI217" s="499">
        <f t="shared" si="217"/>
        <v>0.28946841265719486</v>
      </c>
      <c r="AJ217" s="523">
        <f t="shared" si="217"/>
        <v>0.26957157678112825</v>
      </c>
      <c r="AK217" s="499">
        <f t="shared" si="217"/>
        <v>0.26267053943167429</v>
      </c>
      <c r="AL217" s="499">
        <f t="shared" si="217"/>
        <v>0.25379126445000594</v>
      </c>
      <c r="AM217" s="645">
        <f>AM309/AM302</f>
        <v>0.27125744155655579</v>
      </c>
      <c r="AN217" s="499">
        <f t="shared" ref="AN217:AW217" si="218">AN309/AN302</f>
        <v>0.27105379487855952</v>
      </c>
      <c r="AO217" s="523">
        <f t="shared" si="218"/>
        <v>0.26479589409805859</v>
      </c>
      <c r="AP217" s="499">
        <f t="shared" si="218"/>
        <v>0.2645661488795108</v>
      </c>
      <c r="AQ217" s="499">
        <f t="shared" si="218"/>
        <v>0.25408844553095744</v>
      </c>
      <c r="AR217" s="499">
        <f t="shared" si="218"/>
        <v>0.26891354261324441</v>
      </c>
      <c r="AS217" s="499">
        <f t="shared" si="218"/>
        <v>0.27412109037516558</v>
      </c>
      <c r="AT217" s="523">
        <f t="shared" si="218"/>
        <v>0.26550261971026673</v>
      </c>
      <c r="AU217" s="523">
        <f t="shared" si="218"/>
        <v>0.26255418701702249</v>
      </c>
      <c r="AV217" s="523">
        <f t="shared" si="218"/>
        <v>0.26366687762771057</v>
      </c>
      <c r="AW217" s="523">
        <f t="shared" si="218"/>
        <v>0.26376962337905552</v>
      </c>
      <c r="AX217" s="126"/>
    </row>
    <row r="218" spans="1:50" s="33" customFormat="1" x14ac:dyDescent="0.45">
      <c r="A218" s="116" t="s">
        <v>16</v>
      </c>
      <c r="B218" s="142"/>
      <c r="C218" s="79">
        <f t="shared" ref="C218:AL218" si="219">C310/C302</f>
        <v>0.30557449856242569</v>
      </c>
      <c r="D218" s="79">
        <f t="shared" si="219"/>
        <v>0.31834119588072324</v>
      </c>
      <c r="E218" s="79">
        <f t="shared" si="219"/>
        <v>0.31982039619854125</v>
      </c>
      <c r="F218" s="79">
        <f t="shared" si="219"/>
        <v>0.2454908317381129</v>
      </c>
      <c r="G218" s="78">
        <f t="shared" si="219"/>
        <v>0.2422737357229591</v>
      </c>
      <c r="H218" s="78">
        <f t="shared" si="219"/>
        <v>0.20949577335457908</v>
      </c>
      <c r="I218" s="78">
        <f t="shared" si="219"/>
        <v>-3.9915850588862198E-2</v>
      </c>
      <c r="J218" s="78">
        <f t="shared" si="219"/>
        <v>0.12782653229516597</v>
      </c>
      <c r="K218" s="79">
        <f t="shared" si="219"/>
        <v>0.1353552208731478</v>
      </c>
      <c r="L218" s="78">
        <f t="shared" si="219"/>
        <v>0.1367669262218604</v>
      </c>
      <c r="M218" s="78">
        <f t="shared" si="219"/>
        <v>0.1300541823280976</v>
      </c>
      <c r="N218" s="78">
        <f t="shared" si="219"/>
        <v>0.13262412496759138</v>
      </c>
      <c r="O218" s="78">
        <f t="shared" si="219"/>
        <v>0.15989033242982204</v>
      </c>
      <c r="P218" s="79">
        <f t="shared" si="219"/>
        <v>0.14012953235759085</v>
      </c>
      <c r="Q218" s="78">
        <f t="shared" si="219"/>
        <v>0.13290331030418134</v>
      </c>
      <c r="R218" s="78">
        <f t="shared" si="219"/>
        <v>0.15840439024001143</v>
      </c>
      <c r="S218" s="78">
        <f t="shared" si="219"/>
        <v>0.13335668876888382</v>
      </c>
      <c r="T218" s="78">
        <f t="shared" si="219"/>
        <v>0.16363593720682978</v>
      </c>
      <c r="U218" s="79">
        <f t="shared" si="219"/>
        <v>0.14748506021601004</v>
      </c>
      <c r="V218" s="78">
        <f t="shared" si="219"/>
        <v>0.12925821365737894</v>
      </c>
      <c r="W218" s="78">
        <f t="shared" si="219"/>
        <v>0.15754997404966722</v>
      </c>
      <c r="X218" s="78">
        <f t="shared" si="219"/>
        <v>0.19966684393280565</v>
      </c>
      <c r="Y218" s="123">
        <f t="shared" si="219"/>
        <v>0.15682290289685374</v>
      </c>
      <c r="Z218" s="127">
        <f t="shared" si="219"/>
        <v>0.16114429461720811</v>
      </c>
      <c r="AA218" s="123">
        <f t="shared" si="219"/>
        <v>0.13957929148653397</v>
      </c>
      <c r="AB218" s="78">
        <f t="shared" si="219"/>
        <v>0.18208691848846592</v>
      </c>
      <c r="AC218" s="78">
        <f t="shared" si="219"/>
        <v>0.13615761302812895</v>
      </c>
      <c r="AD218" s="123">
        <f t="shared" si="219"/>
        <v>-4.2128521450928999E-3</v>
      </c>
      <c r="AE218" s="127">
        <f t="shared" si="219"/>
        <v>0.11257977586489364</v>
      </c>
      <c r="AF218" s="123">
        <f t="shared" si="219"/>
        <v>0.12490990990991004</v>
      </c>
      <c r="AG218" s="78">
        <f t="shared" si="219"/>
        <v>0.23222657898573532</v>
      </c>
      <c r="AH218" s="78">
        <f t="shared" si="219"/>
        <v>0.16606172679132239</v>
      </c>
      <c r="AI218" s="123">
        <f t="shared" si="219"/>
        <v>0.16959602329636084</v>
      </c>
      <c r="AJ218" s="127">
        <f t="shared" si="219"/>
        <v>0.17289808814886634</v>
      </c>
      <c r="AK218" s="123">
        <f t="shared" si="219"/>
        <v>0.15051455699562405</v>
      </c>
      <c r="AL218" s="78">
        <f t="shared" si="219"/>
        <v>0.18513883923251098</v>
      </c>
      <c r="AM218" s="599">
        <f>AM310/AM302</f>
        <v>0.16460723101495581</v>
      </c>
      <c r="AN218" s="78">
        <f t="shared" ref="AN218:AW218" si="220">AN310/AN302</f>
        <v>0.16586732153027733</v>
      </c>
      <c r="AO218" s="127">
        <f t="shared" si="220"/>
        <v>0.16658495121350708</v>
      </c>
      <c r="AP218" s="78">
        <f t="shared" si="220"/>
        <v>0.14950895121035832</v>
      </c>
      <c r="AQ218" s="78">
        <f t="shared" si="220"/>
        <v>0.17719518295132045</v>
      </c>
      <c r="AR218" s="78">
        <f t="shared" si="220"/>
        <v>0.17282754395670913</v>
      </c>
      <c r="AS218" s="78">
        <f t="shared" si="220"/>
        <v>0.16371140273824869</v>
      </c>
      <c r="AT218" s="127">
        <f t="shared" si="220"/>
        <v>0.1658877567740438</v>
      </c>
      <c r="AU218" s="79">
        <f t="shared" si="220"/>
        <v>0.16979494204819062</v>
      </c>
      <c r="AV218" s="79">
        <f t="shared" si="220"/>
        <v>0.1695577201979121</v>
      </c>
      <c r="AW218" s="79">
        <f t="shared" si="220"/>
        <v>0.17033495174590926</v>
      </c>
      <c r="AX218" s="126"/>
    </row>
    <row r="219" spans="1:50" s="33" customFormat="1" x14ac:dyDescent="0.45">
      <c r="A219" s="189" t="s">
        <v>527</v>
      </c>
      <c r="B219" s="144"/>
      <c r="C219" s="456">
        <f t="shared" ref="C219:AL219" si="221">C311/C302</f>
        <v>0.30557449856242569</v>
      </c>
      <c r="D219" s="456">
        <f t="shared" si="221"/>
        <v>0.31834119588072324</v>
      </c>
      <c r="E219" s="456">
        <f t="shared" si="221"/>
        <v>0.31982039619854125</v>
      </c>
      <c r="F219" s="456">
        <f t="shared" si="221"/>
        <v>0.2454908317381129</v>
      </c>
      <c r="G219" s="374">
        <f t="shared" si="221"/>
        <v>0.2422737357229591</v>
      </c>
      <c r="H219" s="374">
        <f t="shared" si="221"/>
        <v>0.20949577335457908</v>
      </c>
      <c r="I219" s="374">
        <f t="shared" si="221"/>
        <v>-3.9915850588862198E-2</v>
      </c>
      <c r="J219" s="374">
        <f t="shared" si="221"/>
        <v>0.12782653229516597</v>
      </c>
      <c r="K219" s="456">
        <f t="shared" si="221"/>
        <v>0.1353552208731478</v>
      </c>
      <c r="L219" s="374">
        <f t="shared" si="221"/>
        <v>0.1367669262218604</v>
      </c>
      <c r="M219" s="374">
        <f t="shared" si="221"/>
        <v>0.1300541823280976</v>
      </c>
      <c r="N219" s="374">
        <f t="shared" si="221"/>
        <v>0.13262412496759138</v>
      </c>
      <c r="O219" s="374">
        <f t="shared" si="221"/>
        <v>0.15989033242982204</v>
      </c>
      <c r="P219" s="456">
        <f t="shared" si="221"/>
        <v>0.14012953235759085</v>
      </c>
      <c r="Q219" s="374">
        <f t="shared" si="221"/>
        <v>0.13290331030418134</v>
      </c>
      <c r="R219" s="374">
        <f t="shared" si="221"/>
        <v>0.15840439024001143</v>
      </c>
      <c r="S219" s="374">
        <f t="shared" si="221"/>
        <v>0.13335668876888382</v>
      </c>
      <c r="T219" s="374">
        <f t="shared" si="221"/>
        <v>0.16363593720682978</v>
      </c>
      <c r="U219" s="456">
        <f t="shared" si="221"/>
        <v>0.14748506021601004</v>
      </c>
      <c r="V219" s="374">
        <f t="shared" si="221"/>
        <v>0.12925821365737894</v>
      </c>
      <c r="W219" s="374">
        <f t="shared" si="221"/>
        <v>0.15754997404966722</v>
      </c>
      <c r="X219" s="374">
        <f t="shared" si="221"/>
        <v>0.19966684393280565</v>
      </c>
      <c r="Y219" s="371">
        <f t="shared" si="221"/>
        <v>0.15682290289685374</v>
      </c>
      <c r="Z219" s="405">
        <f t="shared" si="221"/>
        <v>0.16114429461720811</v>
      </c>
      <c r="AA219" s="371">
        <f t="shared" si="221"/>
        <v>0.13957929148653397</v>
      </c>
      <c r="AB219" s="374">
        <f t="shared" si="221"/>
        <v>0.18208691848846592</v>
      </c>
      <c r="AC219" s="374">
        <f t="shared" si="221"/>
        <v>0.13615761302812895</v>
      </c>
      <c r="AD219" s="371">
        <f t="shared" si="221"/>
        <v>-4.2128521450928999E-3</v>
      </c>
      <c r="AE219" s="405">
        <f t="shared" si="221"/>
        <v>0.11257977586489364</v>
      </c>
      <c r="AF219" s="371">
        <f t="shared" si="221"/>
        <v>0.12490990990991004</v>
      </c>
      <c r="AG219" s="374">
        <f t="shared" si="221"/>
        <v>0.23222657898573532</v>
      </c>
      <c r="AH219" s="374">
        <f t="shared" si="221"/>
        <v>0.16606172679132239</v>
      </c>
      <c r="AI219" s="371">
        <f t="shared" si="221"/>
        <v>0.16959602329636084</v>
      </c>
      <c r="AJ219" s="405">
        <f t="shared" si="221"/>
        <v>0.17289808814886634</v>
      </c>
      <c r="AK219" s="371">
        <f t="shared" si="221"/>
        <v>0.15051455699562405</v>
      </c>
      <c r="AL219" s="374">
        <f t="shared" si="221"/>
        <v>0.18513883923251098</v>
      </c>
      <c r="AM219" s="565">
        <f>AM311/AM302</f>
        <v>0.16460723101495581</v>
      </c>
      <c r="AN219" s="80">
        <f t="shared" ref="AN219:AW219" si="222">AN311/AN302</f>
        <v>0.16586732153027733</v>
      </c>
      <c r="AO219" s="4">
        <f t="shared" si="222"/>
        <v>0.16658495121350717</v>
      </c>
      <c r="AP219" s="80">
        <f t="shared" si="222"/>
        <v>0.14950895121035832</v>
      </c>
      <c r="AQ219" s="80">
        <f t="shared" si="222"/>
        <v>0.17719518295132045</v>
      </c>
      <c r="AR219" s="80">
        <f t="shared" si="222"/>
        <v>0.17282754395670913</v>
      </c>
      <c r="AS219" s="80">
        <f t="shared" si="222"/>
        <v>0.16371140273824869</v>
      </c>
      <c r="AT219" s="4">
        <f t="shared" si="222"/>
        <v>0.16588775677404374</v>
      </c>
      <c r="AU219" s="81">
        <f t="shared" si="222"/>
        <v>0.16979494204819062</v>
      </c>
      <c r="AV219" s="81">
        <f t="shared" si="222"/>
        <v>0.1695577201979121</v>
      </c>
      <c r="AW219" s="81">
        <f t="shared" si="222"/>
        <v>0.17033495174590926</v>
      </c>
      <c r="AX219" s="126"/>
    </row>
    <row r="220" spans="1:50" s="140" customFormat="1" x14ac:dyDescent="0.45">
      <c r="A220" s="138" t="str">
        <f>CONCATENATE("Consensus Estimates - ",IFERROR(LEFT(A219,FIND("(",A219)-1),A219))</f>
        <v>Consensus Estimates - Adjusted EBITDA Margin, %</v>
      </c>
      <c r="B220" s="145"/>
      <c r="C220" s="459"/>
      <c r="D220" s="459"/>
      <c r="E220" s="459"/>
      <c r="F220" s="459"/>
      <c r="G220" s="376"/>
      <c r="H220" s="376"/>
      <c r="I220" s="376"/>
      <c r="J220" s="376"/>
      <c r="K220" s="459"/>
      <c r="L220" s="376"/>
      <c r="M220" s="376"/>
      <c r="N220" s="376"/>
      <c r="O220" s="376"/>
      <c r="P220" s="459"/>
      <c r="Q220" s="376"/>
      <c r="R220" s="376"/>
      <c r="S220" s="376"/>
      <c r="T220" s="376"/>
      <c r="U220" s="459"/>
      <c r="V220" s="376"/>
      <c r="W220" s="376"/>
      <c r="X220" s="376"/>
      <c r="Y220" s="409"/>
      <c r="Z220" s="410"/>
      <c r="AA220" s="409"/>
      <c r="AB220" s="376"/>
      <c r="AC220" s="376"/>
      <c r="AD220" s="409"/>
      <c r="AE220" s="410"/>
      <c r="AF220" s="409"/>
      <c r="AG220" s="376"/>
      <c r="AH220" s="376"/>
      <c r="AI220" s="409"/>
      <c r="AJ220" s="410"/>
      <c r="AK220" s="409"/>
      <c r="AL220" s="376"/>
      <c r="AM220" s="601"/>
      <c r="AN220" s="626">
        <f t="shared" ref="AN220:AW220" ca="1" si="223">IFERROR(AN312/AN303,0)</f>
        <v>0</v>
      </c>
      <c r="AO220" s="627">
        <f t="shared" ca="1" si="223"/>
        <v>0</v>
      </c>
      <c r="AP220" s="626">
        <f t="shared" ca="1" si="223"/>
        <v>0</v>
      </c>
      <c r="AQ220" s="626">
        <f t="shared" ca="1" si="223"/>
        <v>0</v>
      </c>
      <c r="AR220" s="626">
        <f t="shared" ca="1" si="223"/>
        <v>0</v>
      </c>
      <c r="AS220" s="626">
        <f t="shared" ca="1" si="223"/>
        <v>0</v>
      </c>
      <c r="AT220" s="627">
        <f t="shared" ca="1" si="223"/>
        <v>0</v>
      </c>
      <c r="AU220" s="628">
        <f t="shared" ca="1" si="223"/>
        <v>0</v>
      </c>
      <c r="AV220" s="628">
        <f t="shared" ca="1" si="223"/>
        <v>0</v>
      </c>
      <c r="AW220" s="628">
        <f t="shared" ca="1" si="223"/>
        <v>0</v>
      </c>
      <c r="AX220" s="139"/>
    </row>
    <row r="221" spans="1:50" s="51" customFormat="1" x14ac:dyDescent="0.45">
      <c r="A221" s="58"/>
      <c r="B221" s="59"/>
      <c r="C221" s="460"/>
      <c r="D221" s="460"/>
      <c r="E221" s="460"/>
      <c r="F221" s="460"/>
      <c r="G221" s="377"/>
      <c r="H221" s="377"/>
      <c r="I221" s="377"/>
      <c r="J221" s="377"/>
      <c r="K221" s="460"/>
      <c r="L221" s="377"/>
      <c r="M221" s="377"/>
      <c r="N221" s="377"/>
      <c r="O221" s="377"/>
      <c r="P221" s="460"/>
      <c r="Q221" s="377"/>
      <c r="R221" s="377"/>
      <c r="S221" s="377"/>
      <c r="T221" s="377"/>
      <c r="U221" s="460"/>
      <c r="V221" s="377"/>
      <c r="W221" s="377"/>
      <c r="X221" s="377"/>
      <c r="Y221" s="377"/>
      <c r="Z221" s="411"/>
      <c r="AA221" s="377"/>
      <c r="AB221" s="377"/>
      <c r="AC221" s="377"/>
      <c r="AD221" s="377"/>
      <c r="AE221" s="411"/>
      <c r="AF221" s="377"/>
      <c r="AG221" s="377"/>
      <c r="AH221" s="377"/>
      <c r="AI221" s="377"/>
      <c r="AJ221" s="411"/>
      <c r="AK221" s="377"/>
      <c r="AL221" s="377"/>
      <c r="AM221" s="567"/>
      <c r="AN221" s="60"/>
      <c r="AO221" s="27"/>
      <c r="AP221" s="60"/>
      <c r="AQ221" s="60"/>
      <c r="AR221" s="60"/>
      <c r="AS221" s="60"/>
      <c r="AT221" s="27"/>
      <c r="AU221" s="27"/>
      <c r="AV221" s="27"/>
      <c r="AW221" s="27"/>
      <c r="AX221" s="58"/>
    </row>
    <row r="222" spans="1:50" s="33" customFormat="1" x14ac:dyDescent="0.45">
      <c r="A222" s="126" t="s">
        <v>385</v>
      </c>
      <c r="B222" s="52"/>
      <c r="C222" s="646">
        <f t="shared" ref="C222:AL222" si="224">C320/C302</f>
        <v>0.25949672904722582</v>
      </c>
      <c r="D222" s="646">
        <f t="shared" si="224"/>
        <v>0.26627575609217718</v>
      </c>
      <c r="E222" s="646">
        <f t="shared" si="224"/>
        <v>0.27033396535880044</v>
      </c>
      <c r="F222" s="646">
        <f t="shared" si="224"/>
        <v>0.15014264637821595</v>
      </c>
      <c r="G222" s="647">
        <f t="shared" si="224"/>
        <v>0.17851893105935401</v>
      </c>
      <c r="H222" s="647">
        <f t="shared" si="224"/>
        <v>0.14355290283666874</v>
      </c>
      <c r="I222" s="647">
        <f t="shared" si="224"/>
        <v>-0.17759567861539313</v>
      </c>
      <c r="J222" s="647">
        <f t="shared" si="224"/>
        <v>6.0076560506236866E-2</v>
      </c>
      <c r="K222" s="646">
        <f t="shared" si="224"/>
        <v>5.1922000058470752E-2</v>
      </c>
      <c r="L222" s="647">
        <f t="shared" si="224"/>
        <v>6.5779428978574056E-2</v>
      </c>
      <c r="M222" s="647">
        <f t="shared" si="224"/>
        <v>6.0231166869954049E-2</v>
      </c>
      <c r="N222" s="647">
        <f t="shared" si="224"/>
        <v>6.6518667358050287E-2</v>
      </c>
      <c r="O222" s="647">
        <f t="shared" si="224"/>
        <v>9.9168146555752804E-2</v>
      </c>
      <c r="P222" s="646">
        <f t="shared" si="224"/>
        <v>7.3345912591157039E-2</v>
      </c>
      <c r="Q222" s="647">
        <f t="shared" si="224"/>
        <v>7.3949772437051906E-2</v>
      </c>
      <c r="R222" s="647">
        <f t="shared" si="224"/>
        <v>9.9681739504981257E-2</v>
      </c>
      <c r="S222" s="647">
        <f t="shared" si="224"/>
        <v>7.2082849135279348E-2</v>
      </c>
      <c r="T222" s="647">
        <f t="shared" si="224"/>
        <v>-0.17673087747826621</v>
      </c>
      <c r="U222" s="646">
        <f t="shared" si="224"/>
        <v>1.4946890920794251E-2</v>
      </c>
      <c r="V222" s="647">
        <f t="shared" si="224"/>
        <v>1.0474203183175094E-3</v>
      </c>
      <c r="W222" s="647">
        <f t="shared" si="224"/>
        <v>5.3229636852617716E-2</v>
      </c>
      <c r="X222" s="647">
        <f t="shared" si="224"/>
        <v>0.1052726248944223</v>
      </c>
      <c r="Y222" s="647">
        <f t="shared" si="224"/>
        <v>5.0270045700041399E-2</v>
      </c>
      <c r="Z222" s="414">
        <f t="shared" si="224"/>
        <v>5.3005745412304107E-2</v>
      </c>
      <c r="AA222" s="647">
        <f t="shared" si="224"/>
        <v>5.1481034509097023E-2</v>
      </c>
      <c r="AB222" s="647">
        <f t="shared" si="224"/>
        <v>8.5485683259556453E-2</v>
      </c>
      <c r="AC222" s="647">
        <f t="shared" si="224"/>
        <v>2.8751470979007737E-2</v>
      </c>
      <c r="AD222" s="647">
        <f t="shared" si="224"/>
        <v>-0.14024673172528071</v>
      </c>
      <c r="AE222" s="414">
        <f t="shared" si="224"/>
        <v>5.3124276155842786E-3</v>
      </c>
      <c r="AF222" s="647">
        <f t="shared" si="224"/>
        <v>2.5653153153153294E-2</v>
      </c>
      <c r="AG222" s="647">
        <f t="shared" si="224"/>
        <v>0.11879896563101887</v>
      </c>
      <c r="AH222" s="647">
        <f t="shared" si="224"/>
        <v>4.7238799697402592E-2</v>
      </c>
      <c r="AI222" s="647">
        <f t="shared" si="224"/>
        <v>4.8506881329524749E-2</v>
      </c>
      <c r="AJ222" s="414">
        <f t="shared" si="224"/>
        <v>5.9751725806116415E-2</v>
      </c>
      <c r="AK222" s="647">
        <f t="shared" si="224"/>
        <v>1.0541403447569606E-2</v>
      </c>
      <c r="AL222" s="647">
        <f t="shared" si="224"/>
        <v>5.0143010368251639E-2</v>
      </c>
      <c r="AM222" s="648">
        <f>AM320/AM302</f>
        <v>2.3812980978655546E-2</v>
      </c>
      <c r="AN222" s="649">
        <f t="shared" ref="AN222:AW222" si="225">AN320/AN302</f>
        <v>4.7586254124421322E-2</v>
      </c>
      <c r="AO222" s="129">
        <f t="shared" si="225"/>
        <v>3.3179063736342856E-2</v>
      </c>
      <c r="AP222" s="649">
        <f t="shared" si="225"/>
        <v>2.9746884844428317E-2</v>
      </c>
      <c r="AQ222" s="649">
        <f t="shared" si="225"/>
        <v>5.9019350860154425E-2</v>
      </c>
      <c r="AR222" s="649">
        <f t="shared" si="225"/>
        <v>5.7157562263599672E-2</v>
      </c>
      <c r="AS222" s="649">
        <f t="shared" si="225"/>
        <v>4.8671751285047984E-2</v>
      </c>
      <c r="AT222" s="129">
        <f t="shared" si="225"/>
        <v>4.8756752201204401E-2</v>
      </c>
      <c r="AU222" s="129">
        <f t="shared" si="225"/>
        <v>5.6070621136925736E-2</v>
      </c>
      <c r="AV222" s="129">
        <f t="shared" si="225"/>
        <v>5.9212681882070316E-2</v>
      </c>
      <c r="AW222" s="129">
        <f t="shared" si="225"/>
        <v>6.3338993119337231E-2</v>
      </c>
      <c r="AX222" s="126"/>
    </row>
    <row r="223" spans="1:50" s="33" customFormat="1" x14ac:dyDescent="0.45">
      <c r="A223" s="126" t="s">
        <v>568</v>
      </c>
      <c r="B223" s="52"/>
      <c r="C223" s="646">
        <f t="shared" ref="C223:AL223" si="226">C321/C302</f>
        <v>0.27271076141749284</v>
      </c>
      <c r="D223" s="646">
        <f t="shared" si="226"/>
        <v>0.28609390343640961</v>
      </c>
      <c r="E223" s="646">
        <f t="shared" si="226"/>
        <v>0.28853164586411062</v>
      </c>
      <c r="F223" s="646">
        <f t="shared" si="226"/>
        <v>0.20943052263112483</v>
      </c>
      <c r="G223" s="647">
        <f t="shared" si="226"/>
        <v>0.20049484611381449</v>
      </c>
      <c r="H223" s="647">
        <f t="shared" si="226"/>
        <v>0.16857968509466068</v>
      </c>
      <c r="I223" s="647">
        <f t="shared" si="226"/>
        <v>-9.6220625792345749E-2</v>
      </c>
      <c r="J223" s="647">
        <f t="shared" si="226"/>
        <v>8.3062073036292511E-2</v>
      </c>
      <c r="K223" s="646">
        <f t="shared" si="226"/>
        <v>8.9462451677322599E-2</v>
      </c>
      <c r="L223" s="647">
        <f t="shared" si="226"/>
        <v>8.8096086314825253E-2</v>
      </c>
      <c r="M223" s="647">
        <f t="shared" si="226"/>
        <v>8.2086641940274901E-2</v>
      </c>
      <c r="N223" s="647">
        <f t="shared" si="226"/>
        <v>8.8661848586984698E-2</v>
      </c>
      <c r="O223" s="647">
        <f t="shared" si="226"/>
        <v>0.11942704925693982</v>
      </c>
      <c r="P223" s="646">
        <f t="shared" si="226"/>
        <v>9.4966596970778652E-2</v>
      </c>
      <c r="Q223" s="647">
        <f t="shared" si="226"/>
        <v>9.4283094856095151E-2</v>
      </c>
      <c r="R223" s="647">
        <f t="shared" si="226"/>
        <v>0.12123411688694968</v>
      </c>
      <c r="S223" s="647">
        <f t="shared" si="226"/>
        <v>9.3820493540228436E-2</v>
      </c>
      <c r="T223" s="647">
        <f t="shared" si="226"/>
        <v>0.12673556820313975</v>
      </c>
      <c r="U223" s="646">
        <f t="shared" si="226"/>
        <v>0.10946297999703537</v>
      </c>
      <c r="V223" s="647">
        <f t="shared" si="226"/>
        <v>8.8957080315862622E-2</v>
      </c>
      <c r="W223" s="647">
        <f t="shared" si="226"/>
        <v>0.11823128823742184</v>
      </c>
      <c r="X223" s="647">
        <f t="shared" si="226"/>
        <v>0.16632777551850339</v>
      </c>
      <c r="Y223" s="647">
        <f t="shared" si="226"/>
        <v>0.12823960418476402</v>
      </c>
      <c r="Z223" s="414">
        <f t="shared" si="226"/>
        <v>0.12587907947820368</v>
      </c>
      <c r="AA223" s="647">
        <f t="shared" si="226"/>
        <v>0.10868303264539192</v>
      </c>
      <c r="AB223" s="647">
        <f t="shared" si="226"/>
        <v>0.15267670635788461</v>
      </c>
      <c r="AC223" s="647">
        <f t="shared" si="226"/>
        <v>0.1021371901453897</v>
      </c>
      <c r="AD223" s="647">
        <f t="shared" si="226"/>
        <v>-3.8018781071625769E-2</v>
      </c>
      <c r="AE223" s="414">
        <f t="shared" si="226"/>
        <v>8.053572471041516E-2</v>
      </c>
      <c r="AF223" s="647">
        <f t="shared" si="226"/>
        <v>9.0000000000000135E-2</v>
      </c>
      <c r="AG223" s="647">
        <f t="shared" si="226"/>
        <v>0.19203351723820422</v>
      </c>
      <c r="AH223" s="647">
        <f t="shared" si="226"/>
        <v>0.12375923647672817</v>
      </c>
      <c r="AI223" s="647">
        <f t="shared" si="226"/>
        <v>0.12350780873242569</v>
      </c>
      <c r="AJ223" s="414">
        <f t="shared" si="226"/>
        <v>0.13201164836452361</v>
      </c>
      <c r="AK223" s="647">
        <f t="shared" si="226"/>
        <v>0.10336642373408345</v>
      </c>
      <c r="AL223" s="647">
        <f t="shared" si="226"/>
        <v>0.13623972112978186</v>
      </c>
      <c r="AM223" s="648">
        <f>AM321/AM302</f>
        <v>0.11645128502976632</v>
      </c>
      <c r="AN223" s="649">
        <f t="shared" ref="AN223:AW223" si="227">AN321/AN302</f>
        <v>0.11898763018039538</v>
      </c>
      <c r="AO223" s="129">
        <f t="shared" si="227"/>
        <v>0.11881622799839246</v>
      </c>
      <c r="AP223" s="649">
        <f t="shared" si="227"/>
        <v>0.10204227856532508</v>
      </c>
      <c r="AQ223" s="649">
        <f t="shared" si="227"/>
        <v>0.13035720072006562</v>
      </c>
      <c r="AR223" s="649">
        <f t="shared" si="227"/>
        <v>0.12698273413931818</v>
      </c>
      <c r="AS223" s="649">
        <f t="shared" si="227"/>
        <v>0.11811641893057769</v>
      </c>
      <c r="AT223" s="129">
        <f t="shared" si="227"/>
        <v>0.11946388301041838</v>
      </c>
      <c r="AU223" s="129">
        <f t="shared" si="227"/>
        <v>0.1247212782723844</v>
      </c>
      <c r="AV223" s="129">
        <f t="shared" si="227"/>
        <v>0.1258234062312675</v>
      </c>
      <c r="AW223" s="129">
        <f t="shared" si="227"/>
        <v>0.12792801692440206</v>
      </c>
      <c r="AX223" s="126"/>
    </row>
    <row r="224" spans="1:50" s="140" customFormat="1" x14ac:dyDescent="0.45">
      <c r="A224" s="138" t="str">
        <f>CONCATENATE("Consensus Estimates - ",IFERROR(LEFT(A223,FIND("(",A223)-1),A223))</f>
        <v>Consensus Estimates - Adjusted EBIT Margin, %</v>
      </c>
      <c r="B224" s="145"/>
      <c r="C224" s="459"/>
      <c r="D224" s="459"/>
      <c r="E224" s="459"/>
      <c r="F224" s="459"/>
      <c r="G224" s="376"/>
      <c r="H224" s="376"/>
      <c r="I224" s="376"/>
      <c r="J224" s="376"/>
      <c r="K224" s="459"/>
      <c r="L224" s="376"/>
      <c r="M224" s="376"/>
      <c r="N224" s="376"/>
      <c r="O224" s="376"/>
      <c r="P224" s="459"/>
      <c r="Q224" s="376"/>
      <c r="R224" s="376"/>
      <c r="S224" s="376"/>
      <c r="T224" s="376"/>
      <c r="U224" s="459"/>
      <c r="V224" s="376"/>
      <c r="W224" s="376"/>
      <c r="X224" s="376"/>
      <c r="Y224" s="409"/>
      <c r="Z224" s="410"/>
      <c r="AA224" s="409"/>
      <c r="AB224" s="376"/>
      <c r="AC224" s="376"/>
      <c r="AD224" s="409"/>
      <c r="AE224" s="410"/>
      <c r="AF224" s="409"/>
      <c r="AG224" s="376"/>
      <c r="AH224" s="376"/>
      <c r="AI224" s="409"/>
      <c r="AJ224" s="410"/>
      <c r="AK224" s="409"/>
      <c r="AL224" s="376"/>
      <c r="AM224" s="601"/>
      <c r="AN224" s="626">
        <f t="shared" ref="AN224:AW224" ca="1" si="228">IFERROR(AN322/AN303,0)</f>
        <v>0</v>
      </c>
      <c r="AO224" s="627">
        <f t="shared" ca="1" si="228"/>
        <v>0</v>
      </c>
      <c r="AP224" s="626">
        <f t="shared" ca="1" si="228"/>
        <v>0</v>
      </c>
      <c r="AQ224" s="626">
        <f t="shared" ca="1" si="228"/>
        <v>0</v>
      </c>
      <c r="AR224" s="626">
        <f t="shared" ca="1" si="228"/>
        <v>0</v>
      </c>
      <c r="AS224" s="626">
        <f t="shared" ca="1" si="228"/>
        <v>0</v>
      </c>
      <c r="AT224" s="627">
        <f t="shared" ca="1" si="228"/>
        <v>0</v>
      </c>
      <c r="AU224" s="628">
        <f t="shared" ca="1" si="228"/>
        <v>0</v>
      </c>
      <c r="AV224" s="628">
        <f t="shared" ca="1" si="228"/>
        <v>0</v>
      </c>
      <c r="AW224" s="628">
        <f t="shared" ca="1" si="228"/>
        <v>0</v>
      </c>
      <c r="AX224" s="139"/>
    </row>
    <row r="225" spans="1:50" s="51" customFormat="1" x14ac:dyDescent="0.45">
      <c r="A225" s="58"/>
      <c r="B225" s="59"/>
      <c r="C225" s="460"/>
      <c r="D225" s="460"/>
      <c r="E225" s="460"/>
      <c r="F225" s="460"/>
      <c r="G225" s="377"/>
      <c r="H225" s="377"/>
      <c r="I225" s="377"/>
      <c r="J225" s="377"/>
      <c r="K225" s="460"/>
      <c r="L225" s="377"/>
      <c r="M225" s="377"/>
      <c r="N225" s="377"/>
      <c r="O225" s="377"/>
      <c r="P225" s="460"/>
      <c r="Q225" s="377"/>
      <c r="R225" s="377"/>
      <c r="S225" s="377"/>
      <c r="T225" s="377"/>
      <c r="U225" s="460"/>
      <c r="V225" s="377"/>
      <c r="W225" s="377"/>
      <c r="X225" s="377"/>
      <c r="Y225" s="377"/>
      <c r="Z225" s="411"/>
      <c r="AA225" s="377"/>
      <c r="AB225" s="377"/>
      <c r="AC225" s="377"/>
      <c r="AD225" s="377"/>
      <c r="AE225" s="411"/>
      <c r="AF225" s="377"/>
      <c r="AG225" s="377"/>
      <c r="AH225" s="377"/>
      <c r="AI225" s="377"/>
      <c r="AJ225" s="411"/>
      <c r="AK225" s="377"/>
      <c r="AL225" s="377"/>
      <c r="AM225" s="567"/>
      <c r="AN225" s="60"/>
      <c r="AO225" s="27"/>
      <c r="AP225" s="60"/>
      <c r="AQ225" s="60"/>
      <c r="AR225" s="60"/>
      <c r="AS225" s="60"/>
      <c r="AT225" s="27"/>
      <c r="AU225" s="27"/>
      <c r="AV225" s="27"/>
      <c r="AW225" s="27"/>
      <c r="AX225" s="58"/>
    </row>
    <row r="226" spans="1:50" s="7" customFormat="1" x14ac:dyDescent="0.45">
      <c r="A226" s="790" t="s">
        <v>17</v>
      </c>
      <c r="B226" s="790"/>
      <c r="C226" s="812"/>
      <c r="D226" s="812"/>
      <c r="E226" s="812"/>
      <c r="F226" s="812"/>
      <c r="G226" s="812"/>
      <c r="H226" s="812"/>
      <c r="I226" s="812"/>
      <c r="J226" s="81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2"/>
      <c r="AJ226" s="812"/>
      <c r="AK226" s="812"/>
      <c r="AL226" s="812"/>
      <c r="AM226" s="813"/>
      <c r="AN226" s="814"/>
      <c r="AO226" s="814"/>
      <c r="AP226" s="814"/>
      <c r="AQ226" s="814"/>
      <c r="AR226" s="814"/>
      <c r="AS226" s="814"/>
      <c r="AT226" s="814"/>
      <c r="AU226" s="814"/>
      <c r="AV226" s="814"/>
      <c r="AW226" s="814"/>
      <c r="AX226" s="795"/>
    </row>
    <row r="227" spans="1:50" s="29" customFormat="1" outlineLevel="2" x14ac:dyDescent="0.45">
      <c r="A227" s="61" t="s">
        <v>18</v>
      </c>
      <c r="B227" s="147"/>
      <c r="C227" s="840">
        <v>89.760999999999996</v>
      </c>
      <c r="D227" s="840">
        <v>106.514</v>
      </c>
      <c r="E227" s="840">
        <v>122.407</v>
      </c>
      <c r="F227" s="840">
        <v>88.572000000000003</v>
      </c>
      <c r="G227" s="841">
        <v>15.972</v>
      </c>
      <c r="H227" s="841">
        <v>15.561999999999999</v>
      </c>
      <c r="I227" s="841">
        <v>14.114000000000001</v>
      </c>
      <c r="J227" s="841">
        <v>15.186</v>
      </c>
      <c r="K227" s="840">
        <v>60.834000000000003</v>
      </c>
      <c r="L227" s="841">
        <v>19.760999999999999</v>
      </c>
      <c r="M227" s="841">
        <v>19.315999999999999</v>
      </c>
      <c r="N227" s="841">
        <v>21.428000000000001</v>
      </c>
      <c r="O227" s="841">
        <v>21.143999999999998</v>
      </c>
      <c r="P227" s="840">
        <v>81.649000000000001</v>
      </c>
      <c r="Q227" s="841">
        <v>16.189</v>
      </c>
      <c r="R227" s="841">
        <v>19.687000000000001</v>
      </c>
      <c r="S227" s="841">
        <v>16.149999999999999</v>
      </c>
      <c r="T227" s="841">
        <v>18.497</v>
      </c>
      <c r="U227" s="840">
        <v>70.522999999999996</v>
      </c>
      <c r="V227" s="841">
        <v>14.789</v>
      </c>
      <c r="W227" s="841">
        <v>17.181999999999999</v>
      </c>
      <c r="X227" s="841">
        <v>16.995000000000001</v>
      </c>
      <c r="Y227" s="841">
        <v>16.581</v>
      </c>
      <c r="Z227" s="840">
        <v>65.546999999999997</v>
      </c>
      <c r="AA227" s="841">
        <v>0</v>
      </c>
      <c r="AB227" s="841">
        <v>0</v>
      </c>
      <c r="AC227" s="841">
        <v>0</v>
      </c>
      <c r="AD227" s="841">
        <v>0</v>
      </c>
      <c r="AE227" s="840">
        <v>0</v>
      </c>
      <c r="AF227" s="841">
        <v>0</v>
      </c>
      <c r="AG227" s="841">
        <v>0</v>
      </c>
      <c r="AH227" s="841">
        <v>0</v>
      </c>
      <c r="AI227" s="841">
        <v>0</v>
      </c>
      <c r="AJ227" s="840">
        <v>0</v>
      </c>
      <c r="AK227" s="841">
        <v>0</v>
      </c>
      <c r="AL227" s="841">
        <v>0</v>
      </c>
      <c r="AM227" s="842">
        <v>0</v>
      </c>
      <c r="AN227" s="843"/>
      <c r="AO227" s="844"/>
      <c r="AP227" s="843"/>
      <c r="AQ227" s="843"/>
      <c r="AR227" s="843"/>
      <c r="AS227" s="843"/>
      <c r="AT227" s="844"/>
      <c r="AU227" s="844"/>
      <c r="AV227" s="844"/>
      <c r="AW227" s="844"/>
      <c r="AX227" s="793"/>
    </row>
    <row r="228" spans="1:50" s="29" customFormat="1" outlineLevel="2" x14ac:dyDescent="0.45">
      <c r="A228" s="61" t="s">
        <v>19</v>
      </c>
      <c r="B228" s="147"/>
      <c r="C228" s="840">
        <v>14.375999999999999</v>
      </c>
      <c r="D228" s="840">
        <v>18.015000000000001</v>
      </c>
      <c r="E228" s="840">
        <v>26.390999999999998</v>
      </c>
      <c r="F228" s="840">
        <v>35.008000000000003</v>
      </c>
      <c r="G228" s="841">
        <v>6.5750000000000002</v>
      </c>
      <c r="H228" s="841">
        <v>7.8090000000000002</v>
      </c>
      <c r="I228" s="841">
        <v>5.0460000000000003</v>
      </c>
      <c r="J228" s="841">
        <v>6.5179999999999998</v>
      </c>
      <c r="K228" s="840">
        <v>25.948</v>
      </c>
      <c r="L228" s="841">
        <v>9.7149999999999999</v>
      </c>
      <c r="M228" s="841">
        <v>9.6869999999999994</v>
      </c>
      <c r="N228" s="841">
        <v>11.864000000000001</v>
      </c>
      <c r="O228" s="841">
        <v>13.326000000000001</v>
      </c>
      <c r="P228" s="840">
        <v>44.591999999999999</v>
      </c>
      <c r="Q228" s="841">
        <v>12.246</v>
      </c>
      <c r="R228" s="841">
        <v>12.436999999999999</v>
      </c>
      <c r="S228" s="841">
        <v>11.705</v>
      </c>
      <c r="T228" s="841">
        <v>19.015000000000001</v>
      </c>
      <c r="U228" s="840">
        <v>55.402999999999999</v>
      </c>
      <c r="V228" s="841">
        <v>19.875</v>
      </c>
      <c r="W228" s="841">
        <v>21.49</v>
      </c>
      <c r="X228" s="841">
        <v>22.545999999999999</v>
      </c>
      <c r="Y228" s="841">
        <v>23.138999999999999</v>
      </c>
      <c r="Z228" s="840">
        <v>87.05</v>
      </c>
      <c r="AA228" s="841"/>
      <c r="AB228" s="841"/>
      <c r="AC228" s="841"/>
      <c r="AD228" s="841"/>
      <c r="AE228" s="840"/>
      <c r="AF228" s="841"/>
      <c r="AG228" s="841"/>
      <c r="AH228" s="841"/>
      <c r="AI228" s="841"/>
      <c r="AJ228" s="840"/>
      <c r="AK228" s="849"/>
      <c r="AL228" s="849"/>
      <c r="AM228" s="842"/>
      <c r="AN228" s="843"/>
      <c r="AO228" s="844"/>
      <c r="AP228" s="843"/>
      <c r="AQ228" s="843"/>
      <c r="AR228" s="843"/>
      <c r="AS228" s="843"/>
      <c r="AT228" s="844"/>
      <c r="AU228" s="844"/>
      <c r="AV228" s="844"/>
      <c r="AW228" s="844"/>
      <c r="AX228" s="793"/>
    </row>
    <row r="229" spans="1:50" s="7" customFormat="1" outlineLevel="2" x14ac:dyDescent="0.45">
      <c r="A229" s="53" t="s">
        <v>20</v>
      </c>
      <c r="B229" s="146"/>
      <c r="C229" s="845">
        <f t="shared" ref="C229:Z229" si="229">SUM(C227:C228)</f>
        <v>104.137</v>
      </c>
      <c r="D229" s="845">
        <f t="shared" si="229"/>
        <v>124.529</v>
      </c>
      <c r="E229" s="845">
        <f t="shared" si="229"/>
        <v>148.798</v>
      </c>
      <c r="F229" s="845">
        <f t="shared" si="229"/>
        <v>123.58000000000001</v>
      </c>
      <c r="G229" s="846">
        <f t="shared" si="229"/>
        <v>22.547000000000001</v>
      </c>
      <c r="H229" s="846">
        <f t="shared" si="229"/>
        <v>23.370999999999999</v>
      </c>
      <c r="I229" s="846">
        <f t="shared" si="229"/>
        <v>19.16</v>
      </c>
      <c r="J229" s="846">
        <f t="shared" si="229"/>
        <v>21.704000000000001</v>
      </c>
      <c r="K229" s="845">
        <f t="shared" si="229"/>
        <v>86.782000000000011</v>
      </c>
      <c r="L229" s="846">
        <f t="shared" si="229"/>
        <v>29.475999999999999</v>
      </c>
      <c r="M229" s="846">
        <f t="shared" si="229"/>
        <v>29.003</v>
      </c>
      <c r="N229" s="846">
        <f t="shared" si="229"/>
        <v>33.292000000000002</v>
      </c>
      <c r="O229" s="846">
        <f t="shared" si="229"/>
        <v>34.47</v>
      </c>
      <c r="P229" s="845">
        <f t="shared" si="229"/>
        <v>126.241</v>
      </c>
      <c r="Q229" s="846">
        <f t="shared" si="229"/>
        <v>28.435000000000002</v>
      </c>
      <c r="R229" s="846">
        <f t="shared" si="229"/>
        <v>32.124000000000002</v>
      </c>
      <c r="S229" s="846">
        <f t="shared" si="229"/>
        <v>27.854999999999997</v>
      </c>
      <c r="T229" s="846">
        <f t="shared" si="229"/>
        <v>37.512</v>
      </c>
      <c r="U229" s="845">
        <f t="shared" si="229"/>
        <v>125.92599999999999</v>
      </c>
      <c r="V229" s="846">
        <f t="shared" si="229"/>
        <v>34.664000000000001</v>
      </c>
      <c r="W229" s="846">
        <f t="shared" si="229"/>
        <v>38.671999999999997</v>
      </c>
      <c r="X229" s="859">
        <f t="shared" si="229"/>
        <v>39.540999999999997</v>
      </c>
      <c r="Y229" s="846">
        <f t="shared" si="229"/>
        <v>39.72</v>
      </c>
      <c r="Z229" s="845">
        <f t="shared" si="229"/>
        <v>152.59699999999998</v>
      </c>
      <c r="AA229" s="846"/>
      <c r="AB229" s="846"/>
      <c r="AC229" s="859"/>
      <c r="AD229" s="846"/>
      <c r="AE229" s="845"/>
      <c r="AF229" s="846"/>
      <c r="AG229" s="846"/>
      <c r="AH229" s="859"/>
      <c r="AI229" s="846"/>
      <c r="AJ229" s="845"/>
      <c r="AK229" s="846"/>
      <c r="AL229" s="846"/>
      <c r="AM229" s="847"/>
      <c r="AN229" s="859"/>
      <c r="AO229" s="845"/>
      <c r="AP229" s="859"/>
      <c r="AQ229" s="859"/>
      <c r="AR229" s="859"/>
      <c r="AS229" s="859"/>
      <c r="AT229" s="845"/>
      <c r="AU229" s="860"/>
      <c r="AV229" s="860"/>
      <c r="AW229" s="860"/>
      <c r="AX229" s="795"/>
    </row>
    <row r="230" spans="1:50" s="29" customFormat="1" outlineLevel="2" x14ac:dyDescent="0.45">
      <c r="A230" s="61" t="s">
        <v>21</v>
      </c>
      <c r="B230" s="147"/>
      <c r="C230" s="840">
        <v>89.191999999999993</v>
      </c>
      <c r="D230" s="840">
        <v>110.01900000000001</v>
      </c>
      <c r="E230" s="840">
        <v>138.83199999999999</v>
      </c>
      <c r="F230" s="840">
        <v>156.77099999999999</v>
      </c>
      <c r="G230" s="841">
        <v>38.607999999999997</v>
      </c>
      <c r="H230" s="841">
        <v>40.313000000000002</v>
      </c>
      <c r="I230" s="841">
        <v>39.762999999999998</v>
      </c>
      <c r="J230" s="841">
        <v>41.375999999999998</v>
      </c>
      <c r="K230" s="840">
        <v>160.06</v>
      </c>
      <c r="L230" s="841">
        <v>40.805</v>
      </c>
      <c r="M230" s="841">
        <v>42.134999999999998</v>
      </c>
      <c r="N230" s="841">
        <v>43.045000000000002</v>
      </c>
      <c r="O230" s="841">
        <v>43.234000000000002</v>
      </c>
      <c r="P230" s="840">
        <v>169.21899999999999</v>
      </c>
      <c r="Q230" s="841">
        <v>43.713000000000001</v>
      </c>
      <c r="R230" s="841">
        <v>42.176000000000002</v>
      </c>
      <c r="S230" s="841">
        <v>39.518999999999998</v>
      </c>
      <c r="T230" s="841">
        <v>39.792000000000002</v>
      </c>
      <c r="U230" s="840">
        <v>165.2</v>
      </c>
      <c r="V230" s="841">
        <v>38.006999999999998</v>
      </c>
      <c r="W230" s="841">
        <v>38.973999999999997</v>
      </c>
      <c r="X230" s="841">
        <v>39.923999999999999</v>
      </c>
      <c r="Y230" s="841">
        <v>41.898000000000003</v>
      </c>
      <c r="Z230" s="840">
        <v>158.803</v>
      </c>
      <c r="AA230" s="841"/>
      <c r="AB230" s="841"/>
      <c r="AC230" s="841"/>
      <c r="AD230" s="841"/>
      <c r="AE230" s="840"/>
      <c r="AF230" s="841"/>
      <c r="AG230" s="841"/>
      <c r="AH230" s="841"/>
      <c r="AI230" s="841"/>
      <c r="AJ230" s="840"/>
      <c r="AK230" s="841"/>
      <c r="AL230" s="841"/>
      <c r="AM230" s="842"/>
      <c r="AN230" s="843"/>
      <c r="AO230" s="844"/>
      <c r="AP230" s="843"/>
      <c r="AQ230" s="843"/>
      <c r="AR230" s="843"/>
      <c r="AS230" s="843"/>
      <c r="AT230" s="844"/>
      <c r="AU230" s="844"/>
      <c r="AV230" s="844"/>
      <c r="AW230" s="844"/>
      <c r="AX230" s="793"/>
    </row>
    <row r="231" spans="1:50" s="29" customFormat="1" outlineLevel="2" x14ac:dyDescent="0.45">
      <c r="A231" s="61" t="s">
        <v>22</v>
      </c>
      <c r="B231" s="147"/>
      <c r="C231" s="840">
        <v>36.664999999999999</v>
      </c>
      <c r="D231" s="840">
        <v>45.064999999999998</v>
      </c>
      <c r="E231" s="840">
        <v>45.572000000000003</v>
      </c>
      <c r="F231" s="840">
        <v>59.219000000000001</v>
      </c>
      <c r="G231" s="841">
        <v>16.015000000000001</v>
      </c>
      <c r="H231" s="841">
        <v>15.467000000000001</v>
      </c>
      <c r="I231" s="841">
        <v>16.178000000000001</v>
      </c>
      <c r="J231" s="841">
        <v>15.316000000000001</v>
      </c>
      <c r="K231" s="840">
        <v>62.975999999999999</v>
      </c>
      <c r="L231" s="841">
        <v>16.693000000000001</v>
      </c>
      <c r="M231" s="841">
        <v>17.431999999999999</v>
      </c>
      <c r="N231" s="841">
        <v>20.391999999999999</v>
      </c>
      <c r="O231" s="841">
        <v>19.72</v>
      </c>
      <c r="P231" s="840">
        <v>74.236999999999995</v>
      </c>
      <c r="Q231" s="841">
        <v>20.242999999999999</v>
      </c>
      <c r="R231" s="841">
        <v>20.792999999999999</v>
      </c>
      <c r="S231" s="841">
        <v>21.594000000000001</v>
      </c>
      <c r="T231" s="841">
        <v>20.376000000000001</v>
      </c>
      <c r="U231" s="840">
        <v>83.006</v>
      </c>
      <c r="V231" s="841">
        <v>21.053000000000001</v>
      </c>
      <c r="W231" s="841">
        <v>20.936</v>
      </c>
      <c r="X231" s="841">
        <v>20.047999999999998</v>
      </c>
      <c r="Y231" s="841">
        <v>20.515000000000001</v>
      </c>
      <c r="Z231" s="840">
        <v>82.552000000000007</v>
      </c>
      <c r="AA231" s="841"/>
      <c r="AB231" s="841"/>
      <c r="AC231" s="841"/>
      <c r="AD231" s="841"/>
      <c r="AE231" s="840"/>
      <c r="AF231" s="841"/>
      <c r="AG231" s="841"/>
      <c r="AH231" s="841"/>
      <c r="AI231" s="841"/>
      <c r="AJ231" s="840"/>
      <c r="AK231" s="841"/>
      <c r="AL231" s="841"/>
      <c r="AM231" s="842"/>
      <c r="AN231" s="843"/>
      <c r="AO231" s="844"/>
      <c r="AP231" s="843"/>
      <c r="AQ231" s="843"/>
      <c r="AR231" s="843"/>
      <c r="AS231" s="843"/>
      <c r="AT231" s="844"/>
      <c r="AU231" s="844"/>
      <c r="AV231" s="844"/>
      <c r="AW231" s="844"/>
      <c r="AX231" s="793"/>
    </row>
    <row r="232" spans="1:50" s="29" customFormat="1" outlineLevel="2" x14ac:dyDescent="0.45">
      <c r="A232" s="61" t="s">
        <v>23</v>
      </c>
      <c r="B232" s="147"/>
      <c r="C232" s="840">
        <v>35.034999999999997</v>
      </c>
      <c r="D232" s="840">
        <v>41.021999999999998</v>
      </c>
      <c r="E232" s="840">
        <v>49.259</v>
      </c>
      <c r="F232" s="840">
        <v>59.709000000000003</v>
      </c>
      <c r="G232" s="841">
        <v>16.692</v>
      </c>
      <c r="H232" s="841">
        <v>16.545000000000002</v>
      </c>
      <c r="I232" s="841">
        <v>16.637</v>
      </c>
      <c r="J232" s="841">
        <v>17.420999999999999</v>
      </c>
      <c r="K232" s="840">
        <v>67.295000000000002</v>
      </c>
      <c r="L232" s="841">
        <v>18.318999999999999</v>
      </c>
      <c r="M232" s="841">
        <v>18.905999999999999</v>
      </c>
      <c r="N232" s="841">
        <v>19.050999999999998</v>
      </c>
      <c r="O232" s="841">
        <v>20.082000000000001</v>
      </c>
      <c r="P232" s="840">
        <v>76.358000000000004</v>
      </c>
      <c r="Q232" s="841">
        <v>20.189</v>
      </c>
      <c r="R232" s="841">
        <v>20.581</v>
      </c>
      <c r="S232" s="841">
        <v>20.643000000000001</v>
      </c>
      <c r="T232" s="841">
        <v>20.93</v>
      </c>
      <c r="U232" s="840">
        <v>82.343000000000004</v>
      </c>
      <c r="V232" s="841">
        <v>22.123999999999999</v>
      </c>
      <c r="W232" s="841">
        <v>21.613</v>
      </c>
      <c r="X232" s="841">
        <v>21.79</v>
      </c>
      <c r="Y232" s="841">
        <v>23.423999999999999</v>
      </c>
      <c r="Z232" s="840">
        <v>88.950999999999993</v>
      </c>
      <c r="AA232" s="841"/>
      <c r="AB232" s="841"/>
      <c r="AC232" s="841"/>
      <c r="AD232" s="841"/>
      <c r="AE232" s="840"/>
      <c r="AF232" s="841"/>
      <c r="AG232" s="841"/>
      <c r="AH232" s="841"/>
      <c r="AI232" s="841"/>
      <c r="AJ232" s="840"/>
      <c r="AK232" s="841"/>
      <c r="AL232" s="841"/>
      <c r="AM232" s="842"/>
      <c r="AN232" s="843"/>
      <c r="AO232" s="844"/>
      <c r="AP232" s="843"/>
      <c r="AQ232" s="843"/>
      <c r="AR232" s="843"/>
      <c r="AS232" s="843"/>
      <c r="AT232" s="844"/>
      <c r="AU232" s="844"/>
      <c r="AV232" s="844"/>
      <c r="AW232" s="844"/>
      <c r="AX232" s="793"/>
    </row>
    <row r="233" spans="1:50" s="29" customFormat="1" outlineLevel="2" x14ac:dyDescent="0.45">
      <c r="A233" s="61" t="s">
        <v>24</v>
      </c>
      <c r="B233" s="147"/>
      <c r="C233" s="840">
        <v>26.782</v>
      </c>
      <c r="D233" s="840">
        <v>32.728000000000002</v>
      </c>
      <c r="E233" s="840">
        <v>47.374000000000002</v>
      </c>
      <c r="F233" s="840">
        <v>60.95</v>
      </c>
      <c r="G233" s="841">
        <v>15.667</v>
      </c>
      <c r="H233" s="841">
        <v>15.385</v>
      </c>
      <c r="I233" s="841">
        <v>17.116</v>
      </c>
      <c r="J233" s="841">
        <v>19.385999999999999</v>
      </c>
      <c r="K233" s="840">
        <v>67.554000000000002</v>
      </c>
      <c r="L233" s="841">
        <v>12.601000000000001</v>
      </c>
      <c r="M233" s="841">
        <v>13.042999999999999</v>
      </c>
      <c r="N233" s="841">
        <v>7.6440000000000001</v>
      </c>
      <c r="O233" s="841">
        <v>10.882</v>
      </c>
      <c r="P233" s="840">
        <v>44.17</v>
      </c>
      <c r="Q233" s="841">
        <v>9.5839999999999996</v>
      </c>
      <c r="R233" s="841">
        <v>9.6950000000000003</v>
      </c>
      <c r="S233" s="841">
        <v>7.4210000000000003</v>
      </c>
      <c r="T233" s="841">
        <v>9.3019999999999996</v>
      </c>
      <c r="U233" s="840">
        <v>36.002000000000002</v>
      </c>
      <c r="V233" s="841">
        <v>6.3570000000000002</v>
      </c>
      <c r="W233" s="841">
        <v>6.9710000000000001</v>
      </c>
      <c r="X233" s="841">
        <v>6.5650000000000004</v>
      </c>
      <c r="Y233" s="841">
        <v>6.8280000000000003</v>
      </c>
      <c r="Z233" s="840">
        <v>26.721</v>
      </c>
      <c r="AA233" s="841"/>
      <c r="AB233" s="841"/>
      <c r="AC233" s="841"/>
      <c r="AD233" s="841"/>
      <c r="AE233" s="840"/>
      <c r="AF233" s="841"/>
      <c r="AG233" s="841"/>
      <c r="AH233" s="841"/>
      <c r="AI233" s="841"/>
      <c r="AJ233" s="840"/>
      <c r="AK233" s="849"/>
      <c r="AL233" s="849"/>
      <c r="AM233" s="842"/>
      <c r="AN233" s="843"/>
      <c r="AO233" s="844"/>
      <c r="AP233" s="843"/>
      <c r="AQ233" s="843"/>
      <c r="AR233" s="843"/>
      <c r="AS233" s="843"/>
      <c r="AT233" s="844"/>
      <c r="AU233" s="844"/>
      <c r="AV233" s="844"/>
      <c r="AW233" s="844"/>
      <c r="AX233" s="793"/>
    </row>
    <row r="234" spans="1:50" s="7" customFormat="1" outlineLevel="2" x14ac:dyDescent="0.45">
      <c r="A234" s="53" t="s">
        <v>25</v>
      </c>
      <c r="B234" s="146"/>
      <c r="C234" s="845">
        <f t="shared" ref="C234:Z234" si="230">SUM(C230:C233)</f>
        <v>187.67400000000001</v>
      </c>
      <c r="D234" s="845">
        <f t="shared" si="230"/>
        <v>228.834</v>
      </c>
      <c r="E234" s="845">
        <f t="shared" si="230"/>
        <v>281.03700000000003</v>
      </c>
      <c r="F234" s="845">
        <f t="shared" si="230"/>
        <v>336.64899999999994</v>
      </c>
      <c r="G234" s="846">
        <f t="shared" si="230"/>
        <v>86.981999999999999</v>
      </c>
      <c r="H234" s="846">
        <f t="shared" si="230"/>
        <v>87.710000000000008</v>
      </c>
      <c r="I234" s="846">
        <f t="shared" si="230"/>
        <v>89.694000000000003</v>
      </c>
      <c r="J234" s="846">
        <f t="shared" si="230"/>
        <v>93.498999999999995</v>
      </c>
      <c r="K234" s="845">
        <f t="shared" si="230"/>
        <v>357.88499999999999</v>
      </c>
      <c r="L234" s="846">
        <f t="shared" si="230"/>
        <v>88.418000000000006</v>
      </c>
      <c r="M234" s="846">
        <f t="shared" si="230"/>
        <v>91.515999999999991</v>
      </c>
      <c r="N234" s="846">
        <f t="shared" si="230"/>
        <v>90.132000000000005</v>
      </c>
      <c r="O234" s="846">
        <f t="shared" si="230"/>
        <v>93.918000000000006</v>
      </c>
      <c r="P234" s="845">
        <f t="shared" si="230"/>
        <v>363.98399999999998</v>
      </c>
      <c r="Q234" s="846">
        <f t="shared" si="230"/>
        <v>93.729000000000013</v>
      </c>
      <c r="R234" s="846">
        <f t="shared" si="230"/>
        <v>93.245000000000005</v>
      </c>
      <c r="S234" s="846">
        <f t="shared" si="230"/>
        <v>89.177000000000007</v>
      </c>
      <c r="T234" s="846">
        <f t="shared" si="230"/>
        <v>90.4</v>
      </c>
      <c r="U234" s="845">
        <f t="shared" si="230"/>
        <v>366.55099999999999</v>
      </c>
      <c r="V234" s="846">
        <f t="shared" si="230"/>
        <v>87.540999999999997</v>
      </c>
      <c r="W234" s="846">
        <f t="shared" si="230"/>
        <v>88.494</v>
      </c>
      <c r="X234" s="859">
        <f t="shared" si="230"/>
        <v>88.326999999999998</v>
      </c>
      <c r="Y234" s="846">
        <f t="shared" si="230"/>
        <v>92.665000000000006</v>
      </c>
      <c r="Z234" s="845">
        <f t="shared" si="230"/>
        <v>357.02700000000004</v>
      </c>
      <c r="AA234" s="846"/>
      <c r="AB234" s="846"/>
      <c r="AC234" s="859"/>
      <c r="AD234" s="846"/>
      <c r="AE234" s="845"/>
      <c r="AF234" s="846"/>
      <c r="AG234" s="846"/>
      <c r="AH234" s="859"/>
      <c r="AI234" s="846"/>
      <c r="AJ234" s="845"/>
      <c r="AK234" s="846"/>
      <c r="AL234" s="846"/>
      <c r="AM234" s="847"/>
      <c r="AN234" s="859"/>
      <c r="AO234" s="845"/>
      <c r="AP234" s="859"/>
      <c r="AQ234" s="859"/>
      <c r="AR234" s="859"/>
      <c r="AS234" s="859"/>
      <c r="AT234" s="845"/>
      <c r="AU234" s="860"/>
      <c r="AV234" s="860"/>
      <c r="AW234" s="860"/>
      <c r="AX234" s="795"/>
    </row>
    <row r="235" spans="1:50" s="29" customFormat="1" outlineLevel="1" x14ac:dyDescent="0.45">
      <c r="A235" s="61" t="s">
        <v>26</v>
      </c>
      <c r="B235" s="147"/>
      <c r="C235" s="840"/>
      <c r="D235" s="840"/>
      <c r="E235" s="840"/>
      <c r="F235" s="840"/>
      <c r="G235" s="841"/>
      <c r="H235" s="841"/>
      <c r="I235" s="841"/>
      <c r="J235" s="841"/>
      <c r="K235" s="840"/>
      <c r="L235" s="841"/>
      <c r="M235" s="841"/>
      <c r="N235" s="841"/>
      <c r="O235" s="841"/>
      <c r="P235" s="840"/>
      <c r="Q235" s="841"/>
      <c r="R235" s="841"/>
      <c r="S235" s="841"/>
      <c r="T235" s="841"/>
      <c r="U235" s="840"/>
      <c r="V235" s="841"/>
      <c r="W235" s="841"/>
      <c r="X235" s="861"/>
      <c r="Y235" s="841"/>
      <c r="Z235" s="840"/>
      <c r="AA235" s="841">
        <v>119.178</v>
      </c>
      <c r="AB235" s="841">
        <v>119.441</v>
      </c>
      <c r="AC235" s="861">
        <v>118.997</v>
      </c>
      <c r="AD235" s="841">
        <v>118.598</v>
      </c>
      <c r="AE235" s="840">
        <v>476.214</v>
      </c>
      <c r="AF235" s="841">
        <v>120.00700000000001</v>
      </c>
      <c r="AG235" s="841">
        <v>116.31699999999999</v>
      </c>
      <c r="AH235" s="861">
        <v>117.446</v>
      </c>
      <c r="AI235" s="841">
        <v>120.151</v>
      </c>
      <c r="AJ235" s="840">
        <v>473.92099999999999</v>
      </c>
      <c r="AK235" s="841">
        <v>119.447</v>
      </c>
      <c r="AL235" s="841">
        <v>120.589</v>
      </c>
      <c r="AM235" s="842">
        <v>124.78700000000001</v>
      </c>
      <c r="AN235" s="862"/>
      <c r="AO235" s="844"/>
      <c r="AP235" s="862"/>
      <c r="AQ235" s="862"/>
      <c r="AR235" s="862"/>
      <c r="AS235" s="862"/>
      <c r="AT235" s="844"/>
      <c r="AU235" s="863"/>
      <c r="AV235" s="863"/>
      <c r="AW235" s="863"/>
      <c r="AX235" s="793"/>
    </row>
    <row r="236" spans="1:50" s="29" customFormat="1" outlineLevel="1" x14ac:dyDescent="0.45">
      <c r="A236" s="214" t="s">
        <v>27</v>
      </c>
      <c r="B236" s="215"/>
      <c r="C236" s="848"/>
      <c r="D236" s="848"/>
      <c r="E236" s="848"/>
      <c r="F236" s="848"/>
      <c r="G236" s="849"/>
      <c r="H236" s="849"/>
      <c r="I236" s="849"/>
      <c r="J236" s="849"/>
      <c r="K236" s="848"/>
      <c r="L236" s="849"/>
      <c r="M236" s="849"/>
      <c r="N236" s="849"/>
      <c r="O236" s="849"/>
      <c r="P236" s="848"/>
      <c r="Q236" s="849"/>
      <c r="R236" s="849"/>
      <c r="S236" s="849"/>
      <c r="T236" s="849"/>
      <c r="U236" s="848"/>
      <c r="V236" s="849"/>
      <c r="W236" s="849"/>
      <c r="X236" s="864"/>
      <c r="Y236" s="849"/>
      <c r="Z236" s="848"/>
      <c r="AA236" s="849">
        <v>11.744</v>
      </c>
      <c r="AB236" s="849">
        <v>13.166</v>
      </c>
      <c r="AC236" s="864">
        <v>12.718</v>
      </c>
      <c r="AD236" s="849">
        <v>17.177</v>
      </c>
      <c r="AE236" s="848">
        <v>54.805</v>
      </c>
      <c r="AF236" s="849">
        <v>13.193</v>
      </c>
      <c r="AG236" s="849">
        <v>14.004</v>
      </c>
      <c r="AH236" s="864">
        <v>13.420999999999999</v>
      </c>
      <c r="AI236" s="849">
        <v>14.634</v>
      </c>
      <c r="AJ236" s="848">
        <v>55.252000000000002</v>
      </c>
      <c r="AK236" s="849">
        <v>12.414</v>
      </c>
      <c r="AL236" s="849">
        <v>13.667</v>
      </c>
      <c r="AM236" s="850">
        <v>12.952999999999999</v>
      </c>
      <c r="AN236" s="864"/>
      <c r="AO236" s="848"/>
      <c r="AP236" s="864"/>
      <c r="AQ236" s="864"/>
      <c r="AR236" s="864"/>
      <c r="AS236" s="864"/>
      <c r="AT236" s="848"/>
      <c r="AU236" s="865"/>
      <c r="AV236" s="865"/>
      <c r="AW236" s="865"/>
      <c r="AX236" s="793"/>
    </row>
    <row r="237" spans="1:50" s="7" customFormat="1" outlineLevel="1" x14ac:dyDescent="0.45">
      <c r="A237" s="54" t="s">
        <v>28</v>
      </c>
      <c r="B237" s="69"/>
      <c r="C237" s="851">
        <f t="shared" ref="C237:Z237" si="231">C229+C234</f>
        <v>291.81100000000004</v>
      </c>
      <c r="D237" s="851">
        <f t="shared" si="231"/>
        <v>353.363</v>
      </c>
      <c r="E237" s="851">
        <f t="shared" si="231"/>
        <v>429.83500000000004</v>
      </c>
      <c r="F237" s="851">
        <f t="shared" si="231"/>
        <v>460.22899999999993</v>
      </c>
      <c r="G237" s="852">
        <f t="shared" si="231"/>
        <v>109.529</v>
      </c>
      <c r="H237" s="852">
        <f t="shared" si="231"/>
        <v>111.081</v>
      </c>
      <c r="I237" s="852">
        <f t="shared" si="231"/>
        <v>108.854</v>
      </c>
      <c r="J237" s="852">
        <f t="shared" si="231"/>
        <v>115.203</v>
      </c>
      <c r="K237" s="851">
        <f t="shared" si="231"/>
        <v>444.66700000000003</v>
      </c>
      <c r="L237" s="852">
        <f t="shared" si="231"/>
        <v>117.89400000000001</v>
      </c>
      <c r="M237" s="852">
        <f t="shared" si="231"/>
        <v>120.51899999999999</v>
      </c>
      <c r="N237" s="852">
        <f t="shared" si="231"/>
        <v>123.42400000000001</v>
      </c>
      <c r="O237" s="852">
        <f t="shared" si="231"/>
        <v>128.38800000000001</v>
      </c>
      <c r="P237" s="851">
        <f t="shared" si="231"/>
        <v>490.22499999999997</v>
      </c>
      <c r="Q237" s="852">
        <f t="shared" si="231"/>
        <v>122.16400000000002</v>
      </c>
      <c r="R237" s="852">
        <f t="shared" si="231"/>
        <v>125.369</v>
      </c>
      <c r="S237" s="852">
        <f t="shared" si="231"/>
        <v>117.03200000000001</v>
      </c>
      <c r="T237" s="852">
        <f t="shared" si="231"/>
        <v>127.91200000000001</v>
      </c>
      <c r="U237" s="851">
        <f t="shared" si="231"/>
        <v>492.47699999999998</v>
      </c>
      <c r="V237" s="852">
        <f t="shared" si="231"/>
        <v>122.205</v>
      </c>
      <c r="W237" s="852">
        <f t="shared" si="231"/>
        <v>127.166</v>
      </c>
      <c r="X237" s="866">
        <f t="shared" si="231"/>
        <v>127.86799999999999</v>
      </c>
      <c r="Y237" s="852">
        <f t="shared" si="231"/>
        <v>132.38499999999999</v>
      </c>
      <c r="Z237" s="851">
        <f t="shared" si="231"/>
        <v>509.62400000000002</v>
      </c>
      <c r="AA237" s="852">
        <f t="shared" ref="AA237:AM237" si="232">SUM(AA235:AA236)</f>
        <v>130.922</v>
      </c>
      <c r="AB237" s="852">
        <f t="shared" si="232"/>
        <v>132.607</v>
      </c>
      <c r="AC237" s="866">
        <f t="shared" si="232"/>
        <v>131.715</v>
      </c>
      <c r="AD237" s="852">
        <f t="shared" si="232"/>
        <v>135.77500000000001</v>
      </c>
      <c r="AE237" s="851">
        <f t="shared" si="232"/>
        <v>531.01900000000001</v>
      </c>
      <c r="AF237" s="852">
        <f t="shared" si="232"/>
        <v>133.20000000000002</v>
      </c>
      <c r="AG237" s="852">
        <f t="shared" si="232"/>
        <v>130.321</v>
      </c>
      <c r="AH237" s="866">
        <f t="shared" si="232"/>
        <v>130.86699999999999</v>
      </c>
      <c r="AI237" s="852">
        <f t="shared" si="232"/>
        <v>134.785</v>
      </c>
      <c r="AJ237" s="851">
        <f t="shared" si="232"/>
        <v>529.173</v>
      </c>
      <c r="AK237" s="846">
        <f t="shared" si="232"/>
        <v>131.86099999999999</v>
      </c>
      <c r="AL237" s="846">
        <f t="shared" si="232"/>
        <v>134.256</v>
      </c>
      <c r="AM237" s="853">
        <f t="shared" si="232"/>
        <v>137.74</v>
      </c>
      <c r="AN237" s="867"/>
      <c r="AO237" s="855"/>
      <c r="AP237" s="867"/>
      <c r="AQ237" s="867"/>
      <c r="AR237" s="867"/>
      <c r="AS237" s="867"/>
      <c r="AT237" s="855"/>
      <c r="AU237" s="868"/>
      <c r="AV237" s="868"/>
      <c r="AW237" s="868"/>
      <c r="AX237" s="795"/>
    </row>
    <row r="238" spans="1:50" s="29" customFormat="1" outlineLevel="2" x14ac:dyDescent="0.45">
      <c r="A238" s="61" t="s">
        <v>18</v>
      </c>
      <c r="B238" s="147"/>
      <c r="C238" s="840">
        <v>12.115</v>
      </c>
      <c r="D238" s="840">
        <v>19.779</v>
      </c>
      <c r="E238" s="840">
        <v>18.399000000000001</v>
      </c>
      <c r="F238" s="840">
        <v>21.75</v>
      </c>
      <c r="G238" s="841">
        <v>4.9340000000000002</v>
      </c>
      <c r="H238" s="841">
        <v>4.7789999999999999</v>
      </c>
      <c r="I238" s="841">
        <v>27.398</v>
      </c>
      <c r="J238" s="841">
        <v>7.1150000000000002</v>
      </c>
      <c r="K238" s="840">
        <v>44.225999999999999</v>
      </c>
      <c r="L238" s="841">
        <v>7.556</v>
      </c>
      <c r="M238" s="841">
        <v>7.4749999999999996</v>
      </c>
      <c r="N238" s="841">
        <v>7.2949999999999999</v>
      </c>
      <c r="O238" s="841">
        <v>6.4770000000000003</v>
      </c>
      <c r="P238" s="840">
        <v>28.803000000000001</v>
      </c>
      <c r="Q238" s="841">
        <v>7.0410000000000004</v>
      </c>
      <c r="R238" s="841">
        <v>6.5780000000000003</v>
      </c>
      <c r="S238" s="841">
        <v>6.53</v>
      </c>
      <c r="T238" s="841">
        <v>7.3570000000000002</v>
      </c>
      <c r="U238" s="840">
        <v>27.506</v>
      </c>
      <c r="V238" s="841">
        <v>7.12</v>
      </c>
      <c r="W238" s="841">
        <v>6.4269999999999996</v>
      </c>
      <c r="X238" s="841">
        <v>5.68</v>
      </c>
      <c r="Y238" s="841">
        <v>5.4269999999999996</v>
      </c>
      <c r="Z238" s="840">
        <v>24.654</v>
      </c>
      <c r="AA238" s="841"/>
      <c r="AB238" s="841"/>
      <c r="AC238" s="841"/>
      <c r="AD238" s="841"/>
      <c r="AE238" s="840"/>
      <c r="AF238" s="841"/>
      <c r="AG238" s="841"/>
      <c r="AH238" s="841"/>
      <c r="AI238" s="841"/>
      <c r="AJ238" s="840"/>
      <c r="AK238" s="841"/>
      <c r="AL238" s="841"/>
      <c r="AM238" s="842"/>
      <c r="AN238" s="843"/>
      <c r="AO238" s="844"/>
      <c r="AP238" s="843"/>
      <c r="AQ238" s="843"/>
      <c r="AR238" s="843"/>
      <c r="AS238" s="843"/>
      <c r="AT238" s="844"/>
      <c r="AU238" s="844"/>
      <c r="AV238" s="844"/>
      <c r="AW238" s="844"/>
      <c r="AX238" s="793"/>
    </row>
    <row r="239" spans="1:50" s="29" customFormat="1" outlineLevel="2" x14ac:dyDescent="0.45">
      <c r="A239" s="61" t="s">
        <v>19</v>
      </c>
      <c r="B239" s="147"/>
      <c r="C239" s="840">
        <v>11.983000000000001</v>
      </c>
      <c r="D239" s="840">
        <v>15.01</v>
      </c>
      <c r="E239" s="840">
        <v>21.297999999999998</v>
      </c>
      <c r="F239" s="840">
        <v>30.896000000000001</v>
      </c>
      <c r="G239" s="841">
        <v>7.1340000000000003</v>
      </c>
      <c r="H239" s="841">
        <v>6.9720000000000004</v>
      </c>
      <c r="I239" s="841">
        <v>7.4660000000000002</v>
      </c>
      <c r="J239" s="841">
        <v>8.109</v>
      </c>
      <c r="K239" s="840">
        <v>29.681000000000001</v>
      </c>
      <c r="L239" s="841">
        <v>4.4509999999999996</v>
      </c>
      <c r="M239" s="841">
        <v>5.3840000000000003</v>
      </c>
      <c r="N239" s="841">
        <v>5.194</v>
      </c>
      <c r="O239" s="841">
        <v>5.6429999999999998</v>
      </c>
      <c r="P239" s="840">
        <v>20.672000000000001</v>
      </c>
      <c r="Q239" s="841">
        <v>5.9580000000000002</v>
      </c>
      <c r="R239" s="841">
        <v>5.9630000000000001</v>
      </c>
      <c r="S239" s="841">
        <v>5.5330000000000004</v>
      </c>
      <c r="T239" s="841">
        <v>9.1679999999999993</v>
      </c>
      <c r="U239" s="840">
        <v>26.622</v>
      </c>
      <c r="V239" s="841">
        <v>9.0869999999999997</v>
      </c>
      <c r="W239" s="841">
        <v>8.6750000000000007</v>
      </c>
      <c r="X239" s="841">
        <v>9.3450000000000006</v>
      </c>
      <c r="Y239" s="841">
        <v>9.6370000000000005</v>
      </c>
      <c r="Z239" s="840">
        <v>36.744</v>
      </c>
      <c r="AA239" s="841"/>
      <c r="AB239" s="841"/>
      <c r="AC239" s="841"/>
      <c r="AD239" s="841"/>
      <c r="AE239" s="840"/>
      <c r="AF239" s="841"/>
      <c r="AG239" s="841"/>
      <c r="AH239" s="841"/>
      <c r="AI239" s="841"/>
      <c r="AJ239" s="840"/>
      <c r="AK239" s="849"/>
      <c r="AL239" s="849"/>
      <c r="AM239" s="842"/>
      <c r="AN239" s="843"/>
      <c r="AO239" s="844"/>
      <c r="AP239" s="843"/>
      <c r="AQ239" s="843"/>
      <c r="AR239" s="843"/>
      <c r="AS239" s="843"/>
      <c r="AT239" s="844"/>
      <c r="AU239" s="844"/>
      <c r="AV239" s="844"/>
      <c r="AW239" s="844"/>
      <c r="AX239" s="793"/>
    </row>
    <row r="240" spans="1:50" s="7" customFormat="1" outlineLevel="2" x14ac:dyDescent="0.45">
      <c r="A240" s="53" t="s">
        <v>29</v>
      </c>
      <c r="B240" s="146"/>
      <c r="C240" s="845">
        <f t="shared" ref="C240:Z240" si="233">SUM(C238:C239)</f>
        <v>24.097999999999999</v>
      </c>
      <c r="D240" s="845">
        <f t="shared" si="233"/>
        <v>34.789000000000001</v>
      </c>
      <c r="E240" s="845">
        <f t="shared" si="233"/>
        <v>39.697000000000003</v>
      </c>
      <c r="F240" s="845">
        <f t="shared" si="233"/>
        <v>52.646000000000001</v>
      </c>
      <c r="G240" s="846">
        <f t="shared" si="233"/>
        <v>12.068000000000001</v>
      </c>
      <c r="H240" s="846">
        <f t="shared" si="233"/>
        <v>11.751000000000001</v>
      </c>
      <c r="I240" s="846">
        <f t="shared" si="233"/>
        <v>34.863999999999997</v>
      </c>
      <c r="J240" s="846">
        <f t="shared" si="233"/>
        <v>15.224</v>
      </c>
      <c r="K240" s="845">
        <f t="shared" si="233"/>
        <v>73.906999999999996</v>
      </c>
      <c r="L240" s="846">
        <f t="shared" si="233"/>
        <v>12.007</v>
      </c>
      <c r="M240" s="846">
        <f t="shared" si="233"/>
        <v>12.859</v>
      </c>
      <c r="N240" s="846">
        <f t="shared" si="233"/>
        <v>12.489000000000001</v>
      </c>
      <c r="O240" s="846">
        <f t="shared" si="233"/>
        <v>12.120000000000001</v>
      </c>
      <c r="P240" s="845">
        <f t="shared" si="233"/>
        <v>49.475000000000001</v>
      </c>
      <c r="Q240" s="846">
        <f t="shared" si="233"/>
        <v>12.999000000000001</v>
      </c>
      <c r="R240" s="846">
        <f t="shared" si="233"/>
        <v>12.541</v>
      </c>
      <c r="S240" s="846">
        <f t="shared" si="233"/>
        <v>12.063000000000001</v>
      </c>
      <c r="T240" s="846">
        <f t="shared" si="233"/>
        <v>16.524999999999999</v>
      </c>
      <c r="U240" s="845">
        <f t="shared" si="233"/>
        <v>54.128</v>
      </c>
      <c r="V240" s="846">
        <f t="shared" si="233"/>
        <v>16.207000000000001</v>
      </c>
      <c r="W240" s="846">
        <f t="shared" si="233"/>
        <v>15.102</v>
      </c>
      <c r="X240" s="859">
        <f t="shared" si="233"/>
        <v>15.025</v>
      </c>
      <c r="Y240" s="846">
        <f t="shared" si="233"/>
        <v>15.064</v>
      </c>
      <c r="Z240" s="845">
        <f t="shared" si="233"/>
        <v>61.397999999999996</v>
      </c>
      <c r="AA240" s="846"/>
      <c r="AB240" s="846"/>
      <c r="AC240" s="859"/>
      <c r="AD240" s="846"/>
      <c r="AE240" s="845"/>
      <c r="AF240" s="846"/>
      <c r="AG240" s="846"/>
      <c r="AH240" s="859"/>
      <c r="AI240" s="846"/>
      <c r="AJ240" s="845"/>
      <c r="AK240" s="846"/>
      <c r="AL240" s="846"/>
      <c r="AM240" s="847"/>
      <c r="AN240" s="859"/>
      <c r="AO240" s="845"/>
      <c r="AP240" s="859"/>
      <c r="AQ240" s="859"/>
      <c r="AR240" s="859"/>
      <c r="AS240" s="859"/>
      <c r="AT240" s="845"/>
      <c r="AU240" s="860"/>
      <c r="AV240" s="860"/>
      <c r="AW240" s="860"/>
      <c r="AX240" s="795"/>
    </row>
    <row r="241" spans="1:50" s="29" customFormat="1" outlineLevel="2" x14ac:dyDescent="0.45">
      <c r="A241" s="61" t="s">
        <v>21</v>
      </c>
      <c r="B241" s="147"/>
      <c r="C241" s="840">
        <v>13.339</v>
      </c>
      <c r="D241" s="840">
        <v>12.948</v>
      </c>
      <c r="E241" s="840">
        <v>17.103999999999999</v>
      </c>
      <c r="F241" s="840">
        <v>20.315999999999999</v>
      </c>
      <c r="G241" s="841">
        <v>5.3019999999999996</v>
      </c>
      <c r="H241" s="841">
        <v>5.2619999999999996</v>
      </c>
      <c r="I241" s="841">
        <v>5.6420000000000003</v>
      </c>
      <c r="J241" s="841">
        <v>6.3840000000000003</v>
      </c>
      <c r="K241" s="840">
        <v>22.59</v>
      </c>
      <c r="L241" s="841">
        <v>6.9139999999999997</v>
      </c>
      <c r="M241" s="841">
        <v>6.7850000000000001</v>
      </c>
      <c r="N241" s="841">
        <v>7.3650000000000002</v>
      </c>
      <c r="O241" s="841">
        <v>7.8019999999999996</v>
      </c>
      <c r="P241" s="840">
        <v>28.866</v>
      </c>
      <c r="Q241" s="841">
        <v>7.9429999999999996</v>
      </c>
      <c r="R241" s="841">
        <v>8.3940000000000001</v>
      </c>
      <c r="S241" s="841">
        <v>7.5369999999999999</v>
      </c>
      <c r="T241" s="841">
        <v>7.4550000000000001</v>
      </c>
      <c r="U241" s="840">
        <v>31.329000000000001</v>
      </c>
      <c r="V241" s="841">
        <v>6.5679999999999996</v>
      </c>
      <c r="W241" s="841">
        <v>7.0359999999999996</v>
      </c>
      <c r="X241" s="841">
        <v>7.2990000000000004</v>
      </c>
      <c r="Y241" s="841">
        <v>7.4139999999999997</v>
      </c>
      <c r="Z241" s="840">
        <v>28.317</v>
      </c>
      <c r="AA241" s="841"/>
      <c r="AB241" s="841"/>
      <c r="AC241" s="841"/>
      <c r="AD241" s="841"/>
      <c r="AE241" s="840"/>
      <c r="AF241" s="841"/>
      <c r="AG241" s="841"/>
      <c r="AH241" s="841"/>
      <c r="AI241" s="841"/>
      <c r="AJ241" s="840"/>
      <c r="AK241" s="841"/>
      <c r="AL241" s="841"/>
      <c r="AM241" s="842"/>
      <c r="AN241" s="843"/>
      <c r="AO241" s="844"/>
      <c r="AP241" s="843"/>
      <c r="AQ241" s="843"/>
      <c r="AR241" s="843"/>
      <c r="AS241" s="843"/>
      <c r="AT241" s="844"/>
      <c r="AU241" s="844"/>
      <c r="AV241" s="844"/>
      <c r="AW241" s="844"/>
      <c r="AX241" s="793"/>
    </row>
    <row r="242" spans="1:50" s="29" customFormat="1" outlineLevel="2" x14ac:dyDescent="0.45">
      <c r="A242" s="61" t="s">
        <v>22</v>
      </c>
      <c r="B242" s="147"/>
      <c r="C242" s="840">
        <v>27.715</v>
      </c>
      <c r="D242" s="840">
        <v>33.814999999999998</v>
      </c>
      <c r="E242" s="840">
        <v>34.295000000000002</v>
      </c>
      <c r="F242" s="840">
        <v>43.323999999999998</v>
      </c>
      <c r="G242" s="841">
        <v>11.401</v>
      </c>
      <c r="H242" s="841">
        <v>11.007</v>
      </c>
      <c r="I242" s="841">
        <v>11.736000000000001</v>
      </c>
      <c r="J242" s="841">
        <v>12.058999999999999</v>
      </c>
      <c r="K242" s="840">
        <v>46.203000000000003</v>
      </c>
      <c r="L242" s="841">
        <v>12.706</v>
      </c>
      <c r="M242" s="841">
        <v>13.202</v>
      </c>
      <c r="N242" s="841">
        <v>14.246</v>
      </c>
      <c r="O242" s="841">
        <v>14.252000000000001</v>
      </c>
      <c r="P242" s="840">
        <v>54.405999999999999</v>
      </c>
      <c r="Q242" s="841">
        <v>14.512</v>
      </c>
      <c r="R242" s="841">
        <v>14.68</v>
      </c>
      <c r="S242" s="841">
        <v>14.381</v>
      </c>
      <c r="T242" s="841">
        <v>14.018000000000001</v>
      </c>
      <c r="U242" s="840">
        <v>57.591000000000001</v>
      </c>
      <c r="V242" s="841">
        <v>14.231</v>
      </c>
      <c r="W242" s="841">
        <v>14.359</v>
      </c>
      <c r="X242" s="841">
        <v>13.462</v>
      </c>
      <c r="Y242" s="841">
        <v>14.318</v>
      </c>
      <c r="Z242" s="840">
        <v>56.37</v>
      </c>
      <c r="AA242" s="841"/>
      <c r="AB242" s="841"/>
      <c r="AC242" s="841"/>
      <c r="AD242" s="841"/>
      <c r="AE242" s="840"/>
      <c r="AF242" s="841"/>
      <c r="AG242" s="841"/>
      <c r="AH242" s="841"/>
      <c r="AI242" s="841"/>
      <c r="AJ242" s="840"/>
      <c r="AK242" s="841"/>
      <c r="AL242" s="841"/>
      <c r="AM242" s="842"/>
      <c r="AN242" s="843"/>
      <c r="AO242" s="844"/>
      <c r="AP242" s="843"/>
      <c r="AQ242" s="843"/>
      <c r="AR242" s="843"/>
      <c r="AS242" s="843"/>
      <c r="AT242" s="844"/>
      <c r="AU242" s="844"/>
      <c r="AV242" s="844"/>
      <c r="AW242" s="844"/>
      <c r="AX242" s="793"/>
    </row>
    <row r="243" spans="1:50" s="29" customFormat="1" outlineLevel="2" x14ac:dyDescent="0.45">
      <c r="A243" s="61" t="s">
        <v>23</v>
      </c>
      <c r="B243" s="147"/>
      <c r="C243" s="840">
        <v>25.262</v>
      </c>
      <c r="D243" s="840">
        <v>27.710999999999999</v>
      </c>
      <c r="E243" s="840">
        <v>32.421999999999997</v>
      </c>
      <c r="F243" s="840">
        <v>38.35</v>
      </c>
      <c r="G243" s="841">
        <v>10.795999999999999</v>
      </c>
      <c r="H243" s="841">
        <v>10.65</v>
      </c>
      <c r="I243" s="841">
        <v>10.276</v>
      </c>
      <c r="J243" s="841">
        <v>10.845000000000001</v>
      </c>
      <c r="K243" s="840">
        <v>42.567</v>
      </c>
      <c r="L243" s="841">
        <v>11.999000000000001</v>
      </c>
      <c r="M243" s="841">
        <v>12.015000000000001</v>
      </c>
      <c r="N243" s="841">
        <v>11.956</v>
      </c>
      <c r="O243" s="841">
        <v>12.273999999999999</v>
      </c>
      <c r="P243" s="840">
        <v>48.244</v>
      </c>
      <c r="Q243" s="841">
        <v>12.326000000000001</v>
      </c>
      <c r="R243" s="841">
        <v>12.539</v>
      </c>
      <c r="S243" s="841">
        <v>12.436999999999999</v>
      </c>
      <c r="T243" s="841">
        <v>12.851000000000001</v>
      </c>
      <c r="U243" s="840">
        <v>50.152999999999999</v>
      </c>
      <c r="V243" s="841">
        <v>12.763</v>
      </c>
      <c r="W243" s="841">
        <v>12.807</v>
      </c>
      <c r="X243" s="841">
        <v>12.662000000000001</v>
      </c>
      <c r="Y243" s="841">
        <v>12.87</v>
      </c>
      <c r="Z243" s="840">
        <v>51.101999999999997</v>
      </c>
      <c r="AA243" s="841"/>
      <c r="AB243" s="841"/>
      <c r="AC243" s="841"/>
      <c r="AD243" s="841"/>
      <c r="AE243" s="840"/>
      <c r="AF243" s="841"/>
      <c r="AG243" s="841"/>
      <c r="AH243" s="841"/>
      <c r="AI243" s="841"/>
      <c r="AJ243" s="840"/>
      <c r="AK243" s="841"/>
      <c r="AL243" s="841"/>
      <c r="AM243" s="842"/>
      <c r="AN243" s="843"/>
      <c r="AO243" s="844"/>
      <c r="AP243" s="843"/>
      <c r="AQ243" s="843"/>
      <c r="AR243" s="843"/>
      <c r="AS243" s="843"/>
      <c r="AT243" s="844"/>
      <c r="AU243" s="844"/>
      <c r="AV243" s="844"/>
      <c r="AW243" s="844"/>
      <c r="AX243" s="793"/>
    </row>
    <row r="244" spans="1:50" s="29" customFormat="1" outlineLevel="2" x14ac:dyDescent="0.45">
      <c r="A244" s="61" t="s">
        <v>24</v>
      </c>
      <c r="B244" s="147"/>
      <c r="C244" s="840">
        <v>20.393000000000001</v>
      </c>
      <c r="D244" s="840">
        <v>18.219000000000001</v>
      </c>
      <c r="E244" s="840">
        <v>27.704999999999998</v>
      </c>
      <c r="F244" s="840">
        <v>35.015999999999998</v>
      </c>
      <c r="G244" s="841">
        <v>8.5050000000000008</v>
      </c>
      <c r="H244" s="841">
        <v>9.0120000000000005</v>
      </c>
      <c r="I244" s="841">
        <v>8.5370000000000008</v>
      </c>
      <c r="J244" s="841">
        <v>8.8420000000000005</v>
      </c>
      <c r="K244" s="840">
        <v>34.896000000000001</v>
      </c>
      <c r="L244" s="841">
        <v>12.564</v>
      </c>
      <c r="M244" s="841">
        <v>11.912000000000001</v>
      </c>
      <c r="N244" s="841">
        <v>8.3040000000000003</v>
      </c>
      <c r="O244" s="841">
        <v>9.3930000000000007</v>
      </c>
      <c r="P244" s="840">
        <v>42.173000000000002</v>
      </c>
      <c r="Q244" s="841">
        <v>8.1969999999999992</v>
      </c>
      <c r="R244" s="841">
        <v>8.4440000000000008</v>
      </c>
      <c r="S244" s="841">
        <v>7.367</v>
      </c>
      <c r="T244" s="841">
        <v>8.4060000000000006</v>
      </c>
      <c r="U244" s="840">
        <v>32.414000000000001</v>
      </c>
      <c r="V244" s="841">
        <v>7.0460000000000003</v>
      </c>
      <c r="W244" s="841">
        <v>6.6929999999999996</v>
      </c>
      <c r="X244" s="841">
        <v>5.9039999999999999</v>
      </c>
      <c r="Y244" s="841">
        <v>6.3040000000000003</v>
      </c>
      <c r="Z244" s="840">
        <v>25.946999999999999</v>
      </c>
      <c r="AA244" s="841"/>
      <c r="AB244" s="841"/>
      <c r="AC244" s="841"/>
      <c r="AD244" s="841"/>
      <c r="AE244" s="840"/>
      <c r="AF244" s="841"/>
      <c r="AG244" s="841"/>
      <c r="AH244" s="841"/>
      <c r="AI244" s="841"/>
      <c r="AJ244" s="840"/>
      <c r="AK244" s="849"/>
      <c r="AL244" s="849"/>
      <c r="AM244" s="842"/>
      <c r="AN244" s="843"/>
      <c r="AO244" s="844"/>
      <c r="AP244" s="843"/>
      <c r="AQ244" s="843"/>
      <c r="AR244" s="843"/>
      <c r="AS244" s="843"/>
      <c r="AT244" s="844"/>
      <c r="AU244" s="844"/>
      <c r="AV244" s="844"/>
      <c r="AW244" s="844"/>
      <c r="AX244" s="793"/>
    </row>
    <row r="245" spans="1:50" s="7" customFormat="1" outlineLevel="2" x14ac:dyDescent="0.45">
      <c r="A245" s="53" t="s">
        <v>30</v>
      </c>
      <c r="B245" s="146"/>
      <c r="C245" s="845">
        <f t="shared" ref="C245:Z245" si="234">SUM(C241:C244)</f>
        <v>86.709000000000003</v>
      </c>
      <c r="D245" s="845">
        <f t="shared" si="234"/>
        <v>92.692999999999984</v>
      </c>
      <c r="E245" s="845">
        <f t="shared" si="234"/>
        <v>111.526</v>
      </c>
      <c r="F245" s="845">
        <f t="shared" si="234"/>
        <v>137.006</v>
      </c>
      <c r="G245" s="846">
        <f t="shared" si="234"/>
        <v>36.003999999999998</v>
      </c>
      <c r="H245" s="846">
        <f t="shared" si="234"/>
        <v>35.930999999999997</v>
      </c>
      <c r="I245" s="846">
        <f t="shared" si="234"/>
        <v>36.191000000000003</v>
      </c>
      <c r="J245" s="846">
        <f t="shared" si="234"/>
        <v>38.129999999999995</v>
      </c>
      <c r="K245" s="845">
        <f t="shared" si="234"/>
        <v>146.25600000000003</v>
      </c>
      <c r="L245" s="846">
        <f t="shared" si="234"/>
        <v>44.183</v>
      </c>
      <c r="M245" s="846">
        <f t="shared" si="234"/>
        <v>43.914000000000001</v>
      </c>
      <c r="N245" s="846">
        <f t="shared" si="234"/>
        <v>41.871000000000002</v>
      </c>
      <c r="O245" s="846">
        <f t="shared" si="234"/>
        <v>43.721000000000004</v>
      </c>
      <c r="P245" s="845">
        <f t="shared" si="234"/>
        <v>173.68899999999999</v>
      </c>
      <c r="Q245" s="846">
        <f t="shared" si="234"/>
        <v>42.977999999999994</v>
      </c>
      <c r="R245" s="846">
        <f t="shared" si="234"/>
        <v>44.057000000000002</v>
      </c>
      <c r="S245" s="846">
        <f t="shared" si="234"/>
        <v>41.721999999999994</v>
      </c>
      <c r="T245" s="846">
        <f t="shared" si="234"/>
        <v>42.73</v>
      </c>
      <c r="U245" s="845">
        <f t="shared" si="234"/>
        <v>171.48700000000002</v>
      </c>
      <c r="V245" s="846">
        <f t="shared" si="234"/>
        <v>40.607999999999997</v>
      </c>
      <c r="W245" s="846">
        <f t="shared" si="234"/>
        <v>40.894999999999996</v>
      </c>
      <c r="X245" s="859">
        <f t="shared" si="234"/>
        <v>39.326999999999998</v>
      </c>
      <c r="Y245" s="846">
        <f t="shared" si="234"/>
        <v>40.905999999999999</v>
      </c>
      <c r="Z245" s="845">
        <f t="shared" si="234"/>
        <v>161.73599999999999</v>
      </c>
      <c r="AA245" s="846"/>
      <c r="AB245" s="846"/>
      <c r="AC245" s="859"/>
      <c r="AD245" s="846"/>
      <c r="AE245" s="845"/>
      <c r="AF245" s="846"/>
      <c r="AG245" s="846"/>
      <c r="AH245" s="859"/>
      <c r="AI245" s="846"/>
      <c r="AJ245" s="845"/>
      <c r="AK245" s="846"/>
      <c r="AL245" s="846"/>
      <c r="AM245" s="847"/>
      <c r="AN245" s="859"/>
      <c r="AO245" s="845"/>
      <c r="AP245" s="859"/>
      <c r="AQ245" s="859"/>
      <c r="AR245" s="859"/>
      <c r="AS245" s="859"/>
      <c r="AT245" s="845"/>
      <c r="AU245" s="860"/>
      <c r="AV245" s="860"/>
      <c r="AW245" s="860"/>
      <c r="AX245" s="795"/>
    </row>
    <row r="246" spans="1:50" s="29" customFormat="1" outlineLevel="1" x14ac:dyDescent="0.45">
      <c r="A246" s="61" t="s">
        <v>26</v>
      </c>
      <c r="B246" s="147"/>
      <c r="C246" s="840"/>
      <c r="D246" s="840"/>
      <c r="E246" s="840"/>
      <c r="F246" s="840"/>
      <c r="G246" s="841"/>
      <c r="H246" s="841"/>
      <c r="I246" s="841"/>
      <c r="J246" s="841"/>
      <c r="K246" s="840"/>
      <c r="L246" s="841"/>
      <c r="M246" s="841"/>
      <c r="N246" s="841"/>
      <c r="O246" s="841"/>
      <c r="P246" s="840"/>
      <c r="Q246" s="841"/>
      <c r="R246" s="841"/>
      <c r="S246" s="841"/>
      <c r="T246" s="841"/>
      <c r="U246" s="840"/>
      <c r="V246" s="841"/>
      <c r="W246" s="841"/>
      <c r="X246" s="861"/>
      <c r="Y246" s="841"/>
      <c r="Z246" s="840"/>
      <c r="AA246" s="841">
        <v>48.457999999999998</v>
      </c>
      <c r="AB246" s="841">
        <v>47.698999999999998</v>
      </c>
      <c r="AC246" s="861">
        <v>49.347000000000001</v>
      </c>
      <c r="AD246" s="841">
        <v>48.856000000000002</v>
      </c>
      <c r="AE246" s="840">
        <v>194.36</v>
      </c>
      <c r="AF246" s="841">
        <v>48.152999999999999</v>
      </c>
      <c r="AG246" s="841">
        <v>47.171999999999997</v>
      </c>
      <c r="AH246" s="861">
        <v>47.997</v>
      </c>
      <c r="AI246" s="841">
        <v>48.173999999999999</v>
      </c>
      <c r="AJ246" s="840">
        <v>191.49600000000001</v>
      </c>
      <c r="AK246" s="841">
        <v>50.54</v>
      </c>
      <c r="AL246" s="841">
        <v>50.328000000000003</v>
      </c>
      <c r="AM246" s="842">
        <v>52.197000000000003</v>
      </c>
      <c r="AN246" s="862"/>
      <c r="AO246" s="844"/>
      <c r="AP246" s="862"/>
      <c r="AQ246" s="862"/>
      <c r="AR246" s="862"/>
      <c r="AS246" s="862"/>
      <c r="AT246" s="844"/>
      <c r="AU246" s="863"/>
      <c r="AV246" s="863"/>
      <c r="AW246" s="863"/>
      <c r="AX246" s="793"/>
    </row>
    <row r="247" spans="1:50" s="29" customFormat="1" outlineLevel="1" x14ac:dyDescent="0.45">
      <c r="A247" s="61" t="s">
        <v>27</v>
      </c>
      <c r="B247" s="147"/>
      <c r="C247" s="840"/>
      <c r="D247" s="840"/>
      <c r="E247" s="840"/>
      <c r="F247" s="840"/>
      <c r="G247" s="841"/>
      <c r="H247" s="841"/>
      <c r="I247" s="841"/>
      <c r="J247" s="841"/>
      <c r="K247" s="840"/>
      <c r="L247" s="841"/>
      <c r="M247" s="841"/>
      <c r="N247" s="841"/>
      <c r="O247" s="841"/>
      <c r="P247" s="840"/>
      <c r="Q247" s="841"/>
      <c r="R247" s="841"/>
      <c r="S247" s="841"/>
      <c r="T247" s="841"/>
      <c r="U247" s="840"/>
      <c r="V247" s="841"/>
      <c r="W247" s="841"/>
      <c r="X247" s="861"/>
      <c r="Y247" s="841"/>
      <c r="Z247" s="840"/>
      <c r="AA247" s="841">
        <v>6.04</v>
      </c>
      <c r="AB247" s="841">
        <v>5.9470000000000001</v>
      </c>
      <c r="AC247" s="861">
        <v>6.3230000000000004</v>
      </c>
      <c r="AD247" s="841">
        <v>6.7750000000000004</v>
      </c>
      <c r="AE247" s="840">
        <v>25.085000000000001</v>
      </c>
      <c r="AF247" s="841">
        <v>7.1539999999999999</v>
      </c>
      <c r="AG247" s="841">
        <v>7.0220000000000002</v>
      </c>
      <c r="AH247" s="861">
        <v>6.5759999999999996</v>
      </c>
      <c r="AI247" s="841">
        <v>5.9589999999999996</v>
      </c>
      <c r="AJ247" s="840">
        <v>26.710999999999999</v>
      </c>
      <c r="AK247" s="841">
        <v>6.2779999999999996</v>
      </c>
      <c r="AL247" s="841">
        <v>6.5629999999999997</v>
      </c>
      <c r="AM247" s="842">
        <v>6.9749999999999996</v>
      </c>
      <c r="AN247" s="862"/>
      <c r="AO247" s="844"/>
      <c r="AP247" s="862"/>
      <c r="AQ247" s="862"/>
      <c r="AR247" s="862"/>
      <c r="AS247" s="862"/>
      <c r="AT247" s="844"/>
      <c r="AU247" s="863"/>
      <c r="AV247" s="863"/>
      <c r="AW247" s="863"/>
      <c r="AX247" s="793"/>
    </row>
    <row r="248" spans="1:50" s="29" customFormat="1" outlineLevel="1" x14ac:dyDescent="0.45">
      <c r="A248" s="214" t="s">
        <v>31</v>
      </c>
      <c r="B248" s="215"/>
      <c r="C248" s="848"/>
      <c r="D248" s="848"/>
      <c r="E248" s="848"/>
      <c r="F248" s="848"/>
      <c r="G248" s="849"/>
      <c r="H248" s="849"/>
      <c r="I248" s="849"/>
      <c r="J248" s="849"/>
      <c r="K248" s="848"/>
      <c r="L248" s="849"/>
      <c r="M248" s="849"/>
      <c r="N248" s="849"/>
      <c r="O248" s="849"/>
      <c r="P248" s="848"/>
      <c r="Q248" s="849"/>
      <c r="R248" s="849"/>
      <c r="S248" s="849"/>
      <c r="T248" s="849"/>
      <c r="U248" s="848"/>
      <c r="V248" s="849"/>
      <c r="W248" s="849"/>
      <c r="X248" s="864"/>
      <c r="Y248" s="849"/>
      <c r="Z248" s="848"/>
      <c r="AA248" s="849">
        <v>4.6710000000000003</v>
      </c>
      <c r="AB248" s="849">
        <v>5.109</v>
      </c>
      <c r="AC248" s="864">
        <v>5.9640000000000004</v>
      </c>
      <c r="AD248" s="849">
        <v>6.3460000000000001</v>
      </c>
      <c r="AE248" s="848">
        <v>22.09</v>
      </c>
      <c r="AF248" s="849">
        <v>6.5439999999999996</v>
      </c>
      <c r="AG248" s="849">
        <v>6.9240000000000004</v>
      </c>
      <c r="AH248" s="864">
        <v>7.0979999999999999</v>
      </c>
      <c r="AI248" s="849">
        <v>7.9240000000000004</v>
      </c>
      <c r="AJ248" s="848">
        <v>28.49</v>
      </c>
      <c r="AK248" s="849">
        <v>8.4130000000000003</v>
      </c>
      <c r="AL248" s="849">
        <v>8.843</v>
      </c>
      <c r="AM248" s="850">
        <v>8.9629999999999992</v>
      </c>
      <c r="AN248" s="864"/>
      <c r="AO248" s="848"/>
      <c r="AP248" s="864"/>
      <c r="AQ248" s="864"/>
      <c r="AR248" s="864"/>
      <c r="AS248" s="864"/>
      <c r="AT248" s="848"/>
      <c r="AU248" s="865"/>
      <c r="AV248" s="865"/>
      <c r="AW248" s="865"/>
      <c r="AX248" s="793"/>
    </row>
    <row r="249" spans="1:50" s="7" customFormat="1" outlineLevel="1" x14ac:dyDescent="0.45">
      <c r="A249" s="54" t="s">
        <v>32</v>
      </c>
      <c r="B249" s="69"/>
      <c r="C249" s="851">
        <f t="shared" ref="C249:Z249" si="235">C240+C245</f>
        <v>110.807</v>
      </c>
      <c r="D249" s="851">
        <f t="shared" si="235"/>
        <v>127.48199999999999</v>
      </c>
      <c r="E249" s="851">
        <f t="shared" si="235"/>
        <v>151.22300000000001</v>
      </c>
      <c r="F249" s="851">
        <f t="shared" si="235"/>
        <v>189.65199999999999</v>
      </c>
      <c r="G249" s="852">
        <f t="shared" si="235"/>
        <v>48.072000000000003</v>
      </c>
      <c r="H249" s="852">
        <f t="shared" si="235"/>
        <v>47.682000000000002</v>
      </c>
      <c r="I249" s="852">
        <f t="shared" si="235"/>
        <v>71.055000000000007</v>
      </c>
      <c r="J249" s="852">
        <f t="shared" si="235"/>
        <v>53.353999999999999</v>
      </c>
      <c r="K249" s="851">
        <f t="shared" si="235"/>
        <v>220.16300000000001</v>
      </c>
      <c r="L249" s="852">
        <f t="shared" si="235"/>
        <v>56.19</v>
      </c>
      <c r="M249" s="852">
        <f t="shared" si="235"/>
        <v>56.773000000000003</v>
      </c>
      <c r="N249" s="852">
        <f t="shared" si="235"/>
        <v>54.36</v>
      </c>
      <c r="O249" s="852">
        <f t="shared" si="235"/>
        <v>55.841000000000008</v>
      </c>
      <c r="P249" s="851">
        <f t="shared" si="235"/>
        <v>223.16399999999999</v>
      </c>
      <c r="Q249" s="852">
        <f t="shared" si="235"/>
        <v>55.976999999999997</v>
      </c>
      <c r="R249" s="852">
        <f t="shared" si="235"/>
        <v>56.597999999999999</v>
      </c>
      <c r="S249" s="852">
        <f t="shared" si="235"/>
        <v>53.784999999999997</v>
      </c>
      <c r="T249" s="852">
        <f t="shared" si="235"/>
        <v>59.254999999999995</v>
      </c>
      <c r="U249" s="851">
        <f t="shared" si="235"/>
        <v>225.61500000000001</v>
      </c>
      <c r="V249" s="852">
        <f t="shared" si="235"/>
        <v>56.814999999999998</v>
      </c>
      <c r="W249" s="852">
        <f t="shared" si="235"/>
        <v>55.997</v>
      </c>
      <c r="X249" s="866">
        <f t="shared" si="235"/>
        <v>54.351999999999997</v>
      </c>
      <c r="Y249" s="852">
        <f t="shared" si="235"/>
        <v>55.97</v>
      </c>
      <c r="Z249" s="851">
        <f t="shared" si="235"/>
        <v>223.13399999999999</v>
      </c>
      <c r="AA249" s="852">
        <f t="shared" ref="AA249:AM249" si="236">SUM(AA246:AA248)</f>
        <v>59.168999999999997</v>
      </c>
      <c r="AB249" s="852">
        <f t="shared" si="236"/>
        <v>58.755000000000003</v>
      </c>
      <c r="AC249" s="866">
        <f t="shared" si="236"/>
        <v>61.634</v>
      </c>
      <c r="AD249" s="852">
        <f t="shared" si="236"/>
        <v>61.977000000000004</v>
      </c>
      <c r="AE249" s="851">
        <f t="shared" si="236"/>
        <v>241.53500000000003</v>
      </c>
      <c r="AF249" s="852">
        <f t="shared" si="236"/>
        <v>61.850999999999999</v>
      </c>
      <c r="AG249" s="852">
        <f t="shared" si="236"/>
        <v>61.117999999999995</v>
      </c>
      <c r="AH249" s="866">
        <f t="shared" si="236"/>
        <v>61.670999999999999</v>
      </c>
      <c r="AI249" s="852">
        <f t="shared" si="236"/>
        <v>62.056999999999995</v>
      </c>
      <c r="AJ249" s="851">
        <f t="shared" si="236"/>
        <v>246.697</v>
      </c>
      <c r="AK249" s="846">
        <f t="shared" si="236"/>
        <v>65.230999999999995</v>
      </c>
      <c r="AL249" s="846">
        <f t="shared" si="236"/>
        <v>65.734000000000009</v>
      </c>
      <c r="AM249" s="853">
        <f t="shared" si="236"/>
        <v>68.135000000000005</v>
      </c>
      <c r="AN249" s="867"/>
      <c r="AO249" s="855"/>
      <c r="AP249" s="867"/>
      <c r="AQ249" s="867"/>
      <c r="AR249" s="867"/>
      <c r="AS249" s="867"/>
      <c r="AT249" s="855"/>
      <c r="AU249" s="868"/>
      <c r="AV249" s="868"/>
      <c r="AW249" s="868"/>
      <c r="AX249" s="795"/>
    </row>
    <row r="250" spans="1:50" s="7" customFormat="1" outlineLevel="1" x14ac:dyDescent="0.45">
      <c r="A250" s="54" t="s">
        <v>33</v>
      </c>
      <c r="B250" s="69"/>
      <c r="C250" s="851">
        <f t="shared" ref="C250:AM250" si="237">C237-C249</f>
        <v>181.00400000000002</v>
      </c>
      <c r="D250" s="851">
        <f t="shared" si="237"/>
        <v>225.88100000000003</v>
      </c>
      <c r="E250" s="851">
        <f t="shared" si="237"/>
        <v>278.61200000000002</v>
      </c>
      <c r="F250" s="851">
        <f t="shared" si="237"/>
        <v>270.57699999999994</v>
      </c>
      <c r="G250" s="852">
        <f t="shared" si="237"/>
        <v>61.456999999999994</v>
      </c>
      <c r="H250" s="852">
        <f t="shared" si="237"/>
        <v>63.399000000000001</v>
      </c>
      <c r="I250" s="852">
        <f t="shared" si="237"/>
        <v>37.798999999999992</v>
      </c>
      <c r="J250" s="852">
        <f t="shared" si="237"/>
        <v>61.849000000000004</v>
      </c>
      <c r="K250" s="851">
        <f t="shared" si="237"/>
        <v>224.50400000000002</v>
      </c>
      <c r="L250" s="852">
        <f t="shared" si="237"/>
        <v>61.704000000000008</v>
      </c>
      <c r="M250" s="852">
        <f t="shared" si="237"/>
        <v>63.745999999999988</v>
      </c>
      <c r="N250" s="852">
        <f t="shared" si="237"/>
        <v>69.064000000000007</v>
      </c>
      <c r="O250" s="852">
        <f t="shared" si="237"/>
        <v>72.546999999999997</v>
      </c>
      <c r="P250" s="851">
        <f t="shared" si="237"/>
        <v>267.06099999999998</v>
      </c>
      <c r="Q250" s="852">
        <f t="shared" si="237"/>
        <v>66.187000000000012</v>
      </c>
      <c r="R250" s="852">
        <f t="shared" si="237"/>
        <v>68.771000000000001</v>
      </c>
      <c r="S250" s="852">
        <f t="shared" si="237"/>
        <v>63.247000000000014</v>
      </c>
      <c r="T250" s="852">
        <f t="shared" si="237"/>
        <v>68.657000000000011</v>
      </c>
      <c r="U250" s="851">
        <f t="shared" si="237"/>
        <v>266.86199999999997</v>
      </c>
      <c r="V250" s="852">
        <f t="shared" si="237"/>
        <v>65.39</v>
      </c>
      <c r="W250" s="852">
        <f t="shared" si="237"/>
        <v>71.168999999999997</v>
      </c>
      <c r="X250" s="866">
        <f t="shared" si="237"/>
        <v>73.515999999999991</v>
      </c>
      <c r="Y250" s="852">
        <f t="shared" si="237"/>
        <v>76.414999999999992</v>
      </c>
      <c r="Z250" s="851">
        <f t="shared" si="237"/>
        <v>286.49</v>
      </c>
      <c r="AA250" s="852">
        <f t="shared" si="237"/>
        <v>71.753</v>
      </c>
      <c r="AB250" s="852">
        <f t="shared" si="237"/>
        <v>73.852000000000004</v>
      </c>
      <c r="AC250" s="866">
        <f t="shared" si="237"/>
        <v>70.081000000000003</v>
      </c>
      <c r="AD250" s="852">
        <f t="shared" si="237"/>
        <v>73.798000000000002</v>
      </c>
      <c r="AE250" s="851">
        <f t="shared" si="237"/>
        <v>289.48399999999998</v>
      </c>
      <c r="AF250" s="852">
        <f t="shared" si="237"/>
        <v>71.349000000000018</v>
      </c>
      <c r="AG250" s="852">
        <f t="shared" si="237"/>
        <v>69.203000000000003</v>
      </c>
      <c r="AH250" s="866">
        <f t="shared" si="237"/>
        <v>69.195999999999998</v>
      </c>
      <c r="AI250" s="852">
        <f t="shared" si="237"/>
        <v>72.728000000000009</v>
      </c>
      <c r="AJ250" s="851">
        <f t="shared" si="237"/>
        <v>282.476</v>
      </c>
      <c r="AK250" s="852">
        <f t="shared" si="237"/>
        <v>66.63</v>
      </c>
      <c r="AL250" s="852">
        <f t="shared" si="237"/>
        <v>68.521999999999991</v>
      </c>
      <c r="AM250" s="853">
        <f t="shared" si="237"/>
        <v>69.605000000000004</v>
      </c>
      <c r="AN250" s="867"/>
      <c r="AO250" s="855"/>
      <c r="AP250" s="867"/>
      <c r="AQ250" s="867"/>
      <c r="AR250" s="867"/>
      <c r="AS250" s="867"/>
      <c r="AT250" s="855"/>
      <c r="AU250" s="868"/>
      <c r="AV250" s="868"/>
      <c r="AW250" s="868"/>
      <c r="AX250" s="795"/>
    </row>
    <row r="251" spans="1:50" s="29" customFormat="1" outlineLevel="1" x14ac:dyDescent="0.45">
      <c r="A251" s="61" t="s">
        <v>34</v>
      </c>
      <c r="B251" s="147"/>
      <c r="C251" s="840">
        <v>86.950999999999993</v>
      </c>
      <c r="D251" s="840">
        <v>108.31</v>
      </c>
      <c r="E251" s="840">
        <v>128.846</v>
      </c>
      <c r="F251" s="840">
        <v>148.35300000000001</v>
      </c>
      <c r="G251" s="841">
        <v>35.095999999999997</v>
      </c>
      <c r="H251" s="841">
        <v>38.578000000000003</v>
      </c>
      <c r="I251" s="841">
        <v>36.863999999999997</v>
      </c>
      <c r="J251" s="841">
        <v>38.676000000000002</v>
      </c>
      <c r="K251" s="840">
        <v>149.214</v>
      </c>
      <c r="L251" s="841">
        <v>36.729999999999997</v>
      </c>
      <c r="M251" s="841">
        <v>38.680999999999997</v>
      </c>
      <c r="N251" s="841">
        <v>41.481999999999999</v>
      </c>
      <c r="O251" s="841">
        <v>41.279000000000003</v>
      </c>
      <c r="P251" s="840">
        <v>158.172</v>
      </c>
      <c r="Q251" s="841">
        <v>39.170999999999999</v>
      </c>
      <c r="R251" s="841">
        <v>37.396000000000001</v>
      </c>
      <c r="S251" s="841">
        <v>39.395000000000003</v>
      </c>
      <c r="T251" s="841">
        <v>40.271999999999998</v>
      </c>
      <c r="U251" s="840">
        <v>156.23400000000001</v>
      </c>
      <c r="V251" s="841">
        <v>40.581000000000003</v>
      </c>
      <c r="W251" s="841">
        <v>42.79</v>
      </c>
      <c r="X251" s="841">
        <v>37.542000000000002</v>
      </c>
      <c r="Y251" s="841">
        <v>42.71</v>
      </c>
      <c r="Z251" s="840">
        <v>163.62299999999999</v>
      </c>
      <c r="AA251" s="841">
        <v>42.976999999999997</v>
      </c>
      <c r="AB251" s="841">
        <v>40.976999999999997</v>
      </c>
      <c r="AC251" s="841">
        <v>43.563000000000002</v>
      </c>
      <c r="AD251" s="841">
        <v>65.709000000000003</v>
      </c>
      <c r="AE251" s="840">
        <v>193.226</v>
      </c>
      <c r="AF251" s="841">
        <v>44.636000000000003</v>
      </c>
      <c r="AG251" s="841">
        <v>34.228999999999999</v>
      </c>
      <c r="AH251" s="841">
        <v>41.304000000000002</v>
      </c>
      <c r="AI251" s="841">
        <v>44.71</v>
      </c>
      <c r="AJ251" s="840">
        <v>164.87899999999999</v>
      </c>
      <c r="AK251" s="841">
        <v>40.128</v>
      </c>
      <c r="AL251" s="841">
        <v>39.045999999999999</v>
      </c>
      <c r="AM251" s="842">
        <v>42.841000000000001</v>
      </c>
      <c r="AN251" s="843"/>
      <c r="AO251" s="844"/>
      <c r="AP251" s="843"/>
      <c r="AQ251" s="843"/>
      <c r="AR251" s="843"/>
      <c r="AS251" s="843"/>
      <c r="AT251" s="844"/>
      <c r="AU251" s="844"/>
      <c r="AV251" s="844"/>
      <c r="AW251" s="844"/>
      <c r="AX251" s="793"/>
    </row>
    <row r="252" spans="1:50" s="29" customFormat="1" outlineLevel="1" x14ac:dyDescent="0.45">
      <c r="A252" s="61" t="s">
        <v>35</v>
      </c>
      <c r="B252" s="147"/>
      <c r="C252" s="840">
        <v>16.545999999999999</v>
      </c>
      <c r="D252" s="840">
        <v>21.797000000000001</v>
      </c>
      <c r="E252" s="840">
        <v>31.369</v>
      </c>
      <c r="F252" s="840">
        <v>30.864999999999998</v>
      </c>
      <c r="G252" s="841">
        <v>5.6139999999999999</v>
      </c>
      <c r="H252" s="841">
        <v>7.6150000000000002</v>
      </c>
      <c r="I252" s="841">
        <v>13.175000000000001</v>
      </c>
      <c r="J252" s="841">
        <v>15.12</v>
      </c>
      <c r="K252" s="840">
        <v>41.524000000000001</v>
      </c>
      <c r="L252" s="841">
        <v>16.236000000000001</v>
      </c>
      <c r="M252" s="841">
        <v>16.898</v>
      </c>
      <c r="N252" s="841">
        <v>18.468</v>
      </c>
      <c r="O252" s="841">
        <v>17.638000000000002</v>
      </c>
      <c r="P252" s="840">
        <v>69.239999999999995</v>
      </c>
      <c r="Q252" s="841">
        <v>17.085000000000001</v>
      </c>
      <c r="R252" s="841">
        <v>17.981000000000002</v>
      </c>
      <c r="S252" s="841">
        <v>14.518000000000001</v>
      </c>
      <c r="T252" s="841">
        <v>16.077000000000002</v>
      </c>
      <c r="U252" s="840">
        <v>65.661000000000001</v>
      </c>
      <c r="V252" s="841">
        <v>18.224</v>
      </c>
      <c r="W252" s="841">
        <v>18.292000000000002</v>
      </c>
      <c r="X252" s="841">
        <v>19.713999999999999</v>
      </c>
      <c r="Y252" s="841">
        <v>22.111000000000001</v>
      </c>
      <c r="Z252" s="840">
        <v>78.340999999999994</v>
      </c>
      <c r="AA252" s="841">
        <v>19.989000000000001</v>
      </c>
      <c r="AB252" s="841">
        <v>19.527000000000001</v>
      </c>
      <c r="AC252" s="841">
        <v>20.645</v>
      </c>
      <c r="AD252" s="841">
        <v>21.097999999999999</v>
      </c>
      <c r="AE252" s="840">
        <v>81.259</v>
      </c>
      <c r="AF252" s="841">
        <v>22.128</v>
      </c>
      <c r="AG252" s="841">
        <v>18.370999999999999</v>
      </c>
      <c r="AH252" s="841">
        <v>20.681999999999999</v>
      </c>
      <c r="AI252" s="841">
        <v>19.812999999999999</v>
      </c>
      <c r="AJ252" s="840">
        <v>80.994</v>
      </c>
      <c r="AK252" s="841">
        <v>22.050999999999998</v>
      </c>
      <c r="AL252" s="841">
        <v>19.789000000000001</v>
      </c>
      <c r="AM252" s="842">
        <v>20.026</v>
      </c>
      <c r="AN252" s="843"/>
      <c r="AO252" s="844"/>
      <c r="AP252" s="843"/>
      <c r="AQ252" s="843"/>
      <c r="AR252" s="843"/>
      <c r="AS252" s="843"/>
      <c r="AT252" s="844"/>
      <c r="AU252" s="844"/>
      <c r="AV252" s="844"/>
      <c r="AW252" s="844"/>
      <c r="AX252" s="793"/>
    </row>
    <row r="253" spans="1:50" s="29" customFormat="1" outlineLevel="1" x14ac:dyDescent="0.45">
      <c r="A253" s="61" t="s">
        <v>36</v>
      </c>
      <c r="B253" s="147"/>
      <c r="C253" s="840">
        <v>1.7829999999999999</v>
      </c>
      <c r="D253" s="840">
        <v>1.6819999999999999</v>
      </c>
      <c r="E253" s="840">
        <v>2.198</v>
      </c>
      <c r="F253" s="840">
        <v>4.859</v>
      </c>
      <c r="G253" s="841">
        <v>1.194</v>
      </c>
      <c r="H253" s="841">
        <v>1.26</v>
      </c>
      <c r="I253" s="841">
        <v>1.2190000000000001</v>
      </c>
      <c r="J253" s="841">
        <v>1.1319999999999999</v>
      </c>
      <c r="K253" s="840">
        <v>4.8049999999999997</v>
      </c>
      <c r="L253" s="841">
        <v>0.98299999999999998</v>
      </c>
      <c r="M253" s="841">
        <v>0.90800000000000003</v>
      </c>
      <c r="N253" s="841">
        <v>0.90400000000000003</v>
      </c>
      <c r="O253" s="841">
        <v>0.89800000000000002</v>
      </c>
      <c r="P253" s="840">
        <v>3.6930000000000001</v>
      </c>
      <c r="Q253" s="841">
        <v>0.89700000000000002</v>
      </c>
      <c r="R253" s="841">
        <v>0.89800000000000002</v>
      </c>
      <c r="S253" s="841">
        <v>0.89700000000000002</v>
      </c>
      <c r="T253" s="841">
        <v>2.6749999999999998</v>
      </c>
      <c r="U253" s="840">
        <v>5.367</v>
      </c>
      <c r="V253" s="841">
        <v>2.7040000000000002</v>
      </c>
      <c r="W253" s="841">
        <v>2.617</v>
      </c>
      <c r="X253" s="841">
        <v>2.5680000000000001</v>
      </c>
      <c r="Y253" s="841">
        <v>2.5459999999999998</v>
      </c>
      <c r="Z253" s="840">
        <v>10.435</v>
      </c>
      <c r="AA253" s="841">
        <v>2.0470000000000002</v>
      </c>
      <c r="AB253" s="841">
        <v>2.012</v>
      </c>
      <c r="AC253" s="841">
        <v>1.956</v>
      </c>
      <c r="AD253" s="841">
        <v>1.7949999999999999</v>
      </c>
      <c r="AE253" s="840">
        <v>7.81</v>
      </c>
      <c r="AF253" s="841">
        <v>1.1679999999999999</v>
      </c>
      <c r="AG253" s="841">
        <v>1.121</v>
      </c>
      <c r="AH253" s="841">
        <v>1.0269999999999999</v>
      </c>
      <c r="AI253" s="841">
        <v>1.028</v>
      </c>
      <c r="AJ253" s="840">
        <v>4.3440000000000003</v>
      </c>
      <c r="AK253" s="841">
        <v>0.86499999999999999</v>
      </c>
      <c r="AL253" s="841">
        <v>0.86499999999999999</v>
      </c>
      <c r="AM253" s="842">
        <v>0.96399999999999997</v>
      </c>
      <c r="AN253" s="843"/>
      <c r="AO253" s="844"/>
      <c r="AP253" s="843"/>
      <c r="AQ253" s="843"/>
      <c r="AR253" s="843"/>
      <c r="AS253" s="843"/>
      <c r="AT253" s="844"/>
      <c r="AU253" s="844"/>
      <c r="AV253" s="844"/>
      <c r="AW253" s="844"/>
      <c r="AX253" s="793"/>
    </row>
    <row r="254" spans="1:50" s="29" customFormat="1" outlineLevel="1" x14ac:dyDescent="0.45">
      <c r="A254" s="61" t="s">
        <v>37</v>
      </c>
      <c r="B254" s="147"/>
      <c r="C254" s="840"/>
      <c r="D254" s="840"/>
      <c r="E254" s="840"/>
      <c r="F254" s="840">
        <v>17.399999999999999</v>
      </c>
      <c r="G254" s="841"/>
      <c r="H254" s="841"/>
      <c r="I254" s="841">
        <v>5.8730000000000002</v>
      </c>
      <c r="J254" s="841"/>
      <c r="K254" s="840">
        <v>5.8730000000000002</v>
      </c>
      <c r="L254" s="841"/>
      <c r="M254" s="841"/>
      <c r="N254" s="841"/>
      <c r="O254" s="841"/>
      <c r="P254" s="840"/>
      <c r="Q254" s="841"/>
      <c r="R254" s="841"/>
      <c r="S254" s="841"/>
      <c r="T254" s="841">
        <v>32.238</v>
      </c>
      <c r="U254" s="840">
        <v>32.238</v>
      </c>
      <c r="V254" s="841"/>
      <c r="W254" s="841"/>
      <c r="X254" s="841"/>
      <c r="Y254" s="841"/>
      <c r="Z254" s="840"/>
      <c r="AA254" s="841"/>
      <c r="AB254" s="841"/>
      <c r="AC254" s="841"/>
      <c r="AD254" s="841">
        <v>3.7570000000000001</v>
      </c>
      <c r="AE254" s="840">
        <v>3.7570000000000001</v>
      </c>
      <c r="AF254" s="841"/>
      <c r="AG254" s="841"/>
      <c r="AH254" s="841"/>
      <c r="AI254" s="841"/>
      <c r="AJ254" s="840"/>
      <c r="AK254" s="841">
        <v>0.48899999999999999</v>
      </c>
      <c r="AL254" s="841">
        <v>1.9159999999999999</v>
      </c>
      <c r="AM254" s="842">
        <v>1.948</v>
      </c>
      <c r="AN254" s="843"/>
      <c r="AO254" s="844"/>
      <c r="AP254" s="843"/>
      <c r="AQ254" s="843"/>
      <c r="AR254" s="843"/>
      <c r="AS254" s="843"/>
      <c r="AT254" s="844"/>
      <c r="AU254" s="844"/>
      <c r="AV254" s="844"/>
      <c r="AW254" s="844"/>
      <c r="AX254" s="793"/>
    </row>
    <row r="255" spans="1:50" s="29" customFormat="1" outlineLevel="1" x14ac:dyDescent="0.45">
      <c r="A255" s="61" t="s">
        <v>38</v>
      </c>
      <c r="B255" s="147"/>
      <c r="C255" s="840"/>
      <c r="D255" s="840"/>
      <c r="E255" s="840"/>
      <c r="F255" s="840"/>
      <c r="G255" s="841"/>
      <c r="H255" s="841"/>
      <c r="I255" s="841"/>
      <c r="J255" s="841"/>
      <c r="K255" s="840"/>
      <c r="L255" s="841"/>
      <c r="M255" s="841"/>
      <c r="N255" s="841"/>
      <c r="O255" s="841"/>
      <c r="P255" s="840"/>
      <c r="Q255" s="841"/>
      <c r="R255" s="841"/>
      <c r="S255" s="841"/>
      <c r="T255" s="841"/>
      <c r="U255" s="840"/>
      <c r="V255" s="841">
        <v>3.7530000000000001</v>
      </c>
      <c r="W255" s="841">
        <v>0.70099999999999996</v>
      </c>
      <c r="X255" s="841">
        <v>0.23100000000000001</v>
      </c>
      <c r="Y255" s="841">
        <v>2.3929999999999998</v>
      </c>
      <c r="Z255" s="840">
        <v>7.0780000000000003</v>
      </c>
      <c r="AA255" s="841"/>
      <c r="AB255" s="841"/>
      <c r="AC255" s="841">
        <v>0.13</v>
      </c>
      <c r="AD255" s="841">
        <v>0.48099999999999998</v>
      </c>
      <c r="AE255" s="840">
        <v>0.61099999999999999</v>
      </c>
      <c r="AF255" s="841"/>
      <c r="AG255" s="841"/>
      <c r="AH255" s="841"/>
      <c r="AI255" s="841">
        <v>0.64</v>
      </c>
      <c r="AJ255" s="840">
        <v>0.64</v>
      </c>
      <c r="AK255" s="849">
        <v>1.7070000000000001</v>
      </c>
      <c r="AL255" s="849">
        <v>0.17499999999999999</v>
      </c>
      <c r="AM255" s="842">
        <v>0.54600000000000004</v>
      </c>
      <c r="AN255" s="843"/>
      <c r="AO255" s="844"/>
      <c r="AP255" s="843"/>
      <c r="AQ255" s="843"/>
      <c r="AR255" s="843"/>
      <c r="AS255" s="843"/>
      <c r="AT255" s="844"/>
      <c r="AU255" s="844"/>
      <c r="AV255" s="844"/>
      <c r="AW255" s="844"/>
      <c r="AX255" s="793"/>
    </row>
    <row r="256" spans="1:50" s="7" customFormat="1" outlineLevel="1" x14ac:dyDescent="0.45">
      <c r="A256" s="53" t="s">
        <v>39</v>
      </c>
      <c r="B256" s="146"/>
      <c r="C256" s="845">
        <f t="shared" ref="C256:AM256" si="238">SUM(C251:C255)</f>
        <v>105.27999999999999</v>
      </c>
      <c r="D256" s="845">
        <f t="shared" si="238"/>
        <v>131.78899999999999</v>
      </c>
      <c r="E256" s="845">
        <f t="shared" si="238"/>
        <v>162.41300000000001</v>
      </c>
      <c r="F256" s="845">
        <f t="shared" si="238"/>
        <v>201.47700000000003</v>
      </c>
      <c r="G256" s="846">
        <f t="shared" si="238"/>
        <v>41.903999999999996</v>
      </c>
      <c r="H256" s="846">
        <f t="shared" si="238"/>
        <v>47.453000000000003</v>
      </c>
      <c r="I256" s="846">
        <f t="shared" si="238"/>
        <v>57.131</v>
      </c>
      <c r="J256" s="846">
        <f t="shared" si="238"/>
        <v>54.927999999999997</v>
      </c>
      <c r="K256" s="845">
        <f t="shared" si="238"/>
        <v>201.416</v>
      </c>
      <c r="L256" s="846">
        <f t="shared" si="238"/>
        <v>53.948999999999991</v>
      </c>
      <c r="M256" s="846">
        <f t="shared" si="238"/>
        <v>56.486999999999995</v>
      </c>
      <c r="N256" s="846">
        <f t="shared" si="238"/>
        <v>60.854000000000006</v>
      </c>
      <c r="O256" s="846">
        <f t="shared" si="238"/>
        <v>59.815000000000005</v>
      </c>
      <c r="P256" s="845">
        <f t="shared" si="238"/>
        <v>231.10499999999999</v>
      </c>
      <c r="Q256" s="846">
        <f t="shared" si="238"/>
        <v>57.152999999999999</v>
      </c>
      <c r="R256" s="846">
        <f t="shared" si="238"/>
        <v>56.275000000000006</v>
      </c>
      <c r="S256" s="846">
        <f t="shared" si="238"/>
        <v>54.81</v>
      </c>
      <c r="T256" s="846">
        <f t="shared" si="238"/>
        <v>91.262</v>
      </c>
      <c r="U256" s="845">
        <f t="shared" si="238"/>
        <v>259.5</v>
      </c>
      <c r="V256" s="846">
        <f t="shared" si="238"/>
        <v>65.262</v>
      </c>
      <c r="W256" s="846">
        <f t="shared" si="238"/>
        <v>64.399999999999991</v>
      </c>
      <c r="X256" s="859">
        <f t="shared" si="238"/>
        <v>60.055</v>
      </c>
      <c r="Y256" s="846">
        <f t="shared" si="238"/>
        <v>69.760000000000005</v>
      </c>
      <c r="Z256" s="845">
        <f t="shared" si="238"/>
        <v>259.47699999999998</v>
      </c>
      <c r="AA256" s="846">
        <f t="shared" si="238"/>
        <v>65.012999999999991</v>
      </c>
      <c r="AB256" s="846">
        <f t="shared" si="238"/>
        <v>62.515999999999998</v>
      </c>
      <c r="AC256" s="859">
        <f t="shared" si="238"/>
        <v>66.293999999999997</v>
      </c>
      <c r="AD256" s="846">
        <f t="shared" si="238"/>
        <v>92.84</v>
      </c>
      <c r="AE256" s="845">
        <f t="shared" si="238"/>
        <v>286.66300000000001</v>
      </c>
      <c r="AF256" s="846">
        <f t="shared" si="238"/>
        <v>67.932000000000016</v>
      </c>
      <c r="AG256" s="846">
        <f t="shared" si="238"/>
        <v>53.720999999999997</v>
      </c>
      <c r="AH256" s="859">
        <f t="shared" si="238"/>
        <v>63.013000000000005</v>
      </c>
      <c r="AI256" s="846">
        <f t="shared" si="238"/>
        <v>66.191000000000003</v>
      </c>
      <c r="AJ256" s="845">
        <f t="shared" si="238"/>
        <v>250.85699999999997</v>
      </c>
      <c r="AK256" s="846">
        <f t="shared" si="238"/>
        <v>65.239999999999995</v>
      </c>
      <c r="AL256" s="846">
        <f t="shared" si="238"/>
        <v>61.790999999999997</v>
      </c>
      <c r="AM256" s="847">
        <f t="shared" si="238"/>
        <v>66.325000000000003</v>
      </c>
      <c r="AN256" s="859"/>
      <c r="AO256" s="845"/>
      <c r="AP256" s="859"/>
      <c r="AQ256" s="859"/>
      <c r="AR256" s="859"/>
      <c r="AS256" s="859"/>
      <c r="AT256" s="845"/>
      <c r="AU256" s="860"/>
      <c r="AV256" s="860"/>
      <c r="AW256" s="860"/>
      <c r="AX256" s="795"/>
    </row>
    <row r="257" spans="1:50" s="7" customFormat="1" outlineLevel="1" x14ac:dyDescent="0.45">
      <c r="A257" s="54" t="s">
        <v>40</v>
      </c>
      <c r="B257" s="69"/>
      <c r="C257" s="851">
        <f t="shared" ref="C257:AM257" si="239">C250-C256</f>
        <v>75.724000000000032</v>
      </c>
      <c r="D257" s="851">
        <f t="shared" si="239"/>
        <v>94.092000000000041</v>
      </c>
      <c r="E257" s="851">
        <f t="shared" si="239"/>
        <v>116.19900000000001</v>
      </c>
      <c r="F257" s="851">
        <f t="shared" si="239"/>
        <v>69.099999999999909</v>
      </c>
      <c r="G257" s="852">
        <f t="shared" si="239"/>
        <v>19.552999999999997</v>
      </c>
      <c r="H257" s="852">
        <f t="shared" si="239"/>
        <v>15.945999999999998</v>
      </c>
      <c r="I257" s="852">
        <f t="shared" si="239"/>
        <v>-19.332000000000008</v>
      </c>
      <c r="J257" s="852">
        <f t="shared" si="239"/>
        <v>6.9210000000000065</v>
      </c>
      <c r="K257" s="851">
        <f t="shared" si="239"/>
        <v>23.088000000000022</v>
      </c>
      <c r="L257" s="852">
        <f t="shared" si="239"/>
        <v>7.7550000000000168</v>
      </c>
      <c r="M257" s="852">
        <f t="shared" si="239"/>
        <v>7.2589999999999932</v>
      </c>
      <c r="N257" s="852">
        <f t="shared" si="239"/>
        <v>8.2100000000000009</v>
      </c>
      <c r="O257" s="852">
        <f t="shared" si="239"/>
        <v>12.731999999999992</v>
      </c>
      <c r="P257" s="851">
        <f t="shared" si="239"/>
        <v>35.955999999999989</v>
      </c>
      <c r="Q257" s="852">
        <f t="shared" si="239"/>
        <v>9.0340000000000131</v>
      </c>
      <c r="R257" s="852">
        <f t="shared" si="239"/>
        <v>12.495999999999995</v>
      </c>
      <c r="S257" s="852">
        <f t="shared" si="239"/>
        <v>8.4370000000000118</v>
      </c>
      <c r="T257" s="852">
        <f t="shared" si="239"/>
        <v>-22.60499999999999</v>
      </c>
      <c r="U257" s="851">
        <f t="shared" si="239"/>
        <v>7.3619999999999663</v>
      </c>
      <c r="V257" s="852">
        <f t="shared" si="239"/>
        <v>0.12800000000000011</v>
      </c>
      <c r="W257" s="852">
        <f t="shared" si="239"/>
        <v>6.7690000000000055</v>
      </c>
      <c r="X257" s="866">
        <f t="shared" si="239"/>
        <v>13.460999999999991</v>
      </c>
      <c r="Y257" s="852">
        <f t="shared" si="239"/>
        <v>6.6549999999999869</v>
      </c>
      <c r="Z257" s="851">
        <f t="shared" si="239"/>
        <v>27.013000000000034</v>
      </c>
      <c r="AA257" s="852">
        <f t="shared" si="239"/>
        <v>6.7400000000000091</v>
      </c>
      <c r="AB257" s="852">
        <f t="shared" si="239"/>
        <v>11.336000000000006</v>
      </c>
      <c r="AC257" s="866">
        <f t="shared" si="239"/>
        <v>3.7870000000000061</v>
      </c>
      <c r="AD257" s="852">
        <f t="shared" si="239"/>
        <v>-19.042000000000002</v>
      </c>
      <c r="AE257" s="851">
        <f t="shared" si="239"/>
        <v>2.8209999999999695</v>
      </c>
      <c r="AF257" s="852">
        <f t="shared" si="239"/>
        <v>3.4170000000000016</v>
      </c>
      <c r="AG257" s="852">
        <f t="shared" si="239"/>
        <v>15.482000000000006</v>
      </c>
      <c r="AH257" s="866">
        <f t="shared" si="239"/>
        <v>6.1829999999999927</v>
      </c>
      <c r="AI257" s="852">
        <f t="shared" si="239"/>
        <v>6.5370000000000061</v>
      </c>
      <c r="AJ257" s="851">
        <f t="shared" si="239"/>
        <v>31.619000000000028</v>
      </c>
      <c r="AK257" s="852">
        <f t="shared" si="239"/>
        <v>1.3900000000000006</v>
      </c>
      <c r="AL257" s="852">
        <f t="shared" si="239"/>
        <v>6.7309999999999945</v>
      </c>
      <c r="AM257" s="853">
        <f t="shared" si="239"/>
        <v>3.2800000000000011</v>
      </c>
      <c r="AN257" s="867"/>
      <c r="AO257" s="855"/>
      <c r="AP257" s="867"/>
      <c r="AQ257" s="867"/>
      <c r="AR257" s="867"/>
      <c r="AS257" s="867"/>
      <c r="AT257" s="855"/>
      <c r="AU257" s="868"/>
      <c r="AV257" s="868"/>
      <c r="AW257" s="868"/>
      <c r="AX257" s="795"/>
    </row>
    <row r="258" spans="1:50" s="29" customFormat="1" outlineLevel="1" x14ac:dyDescent="0.45">
      <c r="A258" s="61" t="s">
        <v>41</v>
      </c>
      <c r="B258" s="147"/>
      <c r="C258" s="840">
        <v>0.22600000000000001</v>
      </c>
      <c r="D258" s="840">
        <v>0.26300000000000001</v>
      </c>
      <c r="E258" s="840">
        <v>0.247</v>
      </c>
      <c r="F258" s="840">
        <v>-0.107</v>
      </c>
      <c r="G258" s="841">
        <v>3.1E-2</v>
      </c>
      <c r="H258" s="841">
        <v>-0.20499999999999999</v>
      </c>
      <c r="I258" s="841">
        <v>0.121</v>
      </c>
      <c r="J258" s="841">
        <v>0.32200000000000001</v>
      </c>
      <c r="K258" s="840">
        <v>0.26900000000000002</v>
      </c>
      <c r="L258" s="841">
        <v>5.3999999999999999E-2</v>
      </c>
      <c r="M258" s="841">
        <v>6.9000000000000006E-2</v>
      </c>
      <c r="N258" s="841">
        <v>-8.2000000000000003E-2</v>
      </c>
      <c r="O258" s="841">
        <f>0.04-0.311</f>
        <v>-0.27100000000000002</v>
      </c>
      <c r="P258" s="840">
        <f>0.111-0.341</f>
        <v>-0.23000000000000004</v>
      </c>
      <c r="Q258" s="841">
        <v>0.30199999999999999</v>
      </c>
      <c r="R258" s="841">
        <v>4.0999999999999995E-2</v>
      </c>
      <c r="S258" s="841">
        <v>4.9000000000000002E-2</v>
      </c>
      <c r="T258" s="841">
        <v>2.7E-2</v>
      </c>
      <c r="U258" s="840">
        <v>0.42799999999999999</v>
      </c>
      <c r="V258" s="841">
        <v>8.0000000000000002E-3</v>
      </c>
      <c r="W258" s="841">
        <v>1E-3</v>
      </c>
      <c r="X258" s="841"/>
      <c r="Y258" s="841">
        <v>5.0000000000000001E-3</v>
      </c>
      <c r="Z258" s="840">
        <v>1.4E-2</v>
      </c>
      <c r="AA258" s="841">
        <v>8.9999999999999993E-3</v>
      </c>
      <c r="AB258" s="841">
        <v>1.2E-2</v>
      </c>
      <c r="AC258" s="841">
        <v>1.4999999999999999E-2</v>
      </c>
      <c r="AD258" s="841">
        <v>1.9E-2</v>
      </c>
      <c r="AE258" s="840">
        <v>5.5E-2</v>
      </c>
      <c r="AF258" s="841">
        <v>2.9000000000000001E-2</v>
      </c>
      <c r="AG258" s="841">
        <v>0.04</v>
      </c>
      <c r="AH258" s="841">
        <v>4.3999999999999997E-2</v>
      </c>
      <c r="AI258" s="841">
        <v>0.10299999999999999</v>
      </c>
      <c r="AJ258" s="840">
        <v>0.216</v>
      </c>
      <c r="AK258" s="841">
        <v>7.9000000000000001E-2</v>
      </c>
      <c r="AL258" s="841">
        <v>3.5999999999999997E-2</v>
      </c>
      <c r="AM258" s="842">
        <v>0.03</v>
      </c>
      <c r="AN258" s="843"/>
      <c r="AO258" s="844"/>
      <c r="AP258" s="843"/>
      <c r="AQ258" s="843"/>
      <c r="AR258" s="843"/>
      <c r="AS258" s="843"/>
      <c r="AT258" s="844"/>
      <c r="AU258" s="844"/>
      <c r="AV258" s="844"/>
      <c r="AW258" s="844"/>
      <c r="AX258" s="793"/>
    </row>
    <row r="259" spans="1:50" s="29" customFormat="1" outlineLevel="1" x14ac:dyDescent="0.45">
      <c r="A259" s="61" t="s">
        <v>42</v>
      </c>
      <c r="B259" s="147"/>
      <c r="C259" s="840"/>
      <c r="D259" s="840"/>
      <c r="E259" s="840"/>
      <c r="F259" s="840"/>
      <c r="G259" s="841"/>
      <c r="H259" s="841"/>
      <c r="I259" s="841"/>
      <c r="J259" s="841"/>
      <c r="K259" s="840"/>
      <c r="L259" s="841"/>
      <c r="M259" s="841"/>
      <c r="N259" s="841"/>
      <c r="O259" s="841"/>
      <c r="P259" s="840"/>
      <c r="Q259" s="841"/>
      <c r="R259" s="841"/>
      <c r="S259" s="841"/>
      <c r="T259" s="841">
        <v>-1.2949999999999999</v>
      </c>
      <c r="U259" s="840">
        <v>-1.304</v>
      </c>
      <c r="V259" s="841">
        <v>-1.0129999999999999</v>
      </c>
      <c r="W259" s="841">
        <v>-0.80300000000000005</v>
      </c>
      <c r="X259" s="841">
        <v>-0.629</v>
      </c>
      <c r="Y259" s="841">
        <v>-0.71099999999999997</v>
      </c>
      <c r="Z259" s="840">
        <v>-3.1560000000000001</v>
      </c>
      <c r="AA259" s="841">
        <v>-0.67700000000000005</v>
      </c>
      <c r="AB259" s="841">
        <v>-0.84</v>
      </c>
      <c r="AC259" s="841">
        <v>-0.73299999999999998</v>
      </c>
      <c r="AD259" s="841">
        <v>-1.073</v>
      </c>
      <c r="AE259" s="840">
        <v>-3.323</v>
      </c>
      <c r="AF259" s="841">
        <v>-0.73</v>
      </c>
      <c r="AG259" s="841">
        <v>-0.76900000000000002</v>
      </c>
      <c r="AH259" s="841">
        <v>-0.72</v>
      </c>
      <c r="AI259" s="841">
        <v>-0.59499999999999997</v>
      </c>
      <c r="AJ259" s="840">
        <v>-2.8140000000000001</v>
      </c>
      <c r="AK259" s="841">
        <v>-0.47199999999999998</v>
      </c>
      <c r="AL259" s="841">
        <v>-0.38700000000000001</v>
      </c>
      <c r="AM259" s="842">
        <v>-0.435</v>
      </c>
      <c r="AN259" s="843"/>
      <c r="AO259" s="844"/>
      <c r="AP259" s="843"/>
      <c r="AQ259" s="843"/>
      <c r="AR259" s="843"/>
      <c r="AS259" s="843"/>
      <c r="AT259" s="844"/>
      <c r="AU259" s="844"/>
      <c r="AV259" s="844"/>
      <c r="AW259" s="844"/>
      <c r="AX259" s="793"/>
    </row>
    <row r="260" spans="1:50" s="29" customFormat="1" outlineLevel="1" x14ac:dyDescent="0.45">
      <c r="A260" s="61" t="s">
        <v>43</v>
      </c>
      <c r="B260" s="147"/>
      <c r="C260" s="840">
        <v>0.26800000000000002</v>
      </c>
      <c r="D260" s="840">
        <v>6.0999999999999999E-2</v>
      </c>
      <c r="E260" s="840">
        <v>-0.13900000000000001</v>
      </c>
      <c r="F260" s="840">
        <v>-7.9000000000000001E-2</v>
      </c>
      <c r="G260" s="841">
        <v>-0.254</v>
      </c>
      <c r="H260" s="841">
        <v>-0.155</v>
      </c>
      <c r="I260" s="841">
        <v>1.7999999999999999E-2</v>
      </c>
      <c r="J260" s="841">
        <v>3.5000000000000003E-2</v>
      </c>
      <c r="K260" s="840">
        <v>-0.35599999999999998</v>
      </c>
      <c r="L260" s="841">
        <v>8.9999999999999993E-3</v>
      </c>
      <c r="M260" s="841">
        <v>-2.5999999999999999E-2</v>
      </c>
      <c r="N260" s="841"/>
      <c r="O260" s="841">
        <v>-4.4999999999999998E-2</v>
      </c>
      <c r="P260" s="840">
        <v>-6.2E-2</v>
      </c>
      <c r="Q260" s="841">
        <v>-0.05</v>
      </c>
      <c r="R260" s="841">
        <v>-5.3999999999999999E-2</v>
      </c>
      <c r="S260" s="841">
        <v>-4.2999999999999997E-2</v>
      </c>
      <c r="T260" s="841">
        <v>-1.9E-2</v>
      </c>
      <c r="U260" s="840">
        <v>-0.16600000000000001</v>
      </c>
      <c r="V260" s="841">
        <v>-8.6999999999999994E-2</v>
      </c>
      <c r="W260" s="841">
        <v>-5.5E-2</v>
      </c>
      <c r="X260" s="841">
        <v>-4.0000000000000001E-3</v>
      </c>
      <c r="Y260" s="841">
        <v>-0.11600000000000001</v>
      </c>
      <c r="Z260" s="840">
        <v>-0.26200000000000001</v>
      </c>
      <c r="AA260" s="841">
        <v>-2.1999999999999999E-2</v>
      </c>
      <c r="AB260" s="841">
        <v>1.4999999999999999E-2</v>
      </c>
      <c r="AC260" s="841">
        <v>-4.1000000000000002E-2</v>
      </c>
      <c r="AD260" s="841">
        <v>8.5000000000000006E-2</v>
      </c>
      <c r="AE260" s="840">
        <v>3.6999999999999998E-2</v>
      </c>
      <c r="AF260" s="841">
        <v>0.374</v>
      </c>
      <c r="AG260" s="841">
        <v>0.23699999999999999</v>
      </c>
      <c r="AH260" s="841">
        <v>-0.22700000000000001</v>
      </c>
      <c r="AI260" s="841">
        <v>-0.11700000000000001</v>
      </c>
      <c r="AJ260" s="840">
        <v>0.26700000000000002</v>
      </c>
      <c r="AK260" s="849">
        <v>-0.13300000000000001</v>
      </c>
      <c r="AL260" s="849">
        <v>0.21</v>
      </c>
      <c r="AM260" s="842">
        <v>0.13700000000000001</v>
      </c>
      <c r="AN260" s="843"/>
      <c r="AO260" s="844"/>
      <c r="AP260" s="843"/>
      <c r="AQ260" s="843"/>
      <c r="AR260" s="843"/>
      <c r="AS260" s="843"/>
      <c r="AT260" s="844"/>
      <c r="AU260" s="844"/>
      <c r="AV260" s="844"/>
      <c r="AW260" s="844"/>
      <c r="AX260" s="793"/>
    </row>
    <row r="261" spans="1:50" s="7" customFormat="1" outlineLevel="1" x14ac:dyDescent="0.45">
      <c r="A261" s="53" t="s">
        <v>44</v>
      </c>
      <c r="B261" s="146"/>
      <c r="C261" s="845">
        <f t="shared" ref="C261:AM261" si="240">SUM(C257:C260)</f>
        <v>76.218000000000032</v>
      </c>
      <c r="D261" s="845">
        <f t="shared" si="240"/>
        <v>94.416000000000054</v>
      </c>
      <c r="E261" s="845">
        <f t="shared" si="240"/>
        <v>116.30700000000002</v>
      </c>
      <c r="F261" s="845">
        <f t="shared" si="240"/>
        <v>68.913999999999916</v>
      </c>
      <c r="G261" s="846">
        <f t="shared" si="240"/>
        <v>19.329999999999995</v>
      </c>
      <c r="H261" s="846">
        <f t="shared" si="240"/>
        <v>15.585999999999999</v>
      </c>
      <c r="I261" s="846">
        <f t="shared" si="240"/>
        <v>-19.193000000000008</v>
      </c>
      <c r="J261" s="846">
        <f t="shared" si="240"/>
        <v>7.2780000000000067</v>
      </c>
      <c r="K261" s="845">
        <f t="shared" si="240"/>
        <v>23.001000000000019</v>
      </c>
      <c r="L261" s="846">
        <f t="shared" si="240"/>
        <v>7.8180000000000174</v>
      </c>
      <c r="M261" s="846">
        <f t="shared" si="240"/>
        <v>7.3019999999999934</v>
      </c>
      <c r="N261" s="846">
        <f t="shared" si="240"/>
        <v>8.1280000000000001</v>
      </c>
      <c r="O261" s="846">
        <f t="shared" si="240"/>
        <v>12.415999999999991</v>
      </c>
      <c r="P261" s="845">
        <f t="shared" si="240"/>
        <v>35.663999999999994</v>
      </c>
      <c r="Q261" s="846">
        <f t="shared" si="240"/>
        <v>9.286000000000012</v>
      </c>
      <c r="R261" s="846">
        <f t="shared" si="240"/>
        <v>12.482999999999995</v>
      </c>
      <c r="S261" s="846">
        <f t="shared" si="240"/>
        <v>8.4430000000000121</v>
      </c>
      <c r="T261" s="846">
        <f t="shared" si="240"/>
        <v>-23.891999999999989</v>
      </c>
      <c r="U261" s="845">
        <f t="shared" si="240"/>
        <v>6.3199999999999656</v>
      </c>
      <c r="V261" s="846">
        <f t="shared" si="240"/>
        <v>-0.96399999999999975</v>
      </c>
      <c r="W261" s="846">
        <f t="shared" si="240"/>
        <v>5.9120000000000061</v>
      </c>
      <c r="X261" s="859">
        <f t="shared" si="240"/>
        <v>12.827999999999992</v>
      </c>
      <c r="Y261" s="846">
        <f t="shared" si="240"/>
        <v>5.8329999999999869</v>
      </c>
      <c r="Z261" s="845">
        <f t="shared" si="240"/>
        <v>23.609000000000034</v>
      </c>
      <c r="AA261" s="846">
        <f t="shared" si="240"/>
        <v>6.0500000000000096</v>
      </c>
      <c r="AB261" s="846">
        <f t="shared" si="240"/>
        <v>10.523000000000007</v>
      </c>
      <c r="AC261" s="859">
        <f t="shared" si="240"/>
        <v>3.0280000000000062</v>
      </c>
      <c r="AD261" s="846">
        <f t="shared" si="240"/>
        <v>-20.011000000000003</v>
      </c>
      <c r="AE261" s="845">
        <f t="shared" si="240"/>
        <v>-0.41000000000003028</v>
      </c>
      <c r="AF261" s="846">
        <f t="shared" si="240"/>
        <v>3.0900000000000016</v>
      </c>
      <c r="AG261" s="846">
        <f t="shared" si="240"/>
        <v>14.990000000000006</v>
      </c>
      <c r="AH261" s="859">
        <f t="shared" si="240"/>
        <v>5.2799999999999923</v>
      </c>
      <c r="AI261" s="846">
        <f t="shared" si="240"/>
        <v>5.9280000000000062</v>
      </c>
      <c r="AJ261" s="845">
        <f t="shared" si="240"/>
        <v>29.288000000000029</v>
      </c>
      <c r="AK261" s="846">
        <f t="shared" si="240"/>
        <v>0.86400000000000055</v>
      </c>
      <c r="AL261" s="846">
        <f t="shared" si="240"/>
        <v>6.5899999999999936</v>
      </c>
      <c r="AM261" s="847">
        <f t="shared" si="240"/>
        <v>3.0120000000000009</v>
      </c>
      <c r="AN261" s="859"/>
      <c r="AO261" s="845"/>
      <c r="AP261" s="859"/>
      <c r="AQ261" s="859"/>
      <c r="AR261" s="859"/>
      <c r="AS261" s="859"/>
      <c r="AT261" s="845"/>
      <c r="AU261" s="860"/>
      <c r="AV261" s="860"/>
      <c r="AW261" s="860"/>
      <c r="AX261" s="795"/>
    </row>
    <row r="262" spans="1:50" s="29" customFormat="1" outlineLevel="1" x14ac:dyDescent="0.45">
      <c r="A262" s="61" t="s">
        <v>45</v>
      </c>
      <c r="B262" s="147"/>
      <c r="C262" s="840">
        <v>27.838999999999999</v>
      </c>
      <c r="D262" s="840">
        <v>32.81</v>
      </c>
      <c r="E262" s="840">
        <v>40.65</v>
      </c>
      <c r="F262" s="840">
        <v>26.19</v>
      </c>
      <c r="G262" s="841">
        <v>6.3849999999999998</v>
      </c>
      <c r="H262" s="841">
        <v>5.4649999999999999</v>
      </c>
      <c r="I262" s="841">
        <v>-6.6059999999999999</v>
      </c>
      <c r="J262" s="841">
        <v>2.077</v>
      </c>
      <c r="K262" s="840">
        <v>7.3209999999999997</v>
      </c>
      <c r="L262" s="841">
        <v>2.6549999999999998</v>
      </c>
      <c r="M262" s="841">
        <v>2.552</v>
      </c>
      <c r="N262" s="841">
        <v>1.452</v>
      </c>
      <c r="O262" s="841">
        <v>1.673</v>
      </c>
      <c r="P262" s="840">
        <v>8.3320000000000007</v>
      </c>
      <c r="Q262" s="841">
        <v>2.9239999999999999</v>
      </c>
      <c r="R262" s="841">
        <v>4.1680000000000001</v>
      </c>
      <c r="S262" s="841">
        <v>1.141</v>
      </c>
      <c r="T262" s="841">
        <v>-7.57</v>
      </c>
      <c r="U262" s="840">
        <v>0.66300000000000003</v>
      </c>
      <c r="V262" s="841">
        <v>-0.317</v>
      </c>
      <c r="W262" s="841">
        <v>1.925</v>
      </c>
      <c r="X262" s="841">
        <v>2.3420000000000001</v>
      </c>
      <c r="Y262" s="841">
        <v>1.4179999999999999</v>
      </c>
      <c r="Z262" s="840">
        <v>5.3680000000000003</v>
      </c>
      <c r="AA262" s="841">
        <v>2.1539999999999999</v>
      </c>
      <c r="AB262" s="841">
        <v>2.4929999999999999</v>
      </c>
      <c r="AC262" s="841">
        <v>1.4870000000000001</v>
      </c>
      <c r="AD262" s="841">
        <v>-8.9640000000000004</v>
      </c>
      <c r="AE262" s="840">
        <v>-2.83</v>
      </c>
      <c r="AF262" s="841">
        <v>0.442</v>
      </c>
      <c r="AG262" s="841">
        <v>1.8959999999999999</v>
      </c>
      <c r="AH262" s="841">
        <v>0.45600000000000002</v>
      </c>
      <c r="AI262" s="841">
        <v>2</v>
      </c>
      <c r="AJ262" s="840">
        <v>4.7939999999999996</v>
      </c>
      <c r="AK262" s="849">
        <v>-0.38</v>
      </c>
      <c r="AL262" s="849">
        <v>0.50900000000000001</v>
      </c>
      <c r="AM262" s="842">
        <v>-1.403</v>
      </c>
      <c r="AN262" s="843"/>
      <c r="AO262" s="844"/>
      <c r="AP262" s="843"/>
      <c r="AQ262" s="843"/>
      <c r="AR262" s="843"/>
      <c r="AS262" s="843"/>
      <c r="AT262" s="844"/>
      <c r="AU262" s="844"/>
      <c r="AV262" s="844"/>
      <c r="AW262" s="844"/>
      <c r="AX262" s="793"/>
    </row>
    <row r="263" spans="1:50" s="7" customFormat="1" outlineLevel="1" x14ac:dyDescent="0.45">
      <c r="A263" s="62" t="s">
        <v>46</v>
      </c>
      <c r="B263" s="148"/>
      <c r="C263" s="869">
        <f t="shared" ref="C263:AM263" si="241">C261-C262</f>
        <v>48.379000000000033</v>
      </c>
      <c r="D263" s="869">
        <f t="shared" si="241"/>
        <v>61.606000000000051</v>
      </c>
      <c r="E263" s="869">
        <f t="shared" si="241"/>
        <v>75.657000000000011</v>
      </c>
      <c r="F263" s="869">
        <f t="shared" si="241"/>
        <v>42.723999999999918</v>
      </c>
      <c r="G263" s="870">
        <f t="shared" si="241"/>
        <v>12.944999999999995</v>
      </c>
      <c r="H263" s="870">
        <f t="shared" si="241"/>
        <v>10.120999999999999</v>
      </c>
      <c r="I263" s="870">
        <f t="shared" si="241"/>
        <v>-12.587000000000009</v>
      </c>
      <c r="J263" s="870">
        <f t="shared" si="241"/>
        <v>5.2010000000000067</v>
      </c>
      <c r="K263" s="869">
        <f t="shared" si="241"/>
        <v>15.680000000000019</v>
      </c>
      <c r="L263" s="870">
        <f t="shared" si="241"/>
        <v>5.163000000000018</v>
      </c>
      <c r="M263" s="870">
        <f t="shared" si="241"/>
        <v>4.7499999999999929</v>
      </c>
      <c r="N263" s="870">
        <f t="shared" si="241"/>
        <v>6.6760000000000002</v>
      </c>
      <c r="O263" s="870">
        <f t="shared" si="241"/>
        <v>10.742999999999991</v>
      </c>
      <c r="P263" s="869">
        <f t="shared" si="241"/>
        <v>27.331999999999994</v>
      </c>
      <c r="Q263" s="870">
        <f t="shared" si="241"/>
        <v>6.3620000000000125</v>
      </c>
      <c r="R263" s="870">
        <f t="shared" si="241"/>
        <v>8.3149999999999942</v>
      </c>
      <c r="S263" s="870">
        <f t="shared" si="241"/>
        <v>7.302000000000012</v>
      </c>
      <c r="T263" s="870">
        <f t="shared" si="241"/>
        <v>-16.321999999999989</v>
      </c>
      <c r="U263" s="869">
        <f t="shared" si="241"/>
        <v>5.6569999999999654</v>
      </c>
      <c r="V263" s="870">
        <f t="shared" si="241"/>
        <v>-0.6469999999999998</v>
      </c>
      <c r="W263" s="870">
        <f t="shared" si="241"/>
        <v>3.9870000000000063</v>
      </c>
      <c r="X263" s="871">
        <f t="shared" si="241"/>
        <v>10.485999999999992</v>
      </c>
      <c r="Y263" s="870">
        <f t="shared" si="241"/>
        <v>4.4149999999999867</v>
      </c>
      <c r="Z263" s="869">
        <f t="shared" si="241"/>
        <v>18.241000000000035</v>
      </c>
      <c r="AA263" s="870">
        <f t="shared" si="241"/>
        <v>3.8960000000000097</v>
      </c>
      <c r="AB263" s="870">
        <f t="shared" si="241"/>
        <v>8.0300000000000065</v>
      </c>
      <c r="AC263" s="871">
        <f t="shared" si="241"/>
        <v>1.5410000000000061</v>
      </c>
      <c r="AD263" s="870">
        <f t="shared" si="241"/>
        <v>-11.047000000000002</v>
      </c>
      <c r="AE263" s="869">
        <f t="shared" si="241"/>
        <v>2.4199999999999697</v>
      </c>
      <c r="AF263" s="870">
        <f t="shared" si="241"/>
        <v>2.6480000000000015</v>
      </c>
      <c r="AG263" s="870">
        <f t="shared" si="241"/>
        <v>13.094000000000005</v>
      </c>
      <c r="AH263" s="871">
        <f t="shared" si="241"/>
        <v>4.8239999999999919</v>
      </c>
      <c r="AI263" s="870">
        <f t="shared" si="241"/>
        <v>3.9280000000000062</v>
      </c>
      <c r="AJ263" s="869">
        <f t="shared" si="241"/>
        <v>24.494000000000028</v>
      </c>
      <c r="AK263" s="870">
        <f t="shared" si="241"/>
        <v>1.2440000000000007</v>
      </c>
      <c r="AL263" s="870">
        <f t="shared" si="241"/>
        <v>6.0809999999999933</v>
      </c>
      <c r="AM263" s="872">
        <f t="shared" si="241"/>
        <v>4.4150000000000009</v>
      </c>
      <c r="AN263" s="871"/>
      <c r="AO263" s="869"/>
      <c r="AP263" s="871"/>
      <c r="AQ263" s="871"/>
      <c r="AR263" s="871"/>
      <c r="AS263" s="871"/>
      <c r="AT263" s="869"/>
      <c r="AU263" s="873"/>
      <c r="AV263" s="873"/>
      <c r="AW263" s="873"/>
      <c r="AX263" s="795"/>
    </row>
    <row r="264" spans="1:50" s="29" customFormat="1" outlineLevel="1" x14ac:dyDescent="0.45">
      <c r="A264" s="61"/>
      <c r="B264" s="147"/>
      <c r="C264" s="840"/>
      <c r="D264" s="840"/>
      <c r="E264" s="840"/>
      <c r="F264" s="840"/>
      <c r="G264" s="841"/>
      <c r="H264" s="841"/>
      <c r="I264" s="841"/>
      <c r="J264" s="841"/>
      <c r="K264" s="840"/>
      <c r="L264" s="841"/>
      <c r="M264" s="841"/>
      <c r="N264" s="841"/>
      <c r="O264" s="841"/>
      <c r="P264" s="840"/>
      <c r="Q264" s="841"/>
      <c r="R264" s="841"/>
      <c r="S264" s="841"/>
      <c r="T264" s="841"/>
      <c r="U264" s="840"/>
      <c r="V264" s="841"/>
      <c r="W264" s="841"/>
      <c r="X264" s="841"/>
      <c r="Y264" s="841"/>
      <c r="Z264" s="840"/>
      <c r="AA264" s="841"/>
      <c r="AB264" s="841"/>
      <c r="AC264" s="841"/>
      <c r="AD264" s="841"/>
      <c r="AE264" s="840"/>
      <c r="AF264" s="841"/>
      <c r="AG264" s="841"/>
      <c r="AH264" s="841"/>
      <c r="AI264" s="841"/>
      <c r="AJ264" s="840"/>
      <c r="AK264" s="857"/>
      <c r="AL264" s="857"/>
      <c r="AM264" s="842"/>
      <c r="AN264" s="843"/>
      <c r="AO264" s="844"/>
      <c r="AP264" s="843"/>
      <c r="AQ264" s="843"/>
      <c r="AR264" s="843"/>
      <c r="AS264" s="843"/>
      <c r="AT264" s="844"/>
      <c r="AU264" s="844"/>
      <c r="AV264" s="844"/>
      <c r="AW264" s="844"/>
      <c r="AX264" s="793"/>
    </row>
    <row r="265" spans="1:50" s="29" customFormat="1" outlineLevel="1" x14ac:dyDescent="0.45">
      <c r="A265" s="86" t="s">
        <v>47</v>
      </c>
      <c r="B265" s="86"/>
      <c r="C265" s="942">
        <f t="shared" ref="C265:AW265" si="242">IF(ISBLANK(INDEX(MO_IS_FirstRow,0,COLUMN())),0,ROUND(C263-C484,6))</f>
        <v>0</v>
      </c>
      <c r="D265" s="942">
        <f t="shared" si="242"/>
        <v>0</v>
      </c>
      <c r="E265" s="942">
        <f t="shared" si="242"/>
        <v>0</v>
      </c>
      <c r="F265" s="942">
        <f t="shared" si="242"/>
        <v>0</v>
      </c>
      <c r="G265" s="942">
        <f t="shared" si="242"/>
        <v>0</v>
      </c>
      <c r="H265" s="942">
        <f t="shared" si="242"/>
        <v>0</v>
      </c>
      <c r="I265" s="942">
        <f t="shared" si="242"/>
        <v>0</v>
      </c>
      <c r="J265" s="942">
        <f t="shared" si="242"/>
        <v>0</v>
      </c>
      <c r="K265" s="942">
        <f t="shared" si="242"/>
        <v>0</v>
      </c>
      <c r="L265" s="942">
        <f t="shared" si="242"/>
        <v>0</v>
      </c>
      <c r="M265" s="942">
        <f t="shared" si="242"/>
        <v>0</v>
      </c>
      <c r="N265" s="942">
        <f t="shared" si="242"/>
        <v>0</v>
      </c>
      <c r="O265" s="942">
        <f t="shared" si="242"/>
        <v>0</v>
      </c>
      <c r="P265" s="942">
        <f t="shared" si="242"/>
        <v>0</v>
      </c>
      <c r="Q265" s="942">
        <f t="shared" si="242"/>
        <v>0</v>
      </c>
      <c r="R265" s="942">
        <f t="shared" si="242"/>
        <v>0</v>
      </c>
      <c r="S265" s="942">
        <f t="shared" si="242"/>
        <v>0</v>
      </c>
      <c r="T265" s="942">
        <f t="shared" si="242"/>
        <v>0</v>
      </c>
      <c r="U265" s="942">
        <f t="shared" si="242"/>
        <v>0</v>
      </c>
      <c r="V265" s="942">
        <f t="shared" si="242"/>
        <v>0</v>
      </c>
      <c r="W265" s="942">
        <f t="shared" si="242"/>
        <v>0</v>
      </c>
      <c r="X265" s="942">
        <f t="shared" si="242"/>
        <v>0</v>
      </c>
      <c r="Y265" s="942">
        <f t="shared" si="242"/>
        <v>0</v>
      </c>
      <c r="Z265" s="942">
        <f t="shared" si="242"/>
        <v>0</v>
      </c>
      <c r="AA265" s="942">
        <f t="shared" si="242"/>
        <v>0</v>
      </c>
      <c r="AB265" s="942">
        <f t="shared" si="242"/>
        <v>0</v>
      </c>
      <c r="AC265" s="942">
        <f t="shared" si="242"/>
        <v>0</v>
      </c>
      <c r="AD265" s="942">
        <f t="shared" si="242"/>
        <v>0</v>
      </c>
      <c r="AE265" s="942">
        <f t="shared" si="242"/>
        <v>0</v>
      </c>
      <c r="AF265" s="942">
        <f t="shared" si="242"/>
        <v>0</v>
      </c>
      <c r="AG265" s="942">
        <f t="shared" si="242"/>
        <v>0</v>
      </c>
      <c r="AH265" s="942">
        <f t="shared" si="242"/>
        <v>0</v>
      </c>
      <c r="AI265" s="942">
        <f t="shared" si="242"/>
        <v>0</v>
      </c>
      <c r="AJ265" s="942">
        <f t="shared" si="242"/>
        <v>0</v>
      </c>
      <c r="AK265" s="942">
        <f t="shared" si="242"/>
        <v>0</v>
      </c>
      <c r="AL265" s="942">
        <f t="shared" si="242"/>
        <v>0</v>
      </c>
      <c r="AM265" s="943">
        <f t="shared" si="242"/>
        <v>0</v>
      </c>
      <c r="AN265" s="944">
        <f t="shared" si="242"/>
        <v>0</v>
      </c>
      <c r="AO265" s="944">
        <f t="shared" si="242"/>
        <v>0</v>
      </c>
      <c r="AP265" s="944">
        <f t="shared" si="242"/>
        <v>0</v>
      </c>
      <c r="AQ265" s="944">
        <f t="shared" si="242"/>
        <v>0</v>
      </c>
      <c r="AR265" s="944">
        <f t="shared" si="242"/>
        <v>0</v>
      </c>
      <c r="AS265" s="944">
        <f t="shared" si="242"/>
        <v>0</v>
      </c>
      <c r="AT265" s="944">
        <f t="shared" si="242"/>
        <v>0</v>
      </c>
      <c r="AU265" s="944">
        <f t="shared" si="242"/>
        <v>0</v>
      </c>
      <c r="AV265" s="944">
        <f t="shared" si="242"/>
        <v>0</v>
      </c>
      <c r="AW265" s="944">
        <f t="shared" si="242"/>
        <v>0</v>
      </c>
      <c r="AX265" s="793"/>
    </row>
    <row r="266" spans="1:50" s="29" customFormat="1" x14ac:dyDescent="0.45">
      <c r="A266" s="61"/>
      <c r="B266" s="147"/>
      <c r="C266" s="840"/>
      <c r="D266" s="840"/>
      <c r="E266" s="840"/>
      <c r="F266" s="840"/>
      <c r="G266" s="841"/>
      <c r="H266" s="841"/>
      <c r="I266" s="841"/>
      <c r="J266" s="841"/>
      <c r="K266" s="840"/>
      <c r="L266" s="841"/>
      <c r="M266" s="841"/>
      <c r="N266" s="841"/>
      <c r="O266" s="841"/>
      <c r="P266" s="840"/>
      <c r="Q266" s="841"/>
      <c r="R266" s="841"/>
      <c r="S266" s="841"/>
      <c r="T266" s="841"/>
      <c r="U266" s="840"/>
      <c r="V266" s="841"/>
      <c r="W266" s="841"/>
      <c r="X266" s="841"/>
      <c r="Y266" s="841"/>
      <c r="Z266" s="840"/>
      <c r="AA266" s="841"/>
      <c r="AB266" s="841"/>
      <c r="AC266" s="841"/>
      <c r="AD266" s="841"/>
      <c r="AE266" s="840"/>
      <c r="AF266" s="841"/>
      <c r="AG266" s="841"/>
      <c r="AH266" s="841"/>
      <c r="AI266" s="841"/>
      <c r="AJ266" s="840"/>
      <c r="AK266" s="841"/>
      <c r="AL266" s="841"/>
      <c r="AM266" s="842"/>
      <c r="AN266" s="843"/>
      <c r="AO266" s="844"/>
      <c r="AP266" s="843"/>
      <c r="AQ266" s="843"/>
      <c r="AR266" s="843"/>
      <c r="AS266" s="843"/>
      <c r="AT266" s="844"/>
      <c r="AU266" s="844"/>
      <c r="AV266" s="844"/>
      <c r="AW266" s="844"/>
      <c r="AX266" s="793"/>
    </row>
    <row r="267" spans="1:50" s="7" customFormat="1" x14ac:dyDescent="0.45">
      <c r="A267" s="790" t="s">
        <v>48</v>
      </c>
      <c r="B267" s="790"/>
      <c r="C267" s="812"/>
      <c r="D267" s="812"/>
      <c r="E267" s="812"/>
      <c r="F267" s="812"/>
      <c r="G267" s="812"/>
      <c r="H267" s="812"/>
      <c r="I267" s="812"/>
      <c r="J267" s="812"/>
      <c r="K267" s="812"/>
      <c r="L267" s="812"/>
      <c r="M267" s="812"/>
      <c r="N267" s="812"/>
      <c r="O267" s="812"/>
      <c r="P267" s="812"/>
      <c r="Q267" s="812"/>
      <c r="R267" s="812"/>
      <c r="S267" s="812"/>
      <c r="T267" s="812"/>
      <c r="U267" s="812"/>
      <c r="V267" s="812"/>
      <c r="W267" s="812"/>
      <c r="X267" s="812"/>
      <c r="Y267" s="812"/>
      <c r="Z267" s="812"/>
      <c r="AA267" s="812"/>
      <c r="AB267" s="812"/>
      <c r="AC267" s="812"/>
      <c r="AD267" s="812"/>
      <c r="AE267" s="812"/>
      <c r="AF267" s="812"/>
      <c r="AG267" s="812"/>
      <c r="AH267" s="812"/>
      <c r="AI267" s="812"/>
      <c r="AJ267" s="812"/>
      <c r="AK267" s="812"/>
      <c r="AL267" s="812"/>
      <c r="AM267" s="813"/>
      <c r="AN267" s="814"/>
      <c r="AO267" s="814"/>
      <c r="AP267" s="814"/>
      <c r="AQ267" s="814"/>
      <c r="AR267" s="814"/>
      <c r="AS267" s="814"/>
      <c r="AT267" s="814"/>
      <c r="AU267" s="814"/>
      <c r="AV267" s="814"/>
      <c r="AW267" s="814"/>
      <c r="AX267" s="795"/>
    </row>
    <row r="268" spans="1:50" s="7" customFormat="1" hidden="1" outlineLevel="1" x14ac:dyDescent="0.45">
      <c r="A268" s="54" t="s">
        <v>49</v>
      </c>
      <c r="B268" s="69"/>
      <c r="C268" s="851">
        <f t="shared" ref="C268:AM268" si="243">C261</f>
        <v>76.218000000000032</v>
      </c>
      <c r="D268" s="851">
        <f t="shared" si="243"/>
        <v>94.416000000000054</v>
      </c>
      <c r="E268" s="851">
        <f t="shared" si="243"/>
        <v>116.30700000000002</v>
      </c>
      <c r="F268" s="851">
        <f t="shared" si="243"/>
        <v>68.913999999999916</v>
      </c>
      <c r="G268" s="852">
        <f t="shared" si="243"/>
        <v>19.329999999999995</v>
      </c>
      <c r="H268" s="852">
        <f t="shared" si="243"/>
        <v>15.585999999999999</v>
      </c>
      <c r="I268" s="852">
        <f t="shared" si="243"/>
        <v>-19.193000000000008</v>
      </c>
      <c r="J268" s="852">
        <f t="shared" si="243"/>
        <v>7.2780000000000067</v>
      </c>
      <c r="K268" s="851">
        <f t="shared" si="243"/>
        <v>23.001000000000019</v>
      </c>
      <c r="L268" s="852">
        <f t="shared" si="243"/>
        <v>7.8180000000000174</v>
      </c>
      <c r="M268" s="852">
        <f t="shared" si="243"/>
        <v>7.3019999999999934</v>
      </c>
      <c r="N268" s="852">
        <f t="shared" si="243"/>
        <v>8.1280000000000001</v>
      </c>
      <c r="O268" s="852">
        <f t="shared" si="243"/>
        <v>12.415999999999991</v>
      </c>
      <c r="P268" s="851">
        <f t="shared" si="243"/>
        <v>35.663999999999994</v>
      </c>
      <c r="Q268" s="852">
        <f t="shared" si="243"/>
        <v>9.286000000000012</v>
      </c>
      <c r="R268" s="852">
        <f t="shared" si="243"/>
        <v>12.482999999999995</v>
      </c>
      <c r="S268" s="852">
        <f t="shared" si="243"/>
        <v>8.4430000000000121</v>
      </c>
      <c r="T268" s="852">
        <f t="shared" si="243"/>
        <v>-23.891999999999989</v>
      </c>
      <c r="U268" s="851">
        <f t="shared" si="243"/>
        <v>6.3199999999999656</v>
      </c>
      <c r="V268" s="852">
        <f t="shared" si="243"/>
        <v>-0.96399999999999975</v>
      </c>
      <c r="W268" s="852">
        <f t="shared" si="243"/>
        <v>5.9120000000000061</v>
      </c>
      <c r="X268" s="866">
        <f t="shared" si="243"/>
        <v>12.827999999999992</v>
      </c>
      <c r="Y268" s="852">
        <f t="shared" si="243"/>
        <v>5.8329999999999869</v>
      </c>
      <c r="Z268" s="851">
        <f t="shared" si="243"/>
        <v>23.609000000000034</v>
      </c>
      <c r="AA268" s="852">
        <f t="shared" si="243"/>
        <v>6.0500000000000096</v>
      </c>
      <c r="AB268" s="852">
        <f t="shared" si="243"/>
        <v>10.523000000000007</v>
      </c>
      <c r="AC268" s="866">
        <f t="shared" si="243"/>
        <v>3.0280000000000062</v>
      </c>
      <c r="AD268" s="866">
        <f t="shared" si="243"/>
        <v>-20.011000000000003</v>
      </c>
      <c r="AE268" s="851">
        <f t="shared" si="243"/>
        <v>-0.41000000000003028</v>
      </c>
      <c r="AF268" s="852">
        <f t="shared" si="243"/>
        <v>3.0900000000000016</v>
      </c>
      <c r="AG268" s="852">
        <f t="shared" si="243"/>
        <v>14.990000000000006</v>
      </c>
      <c r="AH268" s="866">
        <f t="shared" si="243"/>
        <v>5.2799999999999923</v>
      </c>
      <c r="AI268" s="866">
        <f t="shared" si="243"/>
        <v>5.9280000000000062</v>
      </c>
      <c r="AJ268" s="851">
        <f t="shared" si="243"/>
        <v>29.288000000000029</v>
      </c>
      <c r="AK268" s="852">
        <f t="shared" si="243"/>
        <v>0.86400000000000055</v>
      </c>
      <c r="AL268" s="852">
        <f t="shared" si="243"/>
        <v>6.5899999999999936</v>
      </c>
      <c r="AM268" s="853">
        <f t="shared" si="243"/>
        <v>3.0120000000000009</v>
      </c>
      <c r="AN268" s="867">
        <f>AN328</f>
        <v>5.7532009710382752</v>
      </c>
      <c r="AO268" s="855">
        <f>SUM(AK268,AL268,AM268,AN268)</f>
        <v>16.219200971038269</v>
      </c>
      <c r="AP268" s="867">
        <f t="shared" ref="AP268:AS268" ca="1" si="244">AP328</f>
        <v>3.23362375685068</v>
      </c>
      <c r="AQ268" s="867">
        <f t="shared" ca="1" si="244"/>
        <v>7.3503188773322643</v>
      </c>
      <c r="AR268" s="867">
        <f t="shared" ca="1" si="244"/>
        <v>7.2751731750975619</v>
      </c>
      <c r="AS268" s="867">
        <f t="shared" ca="1" si="244"/>
        <v>6.13787981344315</v>
      </c>
      <c r="AT268" s="855">
        <f ca="1">SUM(AP268,AQ268,AR268,AS268)</f>
        <v>23.996995622723656</v>
      </c>
      <c r="AU268" s="868">
        <f t="shared" ref="AU268:AW268" ca="1" si="245">AU328</f>
        <v>29.136378826006563</v>
      </c>
      <c r="AV268" s="868">
        <f t="shared" ca="1" si="245"/>
        <v>32.165367965035401</v>
      </c>
      <c r="AW268" s="868">
        <f t="shared" ca="1" si="245"/>
        <v>35.968758474315592</v>
      </c>
      <c r="AX268" s="795"/>
    </row>
    <row r="269" spans="1:50" s="29" customFormat="1" hidden="1" outlineLevel="1" x14ac:dyDescent="0.45">
      <c r="A269" s="61" t="s">
        <v>52</v>
      </c>
      <c r="B269" s="147"/>
      <c r="C269" s="840"/>
      <c r="D269" s="840"/>
      <c r="E269" s="840"/>
      <c r="F269" s="840">
        <v>2.0299999999999998</v>
      </c>
      <c r="G269" s="841">
        <v>6.5000000000000002E-2</v>
      </c>
      <c r="H269" s="841">
        <v>0.42899999999999999</v>
      </c>
      <c r="I269" s="841">
        <v>0.108</v>
      </c>
      <c r="J269" s="841">
        <v>0.84599999999999997</v>
      </c>
      <c r="K269" s="840">
        <v>1.448</v>
      </c>
      <c r="L269" s="841">
        <v>1.123</v>
      </c>
      <c r="M269" s="841">
        <v>0.621</v>
      </c>
      <c r="N269" s="841">
        <v>0.73799999999999999</v>
      </c>
      <c r="O269" s="841">
        <v>0.441</v>
      </c>
      <c r="P269" s="840">
        <v>2.923</v>
      </c>
      <c r="Q269" s="841">
        <v>0.51700000000000002</v>
      </c>
      <c r="R269" s="841">
        <v>0.77500000000000002</v>
      </c>
      <c r="S269" s="841">
        <v>4.4509999999999996</v>
      </c>
      <c r="T269" s="841">
        <v>-9.5000000000000001E-2</v>
      </c>
      <c r="U269" s="840">
        <v>5.6479999999999997</v>
      </c>
      <c r="V269" s="841">
        <v>2.7360000000000002</v>
      </c>
      <c r="W269" s="841">
        <v>3.7480000000000002</v>
      </c>
      <c r="X269" s="841">
        <v>-1.337</v>
      </c>
      <c r="Y269" s="841">
        <v>1.3759999999999999</v>
      </c>
      <c r="Z269" s="840">
        <v>6.5229999999999997</v>
      </c>
      <c r="AA269" s="841">
        <v>0.54900000000000004</v>
      </c>
      <c r="AB269" s="841">
        <v>0.63300000000000001</v>
      </c>
      <c r="AC269" s="841">
        <v>0.38700000000000001</v>
      </c>
      <c r="AD269" s="841">
        <v>0.33900000000000002</v>
      </c>
      <c r="AE269" s="840">
        <v>1.9079999999999999</v>
      </c>
      <c r="AF269" s="841">
        <v>1.6339999999999999</v>
      </c>
      <c r="AG269" s="841">
        <v>0.315</v>
      </c>
      <c r="AH269" s="841">
        <v>0.109</v>
      </c>
      <c r="AI269" s="841">
        <v>1.01</v>
      </c>
      <c r="AJ269" s="840">
        <v>3.0680000000000001</v>
      </c>
      <c r="AK269" s="841"/>
      <c r="AL269" s="841">
        <v>0.73899999999999999</v>
      </c>
      <c r="AM269" s="842">
        <v>1.6359999999999999</v>
      </c>
      <c r="AN269" s="874">
        <v>0</v>
      </c>
      <c r="AO269" s="844">
        <f t="shared" ref="AO269:AO281" si="246">SUM(AK269,AL269,AM269,AN269)</f>
        <v>2.375</v>
      </c>
      <c r="AP269" s="874">
        <v>0</v>
      </c>
      <c r="AQ269" s="874">
        <v>0</v>
      </c>
      <c r="AR269" s="874">
        <v>0</v>
      </c>
      <c r="AS269" s="874">
        <v>0</v>
      </c>
      <c r="AT269" s="844">
        <f t="shared" ref="AT269:AT281" si="247">SUM(AP269,AQ269,AR269,AS269)</f>
        <v>0</v>
      </c>
      <c r="AU269" s="875">
        <v>0</v>
      </c>
      <c r="AV269" s="875">
        <v>0</v>
      </c>
      <c r="AW269" s="875">
        <v>0</v>
      </c>
      <c r="AX269" s="793"/>
    </row>
    <row r="270" spans="1:50" s="29" customFormat="1" hidden="1" outlineLevel="1" x14ac:dyDescent="0.45">
      <c r="A270" s="61" t="s">
        <v>36</v>
      </c>
      <c r="B270" s="147"/>
      <c r="C270" s="840"/>
      <c r="D270" s="840"/>
      <c r="E270" s="840"/>
      <c r="F270" s="840">
        <f>2.7+4.859</f>
        <v>7.5590000000000002</v>
      </c>
      <c r="G270" s="841">
        <v>1.8660000000000001</v>
      </c>
      <c r="H270" s="841">
        <v>2.1960000000000002</v>
      </c>
      <c r="I270" s="841">
        <v>2.2789999999999999</v>
      </c>
      <c r="J270" s="841">
        <v>1.99</v>
      </c>
      <c r="K270" s="840">
        <v>8.3309999999999995</v>
      </c>
      <c r="L270" s="841">
        <v>1.841</v>
      </c>
      <c r="M270" s="841">
        <v>1.7669999999999999</v>
      </c>
      <c r="N270" s="841">
        <v>1.762</v>
      </c>
      <c r="O270" s="841">
        <v>1.756</v>
      </c>
      <c r="P270" s="840">
        <v>7.1260000000000003</v>
      </c>
      <c r="Q270" s="841">
        <v>1.8</v>
      </c>
      <c r="R270" s="841">
        <v>1.802</v>
      </c>
      <c r="S270" s="841">
        <v>1.8</v>
      </c>
      <c r="T270" s="841">
        <v>5.6120000000000001</v>
      </c>
      <c r="U270" s="840">
        <v>11.013999999999999</v>
      </c>
      <c r="V270" s="841">
        <v>5.7320000000000002</v>
      </c>
      <c r="W270" s="841">
        <v>5.6459999999999999</v>
      </c>
      <c r="X270" s="841">
        <v>5.5750000000000002</v>
      </c>
      <c r="Y270" s="841">
        <v>5.508</v>
      </c>
      <c r="Z270" s="840">
        <v>22.460999999999999</v>
      </c>
      <c r="AA270" s="841">
        <v>5.4480000000000004</v>
      </c>
      <c r="AB270" s="841">
        <v>5.82</v>
      </c>
      <c r="AC270" s="841">
        <v>6.0830000000000002</v>
      </c>
      <c r="AD270" s="841">
        <v>6.0289999999999999</v>
      </c>
      <c r="AE270" s="840">
        <v>23.38</v>
      </c>
      <c r="AF270" s="841">
        <v>5.4560000000000004</v>
      </c>
      <c r="AG270" s="841">
        <v>5.4089999999999998</v>
      </c>
      <c r="AH270" s="841">
        <v>5.3150000000000004</v>
      </c>
      <c r="AI270" s="841">
        <v>5.3159999999999998</v>
      </c>
      <c r="AJ270" s="840">
        <v>21.495999999999999</v>
      </c>
      <c r="AK270" s="841">
        <v>5.1529999999999996</v>
      </c>
      <c r="AL270" s="841">
        <v>5.1520000000000001</v>
      </c>
      <c r="AM270" s="842">
        <v>5.6459999999999999</v>
      </c>
      <c r="AN270" s="843">
        <f>AN297</f>
        <v>5.3000000000000007</v>
      </c>
      <c r="AO270" s="844">
        <f t="shared" si="246"/>
        <v>21.251000000000001</v>
      </c>
      <c r="AP270" s="843">
        <f t="shared" ref="AP270:AS270" si="248">AP297</f>
        <v>5.3000000000000007</v>
      </c>
      <c r="AQ270" s="843">
        <f t="shared" si="248"/>
        <v>5.3000000000000007</v>
      </c>
      <c r="AR270" s="843">
        <f t="shared" si="248"/>
        <v>5.3000000000000007</v>
      </c>
      <c r="AS270" s="843">
        <f t="shared" si="248"/>
        <v>5.3000000000000007</v>
      </c>
      <c r="AT270" s="844">
        <f t="shared" si="247"/>
        <v>21.200000000000003</v>
      </c>
      <c r="AU270" s="844">
        <f t="shared" ref="AU270:AW270" si="249">AU297</f>
        <v>21.200000000000003</v>
      </c>
      <c r="AV270" s="844">
        <f t="shared" si="249"/>
        <v>21.200000000000003</v>
      </c>
      <c r="AW270" s="844">
        <f t="shared" si="249"/>
        <v>21.200000000000003</v>
      </c>
      <c r="AX270" s="793"/>
    </row>
    <row r="271" spans="1:50" s="29" customFormat="1" hidden="1" outlineLevel="1" x14ac:dyDescent="0.45">
      <c r="A271" s="61" t="s">
        <v>53</v>
      </c>
      <c r="B271" s="147"/>
      <c r="C271" s="840"/>
      <c r="D271" s="840"/>
      <c r="E271" s="840"/>
      <c r="F271" s="840"/>
      <c r="G271" s="841"/>
      <c r="H271" s="841"/>
      <c r="I271" s="841"/>
      <c r="J271" s="841"/>
      <c r="K271" s="840"/>
      <c r="L271" s="841"/>
      <c r="M271" s="841"/>
      <c r="N271" s="841"/>
      <c r="O271" s="841"/>
      <c r="P271" s="840"/>
      <c r="Q271" s="841"/>
      <c r="R271" s="841"/>
      <c r="S271" s="841"/>
      <c r="T271" s="841">
        <v>0.25800000000000001</v>
      </c>
      <c r="U271" s="840">
        <v>0.25800000000000001</v>
      </c>
      <c r="V271" s="841">
        <v>0.26900000000000002</v>
      </c>
      <c r="W271" s="841">
        <v>0.26900000000000002</v>
      </c>
      <c r="X271" s="841">
        <v>0.26900000000000002</v>
      </c>
      <c r="Y271" s="841">
        <v>0.26900000000000002</v>
      </c>
      <c r="Z271" s="840">
        <v>1.0760000000000001</v>
      </c>
      <c r="AA271" s="841">
        <v>0.26900000000000002</v>
      </c>
      <c r="AB271" s="841">
        <v>0.26900000000000002</v>
      </c>
      <c r="AC271" s="841">
        <v>0.26900000000000002</v>
      </c>
      <c r="AD271" s="841">
        <v>0.80300000000000005</v>
      </c>
      <c r="AE271" s="840">
        <v>1.61</v>
      </c>
      <c r="AF271" s="841">
        <v>0.17699999999999999</v>
      </c>
      <c r="AG271" s="841">
        <v>0.17799999999999999</v>
      </c>
      <c r="AH271" s="841">
        <v>0.17699999999999999</v>
      </c>
      <c r="AI271" s="841">
        <v>0.17799999999999999</v>
      </c>
      <c r="AJ271" s="840">
        <v>0.71</v>
      </c>
      <c r="AK271" s="841">
        <v>0.17699999999999999</v>
      </c>
      <c r="AL271" s="841">
        <v>0.17799999999999999</v>
      </c>
      <c r="AM271" s="842">
        <v>0.17699999999999999</v>
      </c>
      <c r="AN271" s="874">
        <v>0</v>
      </c>
      <c r="AO271" s="844">
        <f t="shared" si="246"/>
        <v>0.53200000000000003</v>
      </c>
      <c r="AP271" s="874">
        <v>0</v>
      </c>
      <c r="AQ271" s="874">
        <v>0</v>
      </c>
      <c r="AR271" s="874">
        <v>0</v>
      </c>
      <c r="AS271" s="874">
        <v>0</v>
      </c>
      <c r="AT271" s="844">
        <f t="shared" si="247"/>
        <v>0</v>
      </c>
      <c r="AU271" s="875">
        <v>0</v>
      </c>
      <c r="AV271" s="875">
        <v>0</v>
      </c>
      <c r="AW271" s="875">
        <v>0</v>
      </c>
      <c r="AX271" s="793"/>
    </row>
    <row r="272" spans="1:50" s="29" customFormat="1" hidden="1" outlineLevel="1" x14ac:dyDescent="0.45">
      <c r="A272" s="61" t="s">
        <v>55</v>
      </c>
      <c r="B272" s="147"/>
      <c r="C272" s="840"/>
      <c r="D272" s="840"/>
      <c r="E272" s="840"/>
      <c r="F272" s="840">
        <v>17.399999999999999</v>
      </c>
      <c r="G272" s="841"/>
      <c r="H272" s="841"/>
      <c r="I272" s="841">
        <v>5.8730000000000002</v>
      </c>
      <c r="J272" s="841"/>
      <c r="K272" s="840">
        <v>5.8730000000000002</v>
      </c>
      <c r="L272" s="841"/>
      <c r="M272" s="841"/>
      <c r="N272" s="841"/>
      <c r="O272" s="841"/>
      <c r="P272" s="840"/>
      <c r="Q272" s="841"/>
      <c r="R272" s="841"/>
      <c r="S272" s="841"/>
      <c r="T272" s="841">
        <v>32.832000000000001</v>
      </c>
      <c r="U272" s="840">
        <v>32.832000000000001</v>
      </c>
      <c r="V272" s="841"/>
      <c r="W272" s="841"/>
      <c r="X272" s="841"/>
      <c r="Y272" s="841"/>
      <c r="Z272" s="840"/>
      <c r="AA272" s="841"/>
      <c r="AB272" s="841"/>
      <c r="AC272" s="841"/>
      <c r="AD272" s="841">
        <v>3.7570000000000001</v>
      </c>
      <c r="AE272" s="840">
        <v>3.7570000000000001</v>
      </c>
      <c r="AF272" s="841"/>
      <c r="AG272" s="841"/>
      <c r="AH272" s="841"/>
      <c r="AI272" s="841"/>
      <c r="AJ272" s="840"/>
      <c r="AK272" s="841">
        <v>0.48899999999999999</v>
      </c>
      <c r="AL272" s="841">
        <v>1.9159999999999999</v>
      </c>
      <c r="AM272" s="842">
        <v>1.948</v>
      </c>
      <c r="AN272" s="874">
        <v>0</v>
      </c>
      <c r="AO272" s="844">
        <f t="shared" si="246"/>
        <v>4.3529999999999998</v>
      </c>
      <c r="AP272" s="874">
        <v>0</v>
      </c>
      <c r="AQ272" s="874">
        <v>0</v>
      </c>
      <c r="AR272" s="874">
        <v>0</v>
      </c>
      <c r="AS272" s="874">
        <v>0</v>
      </c>
      <c r="AT272" s="844">
        <f t="shared" si="247"/>
        <v>0</v>
      </c>
      <c r="AU272" s="875">
        <v>0</v>
      </c>
      <c r="AV272" s="875">
        <v>0</v>
      </c>
      <c r="AW272" s="875">
        <v>0</v>
      </c>
      <c r="AX272" s="793"/>
    </row>
    <row r="273" spans="1:50" s="29" customFormat="1" hidden="1" outlineLevel="1" x14ac:dyDescent="0.45">
      <c r="A273" s="61" t="s">
        <v>38</v>
      </c>
      <c r="B273" s="147"/>
      <c r="C273" s="840"/>
      <c r="D273" s="840"/>
      <c r="E273" s="840"/>
      <c r="F273" s="840"/>
      <c r="G273" s="841"/>
      <c r="H273" s="841"/>
      <c r="I273" s="841"/>
      <c r="J273" s="841"/>
      <c r="K273" s="840"/>
      <c r="L273" s="841"/>
      <c r="M273" s="841"/>
      <c r="N273" s="841"/>
      <c r="O273" s="841"/>
      <c r="P273" s="840"/>
      <c r="Q273" s="841"/>
      <c r="R273" s="841"/>
      <c r="S273" s="841"/>
      <c r="T273" s="841"/>
      <c r="U273" s="840"/>
      <c r="V273" s="841">
        <v>3.7530000000000001</v>
      </c>
      <c r="W273" s="841">
        <v>0.70099999999999996</v>
      </c>
      <c r="X273" s="841">
        <v>0.23100000000000001</v>
      </c>
      <c r="Y273" s="841">
        <v>2.3929999999999998</v>
      </c>
      <c r="Z273" s="840">
        <v>7.0780000000000003</v>
      </c>
      <c r="AA273" s="841"/>
      <c r="AB273" s="841"/>
      <c r="AC273" s="841">
        <v>0.13</v>
      </c>
      <c r="AD273" s="841">
        <v>0.48099999999999998</v>
      </c>
      <c r="AE273" s="840">
        <v>0.61099999999999999</v>
      </c>
      <c r="AF273" s="841"/>
      <c r="AG273" s="841"/>
      <c r="AH273" s="841"/>
      <c r="AI273" s="841">
        <v>0.64</v>
      </c>
      <c r="AJ273" s="840">
        <v>0.64</v>
      </c>
      <c r="AK273" s="841">
        <v>1.7070000000000001</v>
      </c>
      <c r="AL273" s="841">
        <v>0.17499999999999999</v>
      </c>
      <c r="AM273" s="842">
        <v>0.54600000000000004</v>
      </c>
      <c r="AN273" s="874">
        <v>0</v>
      </c>
      <c r="AO273" s="844">
        <f t="shared" si="246"/>
        <v>2.4279999999999999</v>
      </c>
      <c r="AP273" s="874">
        <v>0</v>
      </c>
      <c r="AQ273" s="874">
        <v>0</v>
      </c>
      <c r="AR273" s="874">
        <v>0</v>
      </c>
      <c r="AS273" s="874">
        <v>0</v>
      </c>
      <c r="AT273" s="844">
        <f t="shared" si="247"/>
        <v>0</v>
      </c>
      <c r="AU273" s="875">
        <v>0</v>
      </c>
      <c r="AV273" s="875">
        <v>0</v>
      </c>
      <c r="AW273" s="875">
        <v>0</v>
      </c>
      <c r="AX273" s="793"/>
    </row>
    <row r="274" spans="1:50" s="29" customFormat="1" hidden="1" outlineLevel="1" x14ac:dyDescent="0.45">
      <c r="A274" s="61" t="s">
        <v>56</v>
      </c>
      <c r="B274" s="147"/>
      <c r="C274" s="840"/>
      <c r="D274" s="840"/>
      <c r="E274" s="840"/>
      <c r="F274" s="840"/>
      <c r="G274" s="841"/>
      <c r="H274" s="841">
        <v>1.7210000000000001</v>
      </c>
      <c r="I274" s="841"/>
      <c r="J274" s="841"/>
      <c r="K274" s="840">
        <v>1.7210000000000001</v>
      </c>
      <c r="L274" s="841">
        <v>0.27800000000000002</v>
      </c>
      <c r="M274" s="841">
        <v>1.0089999999999999</v>
      </c>
      <c r="N274" s="841">
        <v>1.173</v>
      </c>
      <c r="O274" s="841">
        <v>1.4910000000000001</v>
      </c>
      <c r="P274" s="840">
        <v>3.9510000000000001</v>
      </c>
      <c r="Q274" s="841">
        <v>0.51800000000000002</v>
      </c>
      <c r="R274" s="841">
        <v>2.2559999999999998</v>
      </c>
      <c r="S274" s="841">
        <v>-3.0750000000000002</v>
      </c>
      <c r="T274" s="841">
        <v>-1.8660000000000001</v>
      </c>
      <c r="U274" s="840">
        <v>-2.1469999999999998</v>
      </c>
      <c r="V274" s="841">
        <v>0.36399999999999999</v>
      </c>
      <c r="W274" s="841">
        <v>0.76300000000000001</v>
      </c>
      <c r="X274" s="841">
        <v>0.35599999999999998</v>
      </c>
      <c r="Y274" s="841">
        <v>0.315</v>
      </c>
      <c r="Z274" s="840">
        <v>1.798</v>
      </c>
      <c r="AA274" s="841">
        <v>0.44600000000000001</v>
      </c>
      <c r="AB274" s="841">
        <v>0.11799999999999999</v>
      </c>
      <c r="AC274" s="841">
        <v>0.152</v>
      </c>
      <c r="AD274" s="841">
        <v>19.984000000000002</v>
      </c>
      <c r="AE274" s="840">
        <v>20.7</v>
      </c>
      <c r="AF274" s="841">
        <v>0.27900000000000003</v>
      </c>
      <c r="AG274" s="841">
        <v>-5.7149999999999999</v>
      </c>
      <c r="AH274" s="841">
        <v>2.9000000000000001E-2</v>
      </c>
      <c r="AI274" s="841">
        <v>0.20200000000000001</v>
      </c>
      <c r="AJ274" s="840">
        <v>-5.2050000000000001</v>
      </c>
      <c r="AK274" s="841">
        <v>3.6999999999999998E-2</v>
      </c>
      <c r="AL274" s="841">
        <v>0.33900000000000002</v>
      </c>
      <c r="AM274" s="842">
        <v>0.71699999999999997</v>
      </c>
      <c r="AN274" s="874">
        <v>0</v>
      </c>
      <c r="AO274" s="844">
        <f t="shared" si="246"/>
        <v>1.093</v>
      </c>
      <c r="AP274" s="874">
        <v>0</v>
      </c>
      <c r="AQ274" s="874">
        <v>0</v>
      </c>
      <c r="AR274" s="874">
        <v>0</v>
      </c>
      <c r="AS274" s="874">
        <v>0</v>
      </c>
      <c r="AT274" s="844">
        <f t="shared" si="247"/>
        <v>0</v>
      </c>
      <c r="AU274" s="875">
        <v>0</v>
      </c>
      <c r="AV274" s="875">
        <v>0</v>
      </c>
      <c r="AW274" s="875">
        <v>0</v>
      </c>
      <c r="AX274" s="793"/>
    </row>
    <row r="275" spans="1:50" s="769" customFormat="1" hidden="1" outlineLevel="1" x14ac:dyDescent="0.45">
      <c r="A275" s="767" t="s">
        <v>51</v>
      </c>
      <c r="B275" s="768"/>
      <c r="C275" s="876"/>
      <c r="D275" s="876"/>
      <c r="E275" s="876"/>
      <c r="F275" s="876">
        <f>0.201+2.126</f>
        <v>2.327</v>
      </c>
      <c r="G275" s="877">
        <f>0.074+0.467</f>
        <v>0.54100000000000004</v>
      </c>
      <c r="H275" s="877">
        <f>0.089+0.495</f>
        <v>0.58399999999999996</v>
      </c>
      <c r="I275" s="877">
        <f>0.09+0.617</f>
        <v>0.70699999999999996</v>
      </c>
      <c r="J275" s="877">
        <f>0.095+0.563</f>
        <v>0.65799999999999992</v>
      </c>
      <c r="K275" s="876">
        <f>0.348+2.142</f>
        <v>2.4899999999999998</v>
      </c>
      <c r="L275" s="877">
        <f>0.086+0.704</f>
        <v>0.78999999999999992</v>
      </c>
      <c r="M275" s="877">
        <f>0.092+0.775</f>
        <v>0.86699999999999999</v>
      </c>
      <c r="N275" s="877">
        <f>0.865+0.104</f>
        <v>0.96899999999999997</v>
      </c>
      <c r="O275" s="877">
        <v>0.84499999999999997</v>
      </c>
      <c r="P275" s="876">
        <v>3.4710000000000001</v>
      </c>
      <c r="Q275" s="877">
        <v>0.68400000000000005</v>
      </c>
      <c r="R275" s="877">
        <v>0.90100000000000002</v>
      </c>
      <c r="S275" s="877">
        <v>0.74299999999999999</v>
      </c>
      <c r="T275" s="877">
        <v>0.96699999999999997</v>
      </c>
      <c r="U275" s="876">
        <v>3.2949999999999999</v>
      </c>
      <c r="V275" s="877">
        <v>1.1559999999999999</v>
      </c>
      <c r="W275" s="877">
        <v>1.91</v>
      </c>
      <c r="X275" s="877">
        <v>2.0009999999999999</v>
      </c>
      <c r="Y275" s="877">
        <v>2.4300000000000002</v>
      </c>
      <c r="Z275" s="876">
        <v>7.4969999999999999</v>
      </c>
      <c r="AA275" s="877">
        <v>2.0409999999999999</v>
      </c>
      <c r="AB275" s="877">
        <v>3.0910000000000002</v>
      </c>
      <c r="AC275" s="877">
        <v>3.4529999999999998</v>
      </c>
      <c r="AD275" s="877">
        <v>3.6110000000000002</v>
      </c>
      <c r="AE275" s="876">
        <v>12.196</v>
      </c>
      <c r="AF275" s="877">
        <v>3.1160000000000001</v>
      </c>
      <c r="AG275" s="877">
        <v>4.1349999999999998</v>
      </c>
      <c r="AH275" s="877">
        <v>4.6980000000000004</v>
      </c>
      <c r="AI275" s="877">
        <v>4.1529999999999996</v>
      </c>
      <c r="AJ275" s="876">
        <v>16.102</v>
      </c>
      <c r="AK275" s="877">
        <v>4.891</v>
      </c>
      <c r="AL275" s="877">
        <v>4.3159999999999998</v>
      </c>
      <c r="AM275" s="878">
        <v>4.6210000000000004</v>
      </c>
      <c r="AN275" s="879">
        <f>AN293</f>
        <v>4.5999999999999996</v>
      </c>
      <c r="AO275" s="880">
        <f t="shared" si="246"/>
        <v>18.428000000000001</v>
      </c>
      <c r="AP275" s="879">
        <f t="shared" ref="AP275:AS275" si="250">AP293</f>
        <v>4.5999999999999996</v>
      </c>
      <c r="AQ275" s="879">
        <f t="shared" si="250"/>
        <v>4.5999999999999996</v>
      </c>
      <c r="AR275" s="879">
        <f t="shared" si="250"/>
        <v>4.5999999999999996</v>
      </c>
      <c r="AS275" s="879">
        <f t="shared" si="250"/>
        <v>4.5999999999999996</v>
      </c>
      <c r="AT275" s="880">
        <f t="shared" si="247"/>
        <v>18.399999999999999</v>
      </c>
      <c r="AU275" s="880">
        <f t="shared" ref="AU275:AW275" si="251">AU293</f>
        <v>18.399999999999999</v>
      </c>
      <c r="AV275" s="880">
        <f t="shared" si="251"/>
        <v>18.399999999999999</v>
      </c>
      <c r="AW275" s="880">
        <f t="shared" si="251"/>
        <v>18.399999999999999</v>
      </c>
      <c r="AX275" s="789"/>
    </row>
    <row r="276" spans="1:50" s="29" customFormat="1" hidden="1" outlineLevel="1" x14ac:dyDescent="0.45">
      <c r="A276" s="61" t="s">
        <v>57</v>
      </c>
      <c r="B276" s="147"/>
      <c r="C276" s="840"/>
      <c r="D276" s="840"/>
      <c r="E276" s="840"/>
      <c r="F276" s="840"/>
      <c r="G276" s="841"/>
      <c r="H276" s="841"/>
      <c r="I276" s="841"/>
      <c r="J276" s="841"/>
      <c r="K276" s="840"/>
      <c r="L276" s="841"/>
      <c r="M276" s="841">
        <v>0.315</v>
      </c>
      <c r="N276" s="841"/>
      <c r="O276" s="841"/>
      <c r="P276" s="840">
        <v>0.315</v>
      </c>
      <c r="Q276" s="841">
        <v>0.93799999999999994</v>
      </c>
      <c r="R276" s="841">
        <v>0.44900000000000001</v>
      </c>
      <c r="S276" s="841">
        <v>0.33500000000000002</v>
      </c>
      <c r="T276" s="841">
        <v>2.4769999999999999</v>
      </c>
      <c r="U276" s="840">
        <v>4.1989999999999998</v>
      </c>
      <c r="V276" s="841">
        <v>0.40100000000000002</v>
      </c>
      <c r="W276" s="841">
        <v>1.7250000000000001</v>
      </c>
      <c r="X276" s="841">
        <v>0.73899999999999999</v>
      </c>
      <c r="Y276" s="841">
        <v>0.14399999999999999</v>
      </c>
      <c r="Z276" s="840">
        <v>3.0089999999999999</v>
      </c>
      <c r="AA276" s="841">
        <v>0.26300000000000001</v>
      </c>
      <c r="AB276" s="841"/>
      <c r="AC276" s="841"/>
      <c r="AD276" s="841"/>
      <c r="AE276" s="840">
        <v>0.26300000000000001</v>
      </c>
      <c r="AF276" s="841">
        <v>1.948</v>
      </c>
      <c r="AG276" s="841">
        <v>0.69099999999999995</v>
      </c>
      <c r="AH276" s="841">
        <v>1.34</v>
      </c>
      <c r="AI276" s="841">
        <v>1.492</v>
      </c>
      <c r="AJ276" s="840">
        <v>5.4710000000000001</v>
      </c>
      <c r="AK276" s="841">
        <v>0.09</v>
      </c>
      <c r="AL276" s="841">
        <v>0.81499999999999995</v>
      </c>
      <c r="AM276" s="842">
        <v>0.79900000000000004</v>
      </c>
      <c r="AN276" s="874">
        <v>0</v>
      </c>
      <c r="AO276" s="844">
        <f t="shared" si="246"/>
        <v>1.704</v>
      </c>
      <c r="AP276" s="874">
        <v>0</v>
      </c>
      <c r="AQ276" s="874">
        <v>0</v>
      </c>
      <c r="AR276" s="874">
        <v>0</v>
      </c>
      <c r="AS276" s="874">
        <v>0</v>
      </c>
      <c r="AT276" s="844">
        <f t="shared" si="247"/>
        <v>0</v>
      </c>
      <c r="AU276" s="875">
        <v>0</v>
      </c>
      <c r="AV276" s="875">
        <v>0</v>
      </c>
      <c r="AW276" s="875">
        <v>0</v>
      </c>
      <c r="AX276" s="793"/>
    </row>
    <row r="277" spans="1:50" s="29" customFormat="1" hidden="1" outlineLevel="1" x14ac:dyDescent="0.45">
      <c r="A277" s="61" t="s">
        <v>50</v>
      </c>
      <c r="B277" s="147"/>
      <c r="C277" s="840"/>
      <c r="D277" s="840"/>
      <c r="E277" s="840"/>
      <c r="F277" s="840"/>
      <c r="G277" s="841"/>
      <c r="H277" s="841"/>
      <c r="I277" s="841">
        <v>20.097999999999999</v>
      </c>
      <c r="J277" s="841"/>
      <c r="K277" s="840">
        <v>20.097999999999999</v>
      </c>
      <c r="L277" s="841"/>
      <c r="M277" s="841"/>
      <c r="N277" s="841"/>
      <c r="O277" s="841"/>
      <c r="P277" s="840"/>
      <c r="Q277" s="841"/>
      <c r="R277" s="841"/>
      <c r="S277" s="841"/>
      <c r="T277" s="841"/>
      <c r="U277" s="840"/>
      <c r="V277" s="841"/>
      <c r="W277" s="841"/>
      <c r="X277" s="841"/>
      <c r="Y277" s="841"/>
      <c r="Z277" s="840"/>
      <c r="AA277" s="841"/>
      <c r="AB277" s="841"/>
      <c r="AC277" s="841"/>
      <c r="AD277" s="841"/>
      <c r="AE277" s="840"/>
      <c r="AF277" s="841"/>
      <c r="AG277" s="841"/>
      <c r="AH277" s="841"/>
      <c r="AI277" s="841"/>
      <c r="AJ277" s="840"/>
      <c r="AK277" s="841"/>
      <c r="AL277" s="841"/>
      <c r="AM277" s="842"/>
      <c r="AN277" s="874">
        <v>0</v>
      </c>
      <c r="AO277" s="844">
        <f t="shared" si="246"/>
        <v>0</v>
      </c>
      <c r="AP277" s="874">
        <v>0</v>
      </c>
      <c r="AQ277" s="874">
        <v>0</v>
      </c>
      <c r="AR277" s="874">
        <v>0</v>
      </c>
      <c r="AS277" s="874">
        <v>0</v>
      </c>
      <c r="AT277" s="844">
        <f t="shared" si="247"/>
        <v>0</v>
      </c>
      <c r="AU277" s="875">
        <v>0</v>
      </c>
      <c r="AV277" s="875">
        <v>0</v>
      </c>
      <c r="AW277" s="875">
        <v>0</v>
      </c>
      <c r="AX277" s="793"/>
    </row>
    <row r="278" spans="1:50" s="29" customFormat="1" hidden="1" outlineLevel="1" x14ac:dyDescent="0.45">
      <c r="A278" s="61" t="s">
        <v>54</v>
      </c>
      <c r="B278" s="147"/>
      <c r="C278" s="840"/>
      <c r="D278" s="840"/>
      <c r="E278" s="840"/>
      <c r="F278" s="840"/>
      <c r="G278" s="841"/>
      <c r="H278" s="841"/>
      <c r="I278" s="841"/>
      <c r="J278" s="841"/>
      <c r="K278" s="840"/>
      <c r="L278" s="841"/>
      <c r="M278" s="841"/>
      <c r="N278" s="841"/>
      <c r="O278" s="841"/>
      <c r="P278" s="840"/>
      <c r="Q278" s="841"/>
      <c r="R278" s="841"/>
      <c r="S278" s="841">
        <v>1.7529999999999999</v>
      </c>
      <c r="T278" s="841">
        <v>0.311</v>
      </c>
      <c r="U278" s="840">
        <v>2.0640000000000001</v>
      </c>
      <c r="V278" s="841"/>
      <c r="W278" s="841"/>
      <c r="X278" s="841"/>
      <c r="Y278" s="841"/>
      <c r="Z278" s="840"/>
      <c r="AA278" s="841"/>
      <c r="AB278" s="841"/>
      <c r="AC278" s="841"/>
      <c r="AD278" s="841"/>
      <c r="AE278" s="840"/>
      <c r="AF278" s="841"/>
      <c r="AG278" s="841"/>
      <c r="AH278" s="841"/>
      <c r="AI278" s="841"/>
      <c r="AJ278" s="840"/>
      <c r="AK278" s="841"/>
      <c r="AL278" s="841"/>
      <c r="AM278" s="842"/>
      <c r="AN278" s="874">
        <v>0</v>
      </c>
      <c r="AO278" s="844">
        <f t="shared" si="246"/>
        <v>0</v>
      </c>
      <c r="AP278" s="874">
        <v>0</v>
      </c>
      <c r="AQ278" s="874">
        <v>0</v>
      </c>
      <c r="AR278" s="874">
        <v>0</v>
      </c>
      <c r="AS278" s="874">
        <v>0</v>
      </c>
      <c r="AT278" s="844">
        <f t="shared" si="247"/>
        <v>0</v>
      </c>
      <c r="AU278" s="875">
        <v>0</v>
      </c>
      <c r="AV278" s="875">
        <v>0</v>
      </c>
      <c r="AW278" s="875">
        <v>0</v>
      </c>
      <c r="AX278" s="793"/>
    </row>
    <row r="279" spans="1:50" s="29" customFormat="1" hidden="1" outlineLevel="1" x14ac:dyDescent="0.45">
      <c r="A279" s="61" t="s">
        <v>58</v>
      </c>
      <c r="B279" s="147"/>
      <c r="C279" s="840"/>
      <c r="D279" s="840"/>
      <c r="E279" s="840"/>
      <c r="F279" s="840">
        <v>1.25</v>
      </c>
      <c r="G279" s="841"/>
      <c r="H279" s="841"/>
      <c r="I279" s="841"/>
      <c r="J279" s="841"/>
      <c r="K279" s="840"/>
      <c r="L279" s="841"/>
      <c r="M279" s="841"/>
      <c r="N279" s="841"/>
      <c r="O279" s="841"/>
      <c r="P279" s="840"/>
      <c r="Q279" s="841"/>
      <c r="R279" s="841"/>
      <c r="S279" s="841"/>
      <c r="T279" s="841"/>
      <c r="U279" s="840"/>
      <c r="V279" s="841"/>
      <c r="W279" s="841"/>
      <c r="X279" s="841"/>
      <c r="Y279" s="841"/>
      <c r="Z279" s="840"/>
      <c r="AA279" s="841"/>
      <c r="AB279" s="841"/>
      <c r="AC279" s="841"/>
      <c r="AD279" s="841"/>
      <c r="AE279" s="840"/>
      <c r="AF279" s="841"/>
      <c r="AG279" s="841"/>
      <c r="AH279" s="841"/>
      <c r="AI279" s="841"/>
      <c r="AJ279" s="840"/>
      <c r="AK279" s="841"/>
      <c r="AL279" s="841"/>
      <c r="AM279" s="842"/>
      <c r="AN279" s="874">
        <v>0</v>
      </c>
      <c r="AO279" s="844">
        <f t="shared" si="246"/>
        <v>0</v>
      </c>
      <c r="AP279" s="874">
        <v>0</v>
      </c>
      <c r="AQ279" s="874">
        <v>0</v>
      </c>
      <c r="AR279" s="874">
        <v>0</v>
      </c>
      <c r="AS279" s="874">
        <v>0</v>
      </c>
      <c r="AT279" s="844">
        <f t="shared" si="247"/>
        <v>0</v>
      </c>
      <c r="AU279" s="875">
        <v>0</v>
      </c>
      <c r="AV279" s="875">
        <v>0</v>
      </c>
      <c r="AW279" s="875">
        <v>0</v>
      </c>
      <c r="AX279" s="793"/>
    </row>
    <row r="280" spans="1:50" s="7" customFormat="1" hidden="1" outlineLevel="1" x14ac:dyDescent="0.45">
      <c r="A280" s="53" t="s">
        <v>59</v>
      </c>
      <c r="B280" s="146"/>
      <c r="C280" s="845">
        <f t="shared" ref="C280:AW280" si="252">SUM(C268:C279)</f>
        <v>76.218000000000032</v>
      </c>
      <c r="D280" s="845">
        <f t="shared" si="252"/>
        <v>94.416000000000054</v>
      </c>
      <c r="E280" s="845">
        <f t="shared" si="252"/>
        <v>116.30700000000002</v>
      </c>
      <c r="F280" s="845">
        <f t="shared" si="252"/>
        <v>99.479999999999905</v>
      </c>
      <c r="G280" s="846">
        <f t="shared" si="252"/>
        <v>21.801999999999996</v>
      </c>
      <c r="H280" s="846">
        <f t="shared" si="252"/>
        <v>20.515999999999998</v>
      </c>
      <c r="I280" s="846">
        <f t="shared" si="252"/>
        <v>9.8719999999999928</v>
      </c>
      <c r="J280" s="846">
        <f t="shared" si="252"/>
        <v>10.772000000000006</v>
      </c>
      <c r="K280" s="845">
        <f t="shared" si="252"/>
        <v>62.96200000000001</v>
      </c>
      <c r="L280" s="846">
        <f t="shared" si="252"/>
        <v>11.850000000000016</v>
      </c>
      <c r="M280" s="846">
        <f t="shared" si="252"/>
        <v>11.880999999999991</v>
      </c>
      <c r="N280" s="846">
        <f t="shared" si="252"/>
        <v>12.77</v>
      </c>
      <c r="O280" s="846">
        <f t="shared" si="252"/>
        <v>16.948999999999991</v>
      </c>
      <c r="P280" s="845">
        <f t="shared" si="252"/>
        <v>53.449999999999989</v>
      </c>
      <c r="Q280" s="846">
        <f t="shared" si="252"/>
        <v>13.743000000000013</v>
      </c>
      <c r="R280" s="846">
        <f t="shared" si="252"/>
        <v>18.665999999999997</v>
      </c>
      <c r="S280" s="846">
        <f t="shared" si="252"/>
        <v>14.450000000000015</v>
      </c>
      <c r="T280" s="846">
        <f t="shared" si="252"/>
        <v>16.604000000000013</v>
      </c>
      <c r="U280" s="845">
        <f t="shared" si="252"/>
        <v>63.482999999999961</v>
      </c>
      <c r="V280" s="846">
        <f t="shared" si="252"/>
        <v>13.447000000000001</v>
      </c>
      <c r="W280" s="846">
        <f t="shared" si="252"/>
        <v>20.67400000000001</v>
      </c>
      <c r="X280" s="859">
        <f t="shared" si="252"/>
        <v>20.661999999999995</v>
      </c>
      <c r="Y280" s="846">
        <f t="shared" si="252"/>
        <v>18.267999999999986</v>
      </c>
      <c r="Z280" s="845">
        <f t="shared" si="252"/>
        <v>73.05100000000003</v>
      </c>
      <c r="AA280" s="846">
        <f t="shared" si="252"/>
        <v>15.066000000000011</v>
      </c>
      <c r="AB280" s="846">
        <f t="shared" si="252"/>
        <v>20.454000000000004</v>
      </c>
      <c r="AC280" s="859">
        <f t="shared" si="252"/>
        <v>13.502000000000006</v>
      </c>
      <c r="AD280" s="846">
        <f t="shared" si="252"/>
        <v>14.992999999999999</v>
      </c>
      <c r="AE280" s="845">
        <f t="shared" si="252"/>
        <v>64.014999999999972</v>
      </c>
      <c r="AF280" s="846">
        <f t="shared" si="252"/>
        <v>15.700000000000003</v>
      </c>
      <c r="AG280" s="846">
        <f t="shared" si="252"/>
        <v>20.003000000000004</v>
      </c>
      <c r="AH280" s="859">
        <f t="shared" si="252"/>
        <v>16.947999999999993</v>
      </c>
      <c r="AI280" s="846">
        <f t="shared" si="252"/>
        <v>18.919000000000008</v>
      </c>
      <c r="AJ280" s="845">
        <f t="shared" si="252"/>
        <v>71.570000000000036</v>
      </c>
      <c r="AK280" s="846">
        <f t="shared" si="252"/>
        <v>13.408000000000001</v>
      </c>
      <c r="AL280" s="846">
        <f t="shared" si="252"/>
        <v>20.22</v>
      </c>
      <c r="AM280" s="847">
        <f t="shared" si="252"/>
        <v>19.102</v>
      </c>
      <c r="AN280" s="859">
        <f t="shared" si="252"/>
        <v>15.653200971038276</v>
      </c>
      <c r="AO280" s="845">
        <f t="shared" si="252"/>
        <v>68.383200971038249</v>
      </c>
      <c r="AP280" s="859">
        <f t="shared" ca="1" si="252"/>
        <v>13.13362375685068</v>
      </c>
      <c r="AQ280" s="859">
        <f t="shared" ca="1" si="252"/>
        <v>17.250318877332262</v>
      </c>
      <c r="AR280" s="859">
        <f t="shared" ca="1" si="252"/>
        <v>17.175173175097562</v>
      </c>
      <c r="AS280" s="859">
        <f t="shared" ca="1" si="252"/>
        <v>16.037879813443148</v>
      </c>
      <c r="AT280" s="845">
        <f t="shared" ref="AT280" ca="1" si="253">SUM(AT268:AT279)</f>
        <v>63.596995622723661</v>
      </c>
      <c r="AU280" s="860">
        <f t="shared" ca="1" si="252"/>
        <v>68.736378826006558</v>
      </c>
      <c r="AV280" s="860">
        <f t="shared" ca="1" si="252"/>
        <v>71.765367965035409</v>
      </c>
      <c r="AW280" s="860">
        <f t="shared" ca="1" si="252"/>
        <v>75.568758474315587</v>
      </c>
      <c r="AX280" s="795"/>
    </row>
    <row r="281" spans="1:50" s="29" customFormat="1" hidden="1" outlineLevel="1" x14ac:dyDescent="0.45">
      <c r="A281" s="61" t="s">
        <v>60</v>
      </c>
      <c r="B281" s="147"/>
      <c r="C281" s="840"/>
      <c r="D281" s="840"/>
      <c r="E281" s="840"/>
      <c r="F281" s="840">
        <v>31.834</v>
      </c>
      <c r="G281" s="841">
        <v>7.2160000000000002</v>
      </c>
      <c r="H281" s="841">
        <v>7.16</v>
      </c>
      <c r="I281" s="841">
        <v>3.141</v>
      </c>
      <c r="J281" s="841">
        <v>3.3180000000000001</v>
      </c>
      <c r="K281" s="840">
        <v>20.966000000000001</v>
      </c>
      <c r="L281" s="841">
        <v>4.0609999999999999</v>
      </c>
      <c r="M281" s="841">
        <v>4.1589999999999998</v>
      </c>
      <c r="N281" s="841">
        <v>3.0739999999999998</v>
      </c>
      <c r="O281" s="841">
        <v>4.4249999999999998</v>
      </c>
      <c r="P281" s="840">
        <v>15.718</v>
      </c>
      <c r="Q281" s="841">
        <v>4.1980000000000004</v>
      </c>
      <c r="R281" s="841">
        <v>5.6929999999999996</v>
      </c>
      <c r="S281" s="841">
        <v>4.407</v>
      </c>
      <c r="T281" s="841">
        <v>5.0640000000000001</v>
      </c>
      <c r="U281" s="840">
        <v>19.361999999999998</v>
      </c>
      <c r="V281" s="841">
        <v>4.101</v>
      </c>
      <c r="W281" s="841">
        <v>6.306</v>
      </c>
      <c r="X281" s="841">
        <v>6.3019999999999996</v>
      </c>
      <c r="Y281" s="841">
        <v>5.5720000000000001</v>
      </c>
      <c r="Z281" s="840">
        <v>22.280999999999999</v>
      </c>
      <c r="AA281" s="841">
        <v>4.5949999999999998</v>
      </c>
      <c r="AB281" s="841">
        <v>6.2389999999999999</v>
      </c>
      <c r="AC281" s="841">
        <v>4.1180000000000003</v>
      </c>
      <c r="AD281" s="841">
        <v>4.5730000000000004</v>
      </c>
      <c r="AE281" s="840">
        <v>19.524999999999999</v>
      </c>
      <c r="AF281" s="841">
        <v>3.4540000000000002</v>
      </c>
      <c r="AG281" s="841">
        <v>4.4009999999999998</v>
      </c>
      <c r="AH281" s="841">
        <v>3.7290000000000001</v>
      </c>
      <c r="AI281" s="841">
        <v>4.1609999999999996</v>
      </c>
      <c r="AJ281" s="840">
        <v>15.744999999999999</v>
      </c>
      <c r="AK281" s="849">
        <v>2.95</v>
      </c>
      <c r="AL281" s="849">
        <v>4.4480000000000004</v>
      </c>
      <c r="AM281" s="842">
        <v>4.2030000000000003</v>
      </c>
      <c r="AN281" s="843">
        <f>AN280*AN284</f>
        <v>3.4437042136284206</v>
      </c>
      <c r="AO281" s="844">
        <f t="shared" si="246"/>
        <v>15.044704213628421</v>
      </c>
      <c r="AP281" s="843">
        <f t="shared" ref="AP281:AS281" ca="1" si="254">AP280*AP284</f>
        <v>2.8893972265071497</v>
      </c>
      <c r="AQ281" s="843">
        <f t="shared" ca="1" si="254"/>
        <v>3.7950701530130977</v>
      </c>
      <c r="AR281" s="843">
        <f t="shared" ca="1" si="254"/>
        <v>3.7785380985214636</v>
      </c>
      <c r="AS281" s="843">
        <f t="shared" ca="1" si="254"/>
        <v>3.5283335589574927</v>
      </c>
      <c r="AT281" s="844">
        <f t="shared" ca="1" si="247"/>
        <v>13.991339036999204</v>
      </c>
      <c r="AU281" s="844">
        <f t="shared" ref="AU281:AW281" ca="1" si="255">AU280*AU284</f>
        <v>15.122003341721443</v>
      </c>
      <c r="AV281" s="844">
        <f t="shared" ca="1" si="255"/>
        <v>15.78838095230779</v>
      </c>
      <c r="AW281" s="844">
        <f t="shared" ca="1" si="255"/>
        <v>16.625126864349429</v>
      </c>
      <c r="AX281" s="793"/>
    </row>
    <row r="282" spans="1:50" s="7" customFormat="1" hidden="1" outlineLevel="1" x14ac:dyDescent="0.45">
      <c r="A282" s="53" t="s">
        <v>61</v>
      </c>
      <c r="B282" s="146"/>
      <c r="C282" s="845">
        <f t="shared" ref="C282:AW282" si="256">C280-C281</f>
        <v>76.218000000000032</v>
      </c>
      <c r="D282" s="845">
        <f t="shared" si="256"/>
        <v>94.416000000000054</v>
      </c>
      <c r="E282" s="845">
        <f t="shared" si="256"/>
        <v>116.30700000000002</v>
      </c>
      <c r="F282" s="845">
        <f t="shared" si="256"/>
        <v>67.645999999999901</v>
      </c>
      <c r="G282" s="846">
        <f t="shared" si="256"/>
        <v>14.585999999999995</v>
      </c>
      <c r="H282" s="846">
        <f t="shared" si="256"/>
        <v>13.355999999999998</v>
      </c>
      <c r="I282" s="846">
        <f t="shared" si="256"/>
        <v>6.7309999999999928</v>
      </c>
      <c r="J282" s="846">
        <f t="shared" si="256"/>
        <v>7.454000000000006</v>
      </c>
      <c r="K282" s="845">
        <f t="shared" si="256"/>
        <v>41.996000000000009</v>
      </c>
      <c r="L282" s="846">
        <f t="shared" si="256"/>
        <v>7.7890000000000157</v>
      </c>
      <c r="M282" s="846">
        <f t="shared" si="256"/>
        <v>7.7219999999999915</v>
      </c>
      <c r="N282" s="846">
        <f t="shared" si="256"/>
        <v>9.6959999999999997</v>
      </c>
      <c r="O282" s="846">
        <f t="shared" si="256"/>
        <v>12.52399999999999</v>
      </c>
      <c r="P282" s="845">
        <f t="shared" si="256"/>
        <v>37.731999999999985</v>
      </c>
      <c r="Q282" s="846">
        <f t="shared" si="256"/>
        <v>9.5450000000000124</v>
      </c>
      <c r="R282" s="846">
        <f t="shared" si="256"/>
        <v>12.972999999999997</v>
      </c>
      <c r="S282" s="846">
        <f t="shared" si="256"/>
        <v>10.043000000000015</v>
      </c>
      <c r="T282" s="846">
        <f t="shared" si="256"/>
        <v>11.540000000000013</v>
      </c>
      <c r="U282" s="845">
        <f t="shared" si="256"/>
        <v>44.120999999999967</v>
      </c>
      <c r="V282" s="846">
        <f t="shared" si="256"/>
        <v>9.3460000000000001</v>
      </c>
      <c r="W282" s="846">
        <f t="shared" si="256"/>
        <v>14.368000000000009</v>
      </c>
      <c r="X282" s="859">
        <f t="shared" si="256"/>
        <v>14.359999999999996</v>
      </c>
      <c r="Y282" s="846">
        <f t="shared" si="256"/>
        <v>12.695999999999987</v>
      </c>
      <c r="Z282" s="845">
        <f t="shared" si="256"/>
        <v>50.770000000000032</v>
      </c>
      <c r="AA282" s="846">
        <f t="shared" si="256"/>
        <v>10.471000000000011</v>
      </c>
      <c r="AB282" s="846">
        <f t="shared" si="256"/>
        <v>14.215000000000003</v>
      </c>
      <c r="AC282" s="859">
        <f t="shared" si="256"/>
        <v>9.3840000000000057</v>
      </c>
      <c r="AD282" s="846">
        <f t="shared" si="256"/>
        <v>10.419999999999998</v>
      </c>
      <c r="AE282" s="845">
        <f t="shared" si="256"/>
        <v>44.489999999999974</v>
      </c>
      <c r="AF282" s="846">
        <f t="shared" si="256"/>
        <v>12.246000000000002</v>
      </c>
      <c r="AG282" s="846">
        <f t="shared" si="256"/>
        <v>15.602000000000004</v>
      </c>
      <c r="AH282" s="859">
        <f t="shared" si="256"/>
        <v>13.218999999999994</v>
      </c>
      <c r="AI282" s="846">
        <f t="shared" si="256"/>
        <v>14.758000000000008</v>
      </c>
      <c r="AJ282" s="845">
        <f t="shared" si="256"/>
        <v>55.825000000000038</v>
      </c>
      <c r="AK282" s="846">
        <f t="shared" si="256"/>
        <v>10.458000000000002</v>
      </c>
      <c r="AL282" s="846">
        <f t="shared" si="256"/>
        <v>15.771999999999998</v>
      </c>
      <c r="AM282" s="847">
        <f t="shared" si="256"/>
        <v>14.899000000000001</v>
      </c>
      <c r="AN282" s="859">
        <f t="shared" si="256"/>
        <v>12.209496757409855</v>
      </c>
      <c r="AO282" s="845">
        <f t="shared" si="256"/>
        <v>53.338496757409828</v>
      </c>
      <c r="AP282" s="859">
        <f t="shared" ca="1" si="256"/>
        <v>10.24422653034353</v>
      </c>
      <c r="AQ282" s="859">
        <f t="shared" ca="1" si="256"/>
        <v>13.455248724319164</v>
      </c>
      <c r="AR282" s="859">
        <f t="shared" ca="1" si="256"/>
        <v>13.396635076576098</v>
      </c>
      <c r="AS282" s="859">
        <f t="shared" ca="1" si="256"/>
        <v>12.509546254485656</v>
      </c>
      <c r="AT282" s="845">
        <f t="shared" ref="AT282" ca="1" si="257">AT280-AT281</f>
        <v>49.605656585724461</v>
      </c>
      <c r="AU282" s="860">
        <f t="shared" ca="1" si="256"/>
        <v>53.614375484285112</v>
      </c>
      <c r="AV282" s="860">
        <f t="shared" ca="1" si="256"/>
        <v>55.976987012727619</v>
      </c>
      <c r="AW282" s="860">
        <f t="shared" ca="1" si="256"/>
        <v>58.943631609966161</v>
      </c>
      <c r="AX282" s="795"/>
    </row>
    <row r="283" spans="1:50" s="7" customFormat="1" ht="6.75" hidden="1" customHeight="1" outlineLevel="1" x14ac:dyDescent="0.45">
      <c r="A283" s="634"/>
      <c r="B283" s="635"/>
      <c r="C283" s="851"/>
      <c r="D283" s="851"/>
      <c r="E283" s="851"/>
      <c r="F283" s="851"/>
      <c r="G283" s="852"/>
      <c r="H283" s="852"/>
      <c r="I283" s="852"/>
      <c r="J283" s="852"/>
      <c r="K283" s="851"/>
      <c r="L283" s="852"/>
      <c r="M283" s="852"/>
      <c r="N283" s="852"/>
      <c r="O283" s="852"/>
      <c r="P283" s="851"/>
      <c r="Q283" s="852"/>
      <c r="R283" s="852"/>
      <c r="S283" s="852"/>
      <c r="T283" s="852"/>
      <c r="U283" s="851"/>
      <c r="V283" s="852"/>
      <c r="W283" s="852"/>
      <c r="X283" s="866"/>
      <c r="Y283" s="852"/>
      <c r="Z283" s="851"/>
      <c r="AA283" s="852"/>
      <c r="AB283" s="852"/>
      <c r="AC283" s="866"/>
      <c r="AD283" s="852"/>
      <c r="AE283" s="851"/>
      <c r="AF283" s="852"/>
      <c r="AG283" s="852"/>
      <c r="AH283" s="866"/>
      <c r="AI283" s="852"/>
      <c r="AJ283" s="851"/>
      <c r="AK283" s="852"/>
      <c r="AL283" s="852"/>
      <c r="AM283" s="853"/>
      <c r="AN283" s="866"/>
      <c r="AO283" s="851"/>
      <c r="AP283" s="866"/>
      <c r="AQ283" s="866"/>
      <c r="AR283" s="866"/>
      <c r="AS283" s="866"/>
      <c r="AT283" s="851"/>
      <c r="AU283" s="881"/>
      <c r="AV283" s="881"/>
      <c r="AW283" s="881"/>
      <c r="AX283" s="795"/>
    </row>
    <row r="284" spans="1:50" s="202" customFormat="1" hidden="1" outlineLevel="1" x14ac:dyDescent="0.45">
      <c r="A284" s="765" t="s">
        <v>587</v>
      </c>
      <c r="B284" s="766"/>
      <c r="C284" s="740"/>
      <c r="D284" s="740"/>
      <c r="E284" s="740"/>
      <c r="F284" s="740">
        <f>F281/F280</f>
        <v>0.32000402090872565</v>
      </c>
      <c r="G284" s="407">
        <f t="shared" ref="G284:AO284" si="258">G281/G280</f>
        <v>0.33097880928355206</v>
      </c>
      <c r="H284" s="407">
        <f t="shared" si="258"/>
        <v>0.34899590563462668</v>
      </c>
      <c r="I284" s="407">
        <f t="shared" si="258"/>
        <v>0.31817260940032438</v>
      </c>
      <c r="J284" s="407">
        <f t="shared" si="258"/>
        <v>0.30802079465280341</v>
      </c>
      <c r="K284" s="740">
        <f t="shared" si="258"/>
        <v>0.33299450462183533</v>
      </c>
      <c r="L284" s="407">
        <f t="shared" si="258"/>
        <v>0.34270042194092781</v>
      </c>
      <c r="M284" s="407">
        <f t="shared" si="258"/>
        <v>0.35005470919956255</v>
      </c>
      <c r="N284" s="407">
        <f t="shared" si="258"/>
        <v>0.24072043852779954</v>
      </c>
      <c r="O284" s="407">
        <f t="shared" si="258"/>
        <v>0.26107734969614738</v>
      </c>
      <c r="P284" s="740">
        <f t="shared" si="258"/>
        <v>0.29406922357343318</v>
      </c>
      <c r="Q284" s="407">
        <f t="shared" si="258"/>
        <v>0.30546460016008126</v>
      </c>
      <c r="R284" s="407">
        <f t="shared" si="258"/>
        <v>0.3049930354655524</v>
      </c>
      <c r="S284" s="407">
        <f t="shared" si="258"/>
        <v>0.30498269896193742</v>
      </c>
      <c r="T284" s="407">
        <f t="shared" si="258"/>
        <v>0.30498675018067911</v>
      </c>
      <c r="U284" s="740">
        <f t="shared" si="258"/>
        <v>0.3049950380416806</v>
      </c>
      <c r="V284" s="407">
        <f t="shared" si="258"/>
        <v>0.30497508738008478</v>
      </c>
      <c r="W284" s="407">
        <f t="shared" si="258"/>
        <v>0.30502079907129714</v>
      </c>
      <c r="X284" s="373">
        <f t="shared" si="258"/>
        <v>0.30500435582228252</v>
      </c>
      <c r="Y284" s="407">
        <f t="shared" si="258"/>
        <v>0.30501423253777121</v>
      </c>
      <c r="Z284" s="740">
        <f t="shared" si="258"/>
        <v>0.30500609163461129</v>
      </c>
      <c r="AA284" s="407">
        <f t="shared" si="258"/>
        <v>0.30499137129961479</v>
      </c>
      <c r="AB284" s="407">
        <f t="shared" si="258"/>
        <v>0.30502591180209243</v>
      </c>
      <c r="AC284" s="373">
        <f t="shared" si="258"/>
        <v>0.304991853058806</v>
      </c>
      <c r="AD284" s="407">
        <f t="shared" si="258"/>
        <v>0.30500900420196098</v>
      </c>
      <c r="AE284" s="740">
        <f t="shared" si="258"/>
        <v>0.3050066390689683</v>
      </c>
      <c r="AF284" s="407">
        <f t="shared" si="258"/>
        <v>0.21999999999999997</v>
      </c>
      <c r="AG284" s="407">
        <f t="shared" si="258"/>
        <v>0.22001699745038239</v>
      </c>
      <c r="AH284" s="373">
        <f t="shared" si="258"/>
        <v>0.22002596176540015</v>
      </c>
      <c r="AI284" s="407">
        <f t="shared" si="258"/>
        <v>0.21993762883873344</v>
      </c>
      <c r="AJ284" s="740">
        <f t="shared" si="258"/>
        <v>0.21999441106608902</v>
      </c>
      <c r="AK284" s="407">
        <f t="shared" si="258"/>
        <v>0.22001789976133651</v>
      </c>
      <c r="AL284" s="407">
        <f t="shared" si="258"/>
        <v>0.21998021760633041</v>
      </c>
      <c r="AM284" s="741">
        <f t="shared" si="258"/>
        <v>0.22002931630195793</v>
      </c>
      <c r="AN284" s="770">
        <v>0.22</v>
      </c>
      <c r="AO284" s="740">
        <f t="shared" si="258"/>
        <v>0.22000584938982568</v>
      </c>
      <c r="AP284" s="770">
        <v>0.22</v>
      </c>
      <c r="AQ284" s="770">
        <v>0.22</v>
      </c>
      <c r="AR284" s="770">
        <v>0.22</v>
      </c>
      <c r="AS284" s="770">
        <v>0.22</v>
      </c>
      <c r="AT284" s="740">
        <f t="shared" ref="AT284" ca="1" si="259">AT281/AT280</f>
        <v>0.21999999999999997</v>
      </c>
      <c r="AU284" s="771">
        <v>0.22</v>
      </c>
      <c r="AV284" s="771">
        <v>0.22</v>
      </c>
      <c r="AW284" s="771">
        <v>0.22</v>
      </c>
      <c r="AX284" s="182"/>
    </row>
    <row r="285" spans="1:50" s="7" customFormat="1" hidden="1" outlineLevel="1" x14ac:dyDescent="0.45">
      <c r="A285" s="634"/>
      <c r="B285" s="635"/>
      <c r="C285" s="851"/>
      <c r="D285" s="851"/>
      <c r="E285" s="851"/>
      <c r="F285" s="851"/>
      <c r="G285" s="852"/>
      <c r="H285" s="852"/>
      <c r="I285" s="852"/>
      <c r="J285" s="852"/>
      <c r="K285" s="851"/>
      <c r="L285" s="852"/>
      <c r="M285" s="852"/>
      <c r="N285" s="852"/>
      <c r="O285" s="852"/>
      <c r="P285" s="851"/>
      <c r="Q285" s="852"/>
      <c r="R285" s="852"/>
      <c r="S285" s="852"/>
      <c r="T285" s="852"/>
      <c r="U285" s="851"/>
      <c r="V285" s="852"/>
      <c r="W285" s="852"/>
      <c r="X285" s="866"/>
      <c r="Y285" s="852"/>
      <c r="Z285" s="851"/>
      <c r="AA285" s="852"/>
      <c r="AB285" s="852"/>
      <c r="AC285" s="866"/>
      <c r="AD285" s="852"/>
      <c r="AE285" s="851"/>
      <c r="AF285" s="852"/>
      <c r="AG285" s="852"/>
      <c r="AH285" s="866"/>
      <c r="AI285" s="852"/>
      <c r="AJ285" s="851"/>
      <c r="AK285" s="852"/>
      <c r="AL285" s="852"/>
      <c r="AM285" s="853"/>
      <c r="AN285" s="866"/>
      <c r="AO285" s="851"/>
      <c r="AP285" s="866"/>
      <c r="AQ285" s="866"/>
      <c r="AR285" s="866"/>
      <c r="AS285" s="866"/>
      <c r="AT285" s="851"/>
      <c r="AU285" s="881"/>
      <c r="AV285" s="881"/>
      <c r="AW285" s="881"/>
      <c r="AX285" s="795"/>
    </row>
    <row r="286" spans="1:50" s="29" customFormat="1" hidden="1" outlineLevel="1" x14ac:dyDescent="0.45">
      <c r="A286" s="637" t="s">
        <v>386</v>
      </c>
      <c r="B286" s="636"/>
      <c r="C286" s="840">
        <f t="shared" ref="C286:AW286" si="260">C516</f>
        <v>55.219999999999985</v>
      </c>
      <c r="D286" s="840">
        <f t="shared" si="260"/>
        <v>70.316999999999993</v>
      </c>
      <c r="E286" s="840">
        <f t="shared" si="260"/>
        <v>78.105000000000018</v>
      </c>
      <c r="F286" s="840">
        <f t="shared" si="260"/>
        <v>68.064999999999998</v>
      </c>
      <c r="G286" s="841">
        <f t="shared" si="260"/>
        <v>31.526999999999997</v>
      </c>
      <c r="H286" s="841">
        <f t="shared" si="260"/>
        <v>11.874000000000004</v>
      </c>
      <c r="I286" s="841">
        <f t="shared" si="260"/>
        <v>28.169999999999998</v>
      </c>
      <c r="J286" s="841">
        <f t="shared" si="260"/>
        <v>32.479999999999997</v>
      </c>
      <c r="K286" s="840">
        <f t="shared" si="260"/>
        <v>104.05099999999999</v>
      </c>
      <c r="L286" s="841">
        <f t="shared" si="260"/>
        <v>18.564999999999998</v>
      </c>
      <c r="M286" s="841">
        <f t="shared" si="260"/>
        <v>24.176000000000002</v>
      </c>
      <c r="N286" s="841">
        <f t="shared" si="260"/>
        <v>15.964999999999996</v>
      </c>
      <c r="O286" s="841">
        <f t="shared" si="260"/>
        <v>24.052000000000003</v>
      </c>
      <c r="P286" s="840">
        <f t="shared" si="260"/>
        <v>82.75800000000001</v>
      </c>
      <c r="Q286" s="841">
        <f t="shared" si="260"/>
        <v>3.7070000000000012</v>
      </c>
      <c r="R286" s="841">
        <f t="shared" si="260"/>
        <v>10.179000000000004</v>
      </c>
      <c r="S286" s="841">
        <f t="shared" si="260"/>
        <v>13.405999999999999</v>
      </c>
      <c r="T286" s="841">
        <f t="shared" si="260"/>
        <v>13.504000000000005</v>
      </c>
      <c r="U286" s="840">
        <f t="shared" si="260"/>
        <v>40.796000000000014</v>
      </c>
      <c r="V286" s="841">
        <f t="shared" si="260"/>
        <v>12.933000000000003</v>
      </c>
      <c r="W286" s="841">
        <f t="shared" si="260"/>
        <v>43.452000000000005</v>
      </c>
      <c r="X286" s="861">
        <f t="shared" si="260"/>
        <v>25.037999999999993</v>
      </c>
      <c r="Y286" s="841">
        <f t="shared" si="260"/>
        <v>29.168999999999997</v>
      </c>
      <c r="Z286" s="840">
        <f t="shared" si="260"/>
        <v>110.592</v>
      </c>
      <c r="AA286" s="841">
        <f t="shared" si="260"/>
        <v>13.793000000000001</v>
      </c>
      <c r="AB286" s="841">
        <f t="shared" si="260"/>
        <v>24.301000000000002</v>
      </c>
      <c r="AC286" s="861">
        <f t="shared" si="260"/>
        <v>17.157999999999994</v>
      </c>
      <c r="AD286" s="841">
        <f t="shared" si="260"/>
        <v>18.790999999999997</v>
      </c>
      <c r="AE286" s="840">
        <f t="shared" si="260"/>
        <v>74.043000000000006</v>
      </c>
      <c r="AF286" s="841">
        <f t="shared" si="260"/>
        <v>3.0119999999999996</v>
      </c>
      <c r="AG286" s="841">
        <f t="shared" si="260"/>
        <v>11.904000000000014</v>
      </c>
      <c r="AH286" s="861">
        <f t="shared" si="260"/>
        <v>18.362999999999996</v>
      </c>
      <c r="AI286" s="841">
        <f t="shared" si="260"/>
        <v>17.196000000000009</v>
      </c>
      <c r="AJ286" s="840">
        <f t="shared" si="260"/>
        <v>50.475000000000009</v>
      </c>
      <c r="AK286" s="841">
        <f t="shared" si="260"/>
        <v>16.996999999999996</v>
      </c>
      <c r="AL286" s="841">
        <f t="shared" si="260"/>
        <v>23.767000000000003</v>
      </c>
      <c r="AM286" s="842">
        <f t="shared" si="260"/>
        <v>23.607000000000014</v>
      </c>
      <c r="AN286" s="861">
        <f t="shared" si="260"/>
        <v>16.852703115349748</v>
      </c>
      <c r="AO286" s="840">
        <f t="shared" si="260"/>
        <v>81.223703115349736</v>
      </c>
      <c r="AP286" s="861">
        <f t="shared" ca="1" si="260"/>
        <v>19.201664733461257</v>
      </c>
      <c r="AQ286" s="861">
        <f t="shared" ca="1" si="260"/>
        <v>22.458521682346539</v>
      </c>
      <c r="AR286" s="861">
        <f t="shared" ca="1" si="260"/>
        <v>20.94487657902382</v>
      </c>
      <c r="AS286" s="861">
        <f t="shared" ca="1" si="260"/>
        <v>20.873978910536675</v>
      </c>
      <c r="AT286" s="840">
        <f t="shared" ca="1" si="260"/>
        <v>83.479041905368277</v>
      </c>
      <c r="AU286" s="882">
        <f t="shared" ca="1" si="260"/>
        <v>87.843525803765758</v>
      </c>
      <c r="AV286" s="882">
        <f t="shared" ca="1" si="260"/>
        <v>89.621853959983213</v>
      </c>
      <c r="AW286" s="882">
        <f t="shared" ca="1" si="260"/>
        <v>93.574791047762631</v>
      </c>
      <c r="AX286" s="793"/>
    </row>
    <row r="287" spans="1:50" s="29" customFormat="1" hidden="1" outlineLevel="1" x14ac:dyDescent="0.45">
      <c r="A287" s="637" t="s">
        <v>387</v>
      </c>
      <c r="B287" s="636"/>
      <c r="C287" s="840">
        <f t="shared" ref="C287:AW287" si="261">C359</f>
        <v>-12.856</v>
      </c>
      <c r="D287" s="840">
        <f t="shared" si="261"/>
        <v>-17.499000000000002</v>
      </c>
      <c r="E287" s="840">
        <f t="shared" si="261"/>
        <v>-23.420999999999999</v>
      </c>
      <c r="F287" s="840">
        <f t="shared" si="261"/>
        <v>-39.423999999999999</v>
      </c>
      <c r="G287" s="841">
        <f t="shared" si="261"/>
        <v>-9.1349999999999998</v>
      </c>
      <c r="H287" s="841">
        <f t="shared" si="261"/>
        <v>-10.771000000000001</v>
      </c>
      <c r="I287" s="841">
        <f t="shared" si="261"/>
        <v>-6.4560000000000022</v>
      </c>
      <c r="J287" s="841">
        <f t="shared" si="261"/>
        <v>-2.3559999999999972</v>
      </c>
      <c r="K287" s="840">
        <f t="shared" si="261"/>
        <v>-28.718</v>
      </c>
      <c r="L287" s="841">
        <f t="shared" si="261"/>
        <v>-5.157</v>
      </c>
      <c r="M287" s="841">
        <f t="shared" si="261"/>
        <v>-5.7149999999999999</v>
      </c>
      <c r="N287" s="841">
        <f t="shared" si="261"/>
        <v>-4.1070000000000002</v>
      </c>
      <c r="O287" s="841">
        <f t="shared" si="261"/>
        <v>-6.1530000000000005</v>
      </c>
      <c r="P287" s="840">
        <f t="shared" si="261"/>
        <v>-21.132000000000001</v>
      </c>
      <c r="Q287" s="841">
        <f t="shared" si="261"/>
        <v>-6.9719999999999995</v>
      </c>
      <c r="R287" s="841">
        <f t="shared" si="261"/>
        <v>-5.7270000000000003</v>
      </c>
      <c r="S287" s="841">
        <f t="shared" si="261"/>
        <v>-8.8309999999999995</v>
      </c>
      <c r="T287" s="841">
        <f t="shared" si="261"/>
        <v>-7.1580000000000013</v>
      </c>
      <c r="U287" s="840">
        <f t="shared" si="261"/>
        <v>-28.688000000000002</v>
      </c>
      <c r="V287" s="841">
        <f t="shared" si="261"/>
        <v>-6.41</v>
      </c>
      <c r="W287" s="841">
        <f t="shared" si="261"/>
        <v>-3.8979999999999997</v>
      </c>
      <c r="X287" s="861">
        <f t="shared" si="261"/>
        <v>-4.3050000000000015</v>
      </c>
      <c r="Y287" s="841">
        <f t="shared" si="261"/>
        <v>-5.8009999999999984</v>
      </c>
      <c r="Z287" s="840">
        <f t="shared" si="261"/>
        <v>-20.414000000000001</v>
      </c>
      <c r="AA287" s="841">
        <f t="shared" si="261"/>
        <v>-7.7190000000000003</v>
      </c>
      <c r="AB287" s="841">
        <f t="shared" si="261"/>
        <v>-7.3280000000000003</v>
      </c>
      <c r="AC287" s="861">
        <f t="shared" si="261"/>
        <v>-6.2059999999999995</v>
      </c>
      <c r="AD287" s="841">
        <f t="shared" si="261"/>
        <v>-7.4129999999999985</v>
      </c>
      <c r="AE287" s="840">
        <f t="shared" si="261"/>
        <v>-28.665999999999997</v>
      </c>
      <c r="AF287" s="841">
        <f>AF359</f>
        <v>-6.9640000000000004</v>
      </c>
      <c r="AG287" s="841">
        <f t="shared" si="261"/>
        <v>-6.3559999999999999</v>
      </c>
      <c r="AH287" s="861">
        <f t="shared" si="261"/>
        <v>-5.641</v>
      </c>
      <c r="AI287" s="841">
        <f t="shared" si="261"/>
        <v>-6.5620000000000021</v>
      </c>
      <c r="AJ287" s="840">
        <f t="shared" si="261"/>
        <v>-25.523000000000003</v>
      </c>
      <c r="AK287" s="841">
        <f t="shared" si="261"/>
        <v>-8.4239999999999995</v>
      </c>
      <c r="AL287" s="841">
        <f t="shared" si="261"/>
        <v>-6.669999999999999</v>
      </c>
      <c r="AM287" s="842">
        <f t="shared" si="261"/>
        <v>-6.6420000000000003</v>
      </c>
      <c r="AN287" s="861">
        <f t="shared" si="261"/>
        <v>-7.2</v>
      </c>
      <c r="AO287" s="840">
        <f t="shared" si="261"/>
        <v>-28.936</v>
      </c>
      <c r="AP287" s="861">
        <f t="shared" si="261"/>
        <v>-7.4</v>
      </c>
      <c r="AQ287" s="861">
        <f t="shared" si="261"/>
        <v>-7.4</v>
      </c>
      <c r="AR287" s="861">
        <f t="shared" si="261"/>
        <v>-7.4</v>
      </c>
      <c r="AS287" s="861">
        <f t="shared" si="261"/>
        <v>-7.4</v>
      </c>
      <c r="AT287" s="840">
        <f t="shared" si="261"/>
        <v>-29.6</v>
      </c>
      <c r="AU287" s="882">
        <f t="shared" si="261"/>
        <v>-31</v>
      </c>
      <c r="AV287" s="882">
        <f t="shared" si="261"/>
        <v>-32.4</v>
      </c>
      <c r="AW287" s="882">
        <f t="shared" si="261"/>
        <v>-33.799999999999997</v>
      </c>
      <c r="AX287" s="793"/>
    </row>
    <row r="288" spans="1:50" s="7" customFormat="1" hidden="1" outlineLevel="1" x14ac:dyDescent="0.45">
      <c r="A288" s="53" t="s">
        <v>388</v>
      </c>
      <c r="B288" s="146"/>
      <c r="C288" s="845">
        <f t="shared" ref="C288:AW288" si="262">C286+C287</f>
        <v>42.363999999999983</v>
      </c>
      <c r="D288" s="845">
        <f t="shared" si="262"/>
        <v>52.817999999999991</v>
      </c>
      <c r="E288" s="845">
        <f t="shared" si="262"/>
        <v>54.684000000000019</v>
      </c>
      <c r="F288" s="845">
        <f t="shared" si="262"/>
        <v>28.640999999999998</v>
      </c>
      <c r="G288" s="846">
        <f t="shared" si="262"/>
        <v>22.391999999999996</v>
      </c>
      <c r="H288" s="846">
        <f t="shared" si="262"/>
        <v>1.1030000000000033</v>
      </c>
      <c r="I288" s="846">
        <f t="shared" si="262"/>
        <v>21.713999999999995</v>
      </c>
      <c r="J288" s="846">
        <f t="shared" si="262"/>
        <v>30.123999999999999</v>
      </c>
      <c r="K288" s="845">
        <f t="shared" si="262"/>
        <v>75.332999999999984</v>
      </c>
      <c r="L288" s="846">
        <f t="shared" si="262"/>
        <v>13.407999999999998</v>
      </c>
      <c r="M288" s="846">
        <f t="shared" si="262"/>
        <v>18.461000000000002</v>
      </c>
      <c r="N288" s="846">
        <f t="shared" si="262"/>
        <v>11.857999999999997</v>
      </c>
      <c r="O288" s="846">
        <f t="shared" si="262"/>
        <v>17.899000000000001</v>
      </c>
      <c r="P288" s="845">
        <f t="shared" si="262"/>
        <v>61.626000000000005</v>
      </c>
      <c r="Q288" s="846">
        <f t="shared" si="262"/>
        <v>-3.2649999999999983</v>
      </c>
      <c r="R288" s="846">
        <f t="shared" si="262"/>
        <v>4.4520000000000035</v>
      </c>
      <c r="S288" s="846">
        <f t="shared" si="262"/>
        <v>4.5749999999999993</v>
      </c>
      <c r="T288" s="846">
        <f t="shared" si="262"/>
        <v>6.3460000000000036</v>
      </c>
      <c r="U288" s="845">
        <f t="shared" si="262"/>
        <v>12.108000000000011</v>
      </c>
      <c r="V288" s="846">
        <f t="shared" si="262"/>
        <v>6.5230000000000032</v>
      </c>
      <c r="W288" s="846">
        <f t="shared" si="262"/>
        <v>39.554000000000002</v>
      </c>
      <c r="X288" s="859">
        <f t="shared" si="262"/>
        <v>20.73299999999999</v>
      </c>
      <c r="Y288" s="846">
        <f t="shared" si="262"/>
        <v>23.367999999999999</v>
      </c>
      <c r="Z288" s="845">
        <f t="shared" si="262"/>
        <v>90.177999999999997</v>
      </c>
      <c r="AA288" s="846">
        <f t="shared" si="262"/>
        <v>6.0740000000000007</v>
      </c>
      <c r="AB288" s="846">
        <f t="shared" si="262"/>
        <v>16.973000000000003</v>
      </c>
      <c r="AC288" s="859">
        <f t="shared" si="262"/>
        <v>10.951999999999995</v>
      </c>
      <c r="AD288" s="846">
        <f t="shared" si="262"/>
        <v>11.377999999999998</v>
      </c>
      <c r="AE288" s="845">
        <f t="shared" si="262"/>
        <v>45.37700000000001</v>
      </c>
      <c r="AF288" s="846">
        <f t="shared" si="262"/>
        <v>-3.9520000000000008</v>
      </c>
      <c r="AG288" s="846">
        <f t="shared" si="262"/>
        <v>5.5480000000000143</v>
      </c>
      <c r="AH288" s="859">
        <f t="shared" si="262"/>
        <v>12.721999999999996</v>
      </c>
      <c r="AI288" s="846">
        <f t="shared" si="262"/>
        <v>10.634000000000007</v>
      </c>
      <c r="AJ288" s="845">
        <f t="shared" si="262"/>
        <v>24.952000000000005</v>
      </c>
      <c r="AK288" s="846">
        <f t="shared" si="262"/>
        <v>8.5729999999999968</v>
      </c>
      <c r="AL288" s="846">
        <f t="shared" si="262"/>
        <v>17.097000000000005</v>
      </c>
      <c r="AM288" s="847">
        <f t="shared" si="262"/>
        <v>16.965000000000014</v>
      </c>
      <c r="AN288" s="859">
        <f t="shared" si="262"/>
        <v>9.6527031153497482</v>
      </c>
      <c r="AO288" s="845">
        <f t="shared" si="262"/>
        <v>52.287703115349736</v>
      </c>
      <c r="AP288" s="859">
        <f t="shared" ca="1" si="262"/>
        <v>11.801664733461257</v>
      </c>
      <c r="AQ288" s="859">
        <f t="shared" ca="1" si="262"/>
        <v>15.058521682346539</v>
      </c>
      <c r="AR288" s="859">
        <f t="shared" ca="1" si="262"/>
        <v>13.544876579023819</v>
      </c>
      <c r="AS288" s="859">
        <f t="shared" ca="1" si="262"/>
        <v>13.473978910536674</v>
      </c>
      <c r="AT288" s="845">
        <f t="shared" ca="1" si="262"/>
        <v>53.879041905368275</v>
      </c>
      <c r="AU288" s="860">
        <f t="shared" ca="1" si="262"/>
        <v>56.843525803765758</v>
      </c>
      <c r="AV288" s="860">
        <f t="shared" ca="1" si="262"/>
        <v>57.221853959983214</v>
      </c>
      <c r="AW288" s="860">
        <f t="shared" ca="1" si="262"/>
        <v>59.774791047762633</v>
      </c>
      <c r="AX288" s="795"/>
    </row>
    <row r="289" spans="1:50" s="7" customFormat="1" hidden="1" outlineLevel="1" x14ac:dyDescent="0.45">
      <c r="A289" s="634"/>
      <c r="B289" s="635"/>
      <c r="C289" s="851"/>
      <c r="D289" s="851"/>
      <c r="E289" s="851"/>
      <c r="F289" s="851"/>
      <c r="G289" s="852"/>
      <c r="H289" s="852"/>
      <c r="I289" s="852"/>
      <c r="J289" s="852"/>
      <c r="K289" s="851"/>
      <c r="L289" s="852"/>
      <c r="M289" s="852"/>
      <c r="N289" s="852"/>
      <c r="O289" s="852"/>
      <c r="P289" s="851"/>
      <c r="Q289" s="852"/>
      <c r="R289" s="852"/>
      <c r="S289" s="852"/>
      <c r="T289" s="852"/>
      <c r="U289" s="851"/>
      <c r="V289" s="852"/>
      <c r="W289" s="852"/>
      <c r="X289" s="866"/>
      <c r="Y289" s="852"/>
      <c r="Z289" s="851"/>
      <c r="AA289" s="852"/>
      <c r="AB289" s="852"/>
      <c r="AC289" s="866"/>
      <c r="AD289" s="852"/>
      <c r="AE289" s="851"/>
      <c r="AF289" s="852"/>
      <c r="AG289" s="852"/>
      <c r="AH289" s="866"/>
      <c r="AI289" s="852"/>
      <c r="AJ289" s="851"/>
      <c r="AK289" s="852"/>
      <c r="AL289" s="852"/>
      <c r="AM289" s="853"/>
      <c r="AN289" s="866"/>
      <c r="AO289" s="851"/>
      <c r="AP289" s="866"/>
      <c r="AQ289" s="866"/>
      <c r="AR289" s="866"/>
      <c r="AS289" s="866"/>
      <c r="AT289" s="851"/>
      <c r="AU289" s="881"/>
      <c r="AV289" s="881"/>
      <c r="AW289" s="881"/>
      <c r="AX289" s="795"/>
    </row>
    <row r="290" spans="1:50" s="29" customFormat="1" hidden="1" outlineLevel="1" x14ac:dyDescent="0.45">
      <c r="A290" s="650" t="s">
        <v>394</v>
      </c>
      <c r="B290" s="651"/>
      <c r="C290" s="882">
        <v>8.5000000000000006E-2</v>
      </c>
      <c r="D290" s="882">
        <v>0.27200000000000002</v>
      </c>
      <c r="E290" s="882">
        <v>0.26100000000000001</v>
      </c>
      <c r="F290" s="882">
        <v>0.20100000000000001</v>
      </c>
      <c r="G290" s="861">
        <v>7.3999999999999996E-2</v>
      </c>
      <c r="H290" s="861">
        <v>8.8999999999999996E-2</v>
      </c>
      <c r="I290" s="861">
        <v>0.09</v>
      </c>
      <c r="J290" s="861">
        <f>K290-SUM(G290,H290,I290)</f>
        <v>9.4999999999999973E-2</v>
      </c>
      <c r="K290" s="882">
        <v>0.34799999999999998</v>
      </c>
      <c r="L290" s="861">
        <v>8.5999999999999993E-2</v>
      </c>
      <c r="M290" s="861">
        <v>9.1999999999999998E-2</v>
      </c>
      <c r="N290" s="861">
        <v>0.105</v>
      </c>
      <c r="O290" s="861">
        <f>P290-SUM(L290,M290,N290)</f>
        <v>9.0000000000000024E-2</v>
      </c>
      <c r="P290" s="882">
        <v>0.373</v>
      </c>
      <c r="Q290" s="861">
        <v>9.7000000000000003E-2</v>
      </c>
      <c r="R290" s="861">
        <v>0.10199999999999999</v>
      </c>
      <c r="S290" s="861">
        <v>0.10100000000000001</v>
      </c>
      <c r="T290" s="861">
        <f>U290-SUM(Q290,R290,S290)</f>
        <v>0.10399999999999998</v>
      </c>
      <c r="U290" s="882">
        <v>0.40400000000000003</v>
      </c>
      <c r="V290" s="861">
        <v>0.14899999999999999</v>
      </c>
      <c r="W290" s="861">
        <v>0.16600000000000001</v>
      </c>
      <c r="X290" s="861">
        <v>0.14399999999999999</v>
      </c>
      <c r="Y290" s="861">
        <f>Z290-SUM(V290,W290,X290)</f>
        <v>5.5000000000000049E-2</v>
      </c>
      <c r="Z290" s="882">
        <v>0.51400000000000001</v>
      </c>
      <c r="AA290" s="861">
        <v>0.13700000000000001</v>
      </c>
      <c r="AB290" s="861">
        <v>0.28999999999999998</v>
      </c>
      <c r="AC290" s="861">
        <v>0.25900000000000001</v>
      </c>
      <c r="AD290" s="861">
        <f>AE290-SUM(AA290,AB290,AC290)</f>
        <v>0.252</v>
      </c>
      <c r="AE290" s="882">
        <v>0.93799999999999994</v>
      </c>
      <c r="AF290" s="861">
        <v>0.23300000000000001</v>
      </c>
      <c r="AG290" s="861">
        <v>0.34799999999999998</v>
      </c>
      <c r="AH290" s="861">
        <v>0.35799999999999998</v>
      </c>
      <c r="AI290" s="861">
        <f>AJ290-SUM(AF290,AG290,AH290)</f>
        <v>0.31300000000000006</v>
      </c>
      <c r="AJ290" s="882">
        <v>1.252</v>
      </c>
      <c r="AK290" s="861">
        <v>0.46300000000000002</v>
      </c>
      <c r="AL290" s="861">
        <v>0.53600000000000003</v>
      </c>
      <c r="AM290" s="883">
        <v>0.53100000000000003</v>
      </c>
      <c r="AN290" s="884">
        <v>0.5</v>
      </c>
      <c r="AO290" s="882">
        <f>SUM(AK290,AL290,AM290,AN290)</f>
        <v>2.0300000000000002</v>
      </c>
      <c r="AP290" s="884">
        <v>0.5</v>
      </c>
      <c r="AQ290" s="884">
        <v>0.5</v>
      </c>
      <c r="AR290" s="884">
        <v>0.5</v>
      </c>
      <c r="AS290" s="884">
        <v>0.5</v>
      </c>
      <c r="AT290" s="882">
        <f>SUM(AP290,AQ290,AR290,AS290)</f>
        <v>2</v>
      </c>
      <c r="AU290" s="885">
        <v>2</v>
      </c>
      <c r="AV290" s="885">
        <v>2</v>
      </c>
      <c r="AW290" s="885">
        <v>2</v>
      </c>
      <c r="AX290" s="793"/>
    </row>
    <row r="291" spans="1:50" s="29" customFormat="1" hidden="1" outlineLevel="1" x14ac:dyDescent="0.45">
      <c r="A291" s="650" t="s">
        <v>395</v>
      </c>
      <c r="B291" s="651"/>
      <c r="C291" s="882">
        <v>0.108</v>
      </c>
      <c r="D291" s="882">
        <v>0.152</v>
      </c>
      <c r="E291" s="882">
        <v>0.184</v>
      </c>
      <c r="F291" s="882">
        <v>0.23</v>
      </c>
      <c r="G291" s="861">
        <v>4.2000000000000003E-2</v>
      </c>
      <c r="H291" s="861">
        <v>8.8999999999999996E-2</v>
      </c>
      <c r="I291" s="861">
        <v>0.1</v>
      </c>
      <c r="J291" s="861">
        <f>K291-SUM(G291,H291,I291)</f>
        <v>9.1999999999999998E-2</v>
      </c>
      <c r="K291" s="882">
        <v>0.32300000000000001</v>
      </c>
      <c r="L291" s="861">
        <v>8.3000000000000004E-2</v>
      </c>
      <c r="M291" s="861">
        <v>9.7000000000000003E-2</v>
      </c>
      <c r="N291" s="861">
        <v>0.113</v>
      </c>
      <c r="O291" s="861">
        <f>P291-SUM(L291,M291,N291)</f>
        <v>0.10300000000000004</v>
      </c>
      <c r="P291" s="882">
        <v>0.39600000000000002</v>
      </c>
      <c r="Q291" s="861">
        <v>0.11</v>
      </c>
      <c r="R291" s="861">
        <v>0.10299999999999999</v>
      </c>
      <c r="S291" s="861">
        <v>6.7000000000000004E-2</v>
      </c>
      <c r="T291" s="861">
        <f>U291-SUM(Q291,R291,S291)</f>
        <v>3.7999999999999978E-2</v>
      </c>
      <c r="U291" s="882">
        <v>0.318</v>
      </c>
      <c r="V291" s="861">
        <v>8.3000000000000004E-2</v>
      </c>
      <c r="W291" s="861">
        <v>0.33400000000000002</v>
      </c>
      <c r="X291" s="861">
        <v>0.27300000000000002</v>
      </c>
      <c r="Y291" s="861">
        <f>Z291-SUM(V291,W291,X291)</f>
        <v>0.28299999999999992</v>
      </c>
      <c r="Z291" s="882">
        <v>0.97299999999999998</v>
      </c>
      <c r="AA291" s="861">
        <v>0.36099999999999999</v>
      </c>
      <c r="AB291" s="861">
        <v>0.51300000000000001</v>
      </c>
      <c r="AC291" s="861">
        <v>0.55700000000000005</v>
      </c>
      <c r="AD291" s="861">
        <f>AE291-SUM(AA291,AB291,AC291)</f>
        <v>0.60699999999999976</v>
      </c>
      <c r="AE291" s="882">
        <v>2.0379999999999998</v>
      </c>
      <c r="AF291" s="861">
        <v>0.61</v>
      </c>
      <c r="AG291" s="861">
        <v>0.72599999999999998</v>
      </c>
      <c r="AH291" s="861">
        <v>0.86</v>
      </c>
      <c r="AI291" s="861">
        <f>AJ291-SUM(AF291,AG291,AH291)</f>
        <v>0.72300000000000031</v>
      </c>
      <c r="AJ291" s="882">
        <v>2.919</v>
      </c>
      <c r="AK291" s="861">
        <v>1.028</v>
      </c>
      <c r="AL291" s="861">
        <v>0.81699999999999995</v>
      </c>
      <c r="AM291" s="883">
        <v>0.96299999999999997</v>
      </c>
      <c r="AN291" s="884">
        <v>0.9</v>
      </c>
      <c r="AO291" s="882">
        <f>SUM(AK291,AL291,AM291,AN291)</f>
        <v>3.7079999999999997</v>
      </c>
      <c r="AP291" s="884">
        <v>0.9</v>
      </c>
      <c r="AQ291" s="884">
        <v>0.9</v>
      </c>
      <c r="AR291" s="884">
        <v>0.9</v>
      </c>
      <c r="AS291" s="884">
        <v>0.9</v>
      </c>
      <c r="AT291" s="882">
        <f>SUM(AP291,AQ291,AR291,AS291)</f>
        <v>3.6</v>
      </c>
      <c r="AU291" s="885">
        <v>3.6</v>
      </c>
      <c r="AV291" s="885">
        <v>3.6</v>
      </c>
      <c r="AW291" s="885">
        <v>3.6</v>
      </c>
      <c r="AX291" s="793"/>
    </row>
    <row r="292" spans="1:50" s="29" customFormat="1" hidden="1" outlineLevel="1" x14ac:dyDescent="0.45">
      <c r="A292" s="650" t="s">
        <v>396</v>
      </c>
      <c r="B292" s="651"/>
      <c r="C292" s="882">
        <v>1.88</v>
      </c>
      <c r="D292" s="882">
        <v>3.3239999999999998</v>
      </c>
      <c r="E292" s="882">
        <v>2.8759999999999999</v>
      </c>
      <c r="F292" s="882">
        <v>1.8959999999999999</v>
      </c>
      <c r="G292" s="861">
        <v>0.42499999999999999</v>
      </c>
      <c r="H292" s="861">
        <v>0.40600000000000003</v>
      </c>
      <c r="I292" s="861">
        <v>0.51700000000000002</v>
      </c>
      <c r="J292" s="861">
        <f>K292-SUM(G292,H292,I292)</f>
        <v>0.47100000000000009</v>
      </c>
      <c r="K292" s="882">
        <v>1.819</v>
      </c>
      <c r="L292" s="861">
        <v>0.621</v>
      </c>
      <c r="M292" s="861">
        <v>0.67800000000000005</v>
      </c>
      <c r="N292" s="861">
        <v>0.752</v>
      </c>
      <c r="O292" s="861">
        <f>P292-SUM(L292,M292,N292)</f>
        <v>0.65199999999999969</v>
      </c>
      <c r="P292" s="882">
        <v>2.7029999999999998</v>
      </c>
      <c r="Q292" s="861">
        <v>0.47699999999999998</v>
      </c>
      <c r="R292" s="861">
        <v>0.69599999999999995</v>
      </c>
      <c r="S292" s="861">
        <v>0.57499999999999996</v>
      </c>
      <c r="T292" s="861">
        <f>U292-SUM(Q292,R292,S292)</f>
        <v>0.82499999999999996</v>
      </c>
      <c r="U292" s="882">
        <v>2.573</v>
      </c>
      <c r="V292" s="861">
        <v>1.0269999999999999</v>
      </c>
      <c r="W292" s="861">
        <v>1.4179999999999999</v>
      </c>
      <c r="X292" s="861">
        <v>1.5840000000000001</v>
      </c>
      <c r="Y292" s="861">
        <f>Z292-SUM(V292,W292,X292)</f>
        <v>2.0819999999999999</v>
      </c>
      <c r="Z292" s="882">
        <v>6.1109999999999998</v>
      </c>
      <c r="AA292" s="861">
        <v>1.5429999999999999</v>
      </c>
      <c r="AB292" s="861">
        <v>2.2879999999999998</v>
      </c>
      <c r="AC292" s="861">
        <v>2.637</v>
      </c>
      <c r="AD292" s="861">
        <f>AE292-SUM(AA292,AB292,AC292)</f>
        <v>2.7520000000000007</v>
      </c>
      <c r="AE292" s="882">
        <v>9.2200000000000006</v>
      </c>
      <c r="AF292" s="861">
        <v>2.2730000000000001</v>
      </c>
      <c r="AG292" s="861">
        <v>3.0609999999999999</v>
      </c>
      <c r="AH292" s="861">
        <v>3.48</v>
      </c>
      <c r="AI292" s="861">
        <f>AJ292-SUM(AF292,AG292,AH292)</f>
        <v>3.1169999999999991</v>
      </c>
      <c r="AJ292" s="882">
        <v>11.930999999999999</v>
      </c>
      <c r="AK292" s="861">
        <v>3.4</v>
      </c>
      <c r="AL292" s="861">
        <v>2.9630000000000001</v>
      </c>
      <c r="AM292" s="883">
        <v>3.1269999999999998</v>
      </c>
      <c r="AN292" s="884">
        <v>3.2</v>
      </c>
      <c r="AO292" s="882">
        <f>SUM(AK292,AL292,AM292,AN292)</f>
        <v>12.689999999999998</v>
      </c>
      <c r="AP292" s="884">
        <v>3.2</v>
      </c>
      <c r="AQ292" s="884">
        <v>3.2</v>
      </c>
      <c r="AR292" s="884">
        <v>3.2</v>
      </c>
      <c r="AS292" s="884">
        <v>3.2</v>
      </c>
      <c r="AT292" s="882">
        <f>SUM(AP292,AQ292,AR292,AS292)</f>
        <v>12.8</v>
      </c>
      <c r="AU292" s="885">
        <v>12.8</v>
      </c>
      <c r="AV292" s="885">
        <v>12.8</v>
      </c>
      <c r="AW292" s="885">
        <v>12.8</v>
      </c>
      <c r="AX292" s="793"/>
    </row>
    <row r="293" spans="1:50" s="7" customFormat="1" hidden="1" outlineLevel="1" x14ac:dyDescent="0.45">
      <c r="A293" s="53" t="s">
        <v>376</v>
      </c>
      <c r="B293" s="146"/>
      <c r="C293" s="845">
        <f t="shared" ref="C293:AW293" si="263">SUM(C290:C292)</f>
        <v>2.073</v>
      </c>
      <c r="D293" s="845">
        <f t="shared" si="263"/>
        <v>3.7479999999999998</v>
      </c>
      <c r="E293" s="845">
        <f t="shared" si="263"/>
        <v>3.3209999999999997</v>
      </c>
      <c r="F293" s="845">
        <f t="shared" si="263"/>
        <v>2.327</v>
      </c>
      <c r="G293" s="846">
        <f t="shared" si="263"/>
        <v>0.54099999999999993</v>
      </c>
      <c r="H293" s="846">
        <f t="shared" si="263"/>
        <v>0.58400000000000007</v>
      </c>
      <c r="I293" s="846">
        <f t="shared" si="263"/>
        <v>0.70700000000000007</v>
      </c>
      <c r="J293" s="846">
        <f t="shared" si="263"/>
        <v>0.65800000000000003</v>
      </c>
      <c r="K293" s="845">
        <f t="shared" si="263"/>
        <v>2.4900000000000002</v>
      </c>
      <c r="L293" s="846">
        <f t="shared" si="263"/>
        <v>0.79</v>
      </c>
      <c r="M293" s="846">
        <f t="shared" si="263"/>
        <v>0.86699999999999999</v>
      </c>
      <c r="N293" s="846">
        <f t="shared" si="263"/>
        <v>0.97</v>
      </c>
      <c r="O293" s="846">
        <f t="shared" si="263"/>
        <v>0.84499999999999975</v>
      </c>
      <c r="P293" s="845">
        <f t="shared" si="263"/>
        <v>3.472</v>
      </c>
      <c r="Q293" s="846">
        <f t="shared" si="263"/>
        <v>0.68399999999999994</v>
      </c>
      <c r="R293" s="846">
        <f t="shared" si="263"/>
        <v>0.90099999999999991</v>
      </c>
      <c r="S293" s="846">
        <f t="shared" si="263"/>
        <v>0.74299999999999999</v>
      </c>
      <c r="T293" s="846">
        <f t="shared" si="263"/>
        <v>0.96699999999999986</v>
      </c>
      <c r="U293" s="845">
        <f t="shared" si="263"/>
        <v>3.2949999999999999</v>
      </c>
      <c r="V293" s="846">
        <f t="shared" si="263"/>
        <v>1.2589999999999999</v>
      </c>
      <c r="W293" s="846">
        <f t="shared" si="263"/>
        <v>1.9179999999999999</v>
      </c>
      <c r="X293" s="859">
        <f t="shared" si="263"/>
        <v>2.0010000000000003</v>
      </c>
      <c r="Y293" s="846">
        <f t="shared" si="263"/>
        <v>2.42</v>
      </c>
      <c r="Z293" s="845">
        <f t="shared" si="263"/>
        <v>7.5979999999999999</v>
      </c>
      <c r="AA293" s="846">
        <f t="shared" si="263"/>
        <v>2.0409999999999999</v>
      </c>
      <c r="AB293" s="846">
        <f t="shared" si="263"/>
        <v>3.0909999999999997</v>
      </c>
      <c r="AC293" s="859">
        <f t="shared" si="263"/>
        <v>3.4530000000000003</v>
      </c>
      <c r="AD293" s="846">
        <f t="shared" si="263"/>
        <v>3.6110000000000007</v>
      </c>
      <c r="AE293" s="845">
        <f t="shared" si="263"/>
        <v>12.196000000000002</v>
      </c>
      <c r="AF293" s="846">
        <f t="shared" si="263"/>
        <v>3.1160000000000001</v>
      </c>
      <c r="AG293" s="846">
        <f t="shared" si="263"/>
        <v>4.1349999999999998</v>
      </c>
      <c r="AH293" s="859">
        <f t="shared" si="263"/>
        <v>4.6980000000000004</v>
      </c>
      <c r="AI293" s="846">
        <f t="shared" si="263"/>
        <v>4.1529999999999996</v>
      </c>
      <c r="AJ293" s="845">
        <f t="shared" si="263"/>
        <v>16.102</v>
      </c>
      <c r="AK293" s="846">
        <f t="shared" si="263"/>
        <v>4.891</v>
      </c>
      <c r="AL293" s="846">
        <f t="shared" si="263"/>
        <v>4.3159999999999998</v>
      </c>
      <c r="AM293" s="847">
        <f t="shared" si="263"/>
        <v>4.6209999999999996</v>
      </c>
      <c r="AN293" s="859">
        <f t="shared" si="263"/>
        <v>4.5999999999999996</v>
      </c>
      <c r="AO293" s="845">
        <f t="shared" si="263"/>
        <v>18.427999999999997</v>
      </c>
      <c r="AP293" s="859">
        <f t="shared" si="263"/>
        <v>4.5999999999999996</v>
      </c>
      <c r="AQ293" s="859">
        <f t="shared" si="263"/>
        <v>4.5999999999999996</v>
      </c>
      <c r="AR293" s="859">
        <f t="shared" si="263"/>
        <v>4.5999999999999996</v>
      </c>
      <c r="AS293" s="859">
        <f t="shared" si="263"/>
        <v>4.5999999999999996</v>
      </c>
      <c r="AT293" s="845">
        <f t="shared" si="263"/>
        <v>18.399999999999999</v>
      </c>
      <c r="AU293" s="860">
        <f t="shared" si="263"/>
        <v>18.399999999999999</v>
      </c>
      <c r="AV293" s="860">
        <f t="shared" si="263"/>
        <v>18.399999999999999</v>
      </c>
      <c r="AW293" s="860">
        <f t="shared" si="263"/>
        <v>18.399999999999999</v>
      </c>
      <c r="AX293" s="795"/>
    </row>
    <row r="294" spans="1:50" s="29" customFormat="1" hidden="1" outlineLevel="1" x14ac:dyDescent="0.45">
      <c r="A294" s="61"/>
      <c r="B294" s="147"/>
      <c r="C294" s="840"/>
      <c r="D294" s="840"/>
      <c r="E294" s="840"/>
      <c r="F294" s="840"/>
      <c r="G294" s="841"/>
      <c r="H294" s="841"/>
      <c r="I294" s="841"/>
      <c r="J294" s="841"/>
      <c r="K294" s="840"/>
      <c r="L294" s="841"/>
      <c r="M294" s="841"/>
      <c r="N294" s="841"/>
      <c r="O294" s="841"/>
      <c r="P294" s="840"/>
      <c r="Q294" s="841"/>
      <c r="R294" s="841"/>
      <c r="S294" s="841"/>
      <c r="T294" s="841"/>
      <c r="U294" s="840"/>
      <c r="V294" s="841"/>
      <c r="W294" s="841"/>
      <c r="X294" s="841"/>
      <c r="Y294" s="841"/>
      <c r="Z294" s="840"/>
      <c r="AA294" s="841"/>
      <c r="AB294" s="841"/>
      <c r="AC294" s="841"/>
      <c r="AD294" s="841"/>
      <c r="AE294" s="840"/>
      <c r="AF294" s="841"/>
      <c r="AG294" s="841"/>
      <c r="AH294" s="841"/>
      <c r="AI294" s="841"/>
      <c r="AJ294" s="840"/>
      <c r="AK294" s="841"/>
      <c r="AL294" s="841"/>
      <c r="AM294" s="842"/>
      <c r="AN294" s="843"/>
      <c r="AO294" s="844"/>
      <c r="AP294" s="843"/>
      <c r="AQ294" s="843"/>
      <c r="AR294" s="843"/>
      <c r="AS294" s="843"/>
      <c r="AT294" s="844"/>
      <c r="AU294" s="844"/>
      <c r="AV294" s="844"/>
      <c r="AW294" s="844"/>
      <c r="AX294" s="793"/>
    </row>
    <row r="295" spans="1:50" s="29" customFormat="1" hidden="1" outlineLevel="1" x14ac:dyDescent="0.45">
      <c r="A295" s="61" t="s">
        <v>398</v>
      </c>
      <c r="B295" s="147"/>
      <c r="C295" s="840">
        <f>C253</f>
        <v>1.7829999999999999</v>
      </c>
      <c r="D295" s="840">
        <f>1.522+0.16</f>
        <v>1.6819999999999999</v>
      </c>
      <c r="E295" s="840">
        <f>2.022+0.176</f>
        <v>2.198</v>
      </c>
      <c r="F295" s="840">
        <f t="shared" ref="F295:P295" si="264">F253</f>
        <v>4.859</v>
      </c>
      <c r="G295" s="841">
        <f t="shared" si="264"/>
        <v>1.194</v>
      </c>
      <c r="H295" s="841">
        <f t="shared" si="264"/>
        <v>1.26</v>
      </c>
      <c r="I295" s="841">
        <f t="shared" si="264"/>
        <v>1.2190000000000001</v>
      </c>
      <c r="J295" s="841">
        <f t="shared" si="264"/>
        <v>1.1319999999999999</v>
      </c>
      <c r="K295" s="840">
        <f t="shared" si="264"/>
        <v>4.8049999999999997</v>
      </c>
      <c r="L295" s="841">
        <f t="shared" si="264"/>
        <v>0.98299999999999998</v>
      </c>
      <c r="M295" s="841">
        <f t="shared" si="264"/>
        <v>0.90800000000000003</v>
      </c>
      <c r="N295" s="841">
        <f t="shared" si="264"/>
        <v>0.90400000000000003</v>
      </c>
      <c r="O295" s="841">
        <f t="shared" si="264"/>
        <v>0.89800000000000002</v>
      </c>
      <c r="P295" s="840">
        <f t="shared" si="264"/>
        <v>3.6930000000000001</v>
      </c>
      <c r="Q295" s="841">
        <v>0.89700000000000002</v>
      </c>
      <c r="R295" s="841">
        <v>0.89700000000000002</v>
      </c>
      <c r="S295" s="841">
        <v>0.89800000000000002</v>
      </c>
      <c r="T295" s="841">
        <f>+U295-SUM(Q295,R295,S295)</f>
        <v>2.6760000000000002</v>
      </c>
      <c r="U295" s="840">
        <v>5.3680000000000003</v>
      </c>
      <c r="V295" s="841">
        <v>2.7040000000000002</v>
      </c>
      <c r="W295" s="841">
        <v>2.617</v>
      </c>
      <c r="X295" s="841">
        <v>2.5680000000000001</v>
      </c>
      <c r="Y295" s="841">
        <f>+Z295-SUM(V295,W295,X295)</f>
        <v>2.5460000000000012</v>
      </c>
      <c r="Z295" s="840">
        <v>10.435</v>
      </c>
      <c r="AA295" s="841">
        <v>2.0470000000000002</v>
      </c>
      <c r="AB295" s="841">
        <v>2.012</v>
      </c>
      <c r="AC295" s="841">
        <v>1.956</v>
      </c>
      <c r="AD295" s="841">
        <f>+AE295-SUM(AA295,AB295,AC295)</f>
        <v>1.794999999999999</v>
      </c>
      <c r="AE295" s="840">
        <v>7.81</v>
      </c>
      <c r="AF295" s="841">
        <v>1.1679999999999999</v>
      </c>
      <c r="AG295" s="841">
        <v>1.121</v>
      </c>
      <c r="AH295" s="841">
        <v>1.028</v>
      </c>
      <c r="AI295" s="841">
        <f>+AJ295-SUM(AF295,AG295,AH295)</f>
        <v>1.0270000000000006</v>
      </c>
      <c r="AJ295" s="840">
        <v>4.3440000000000003</v>
      </c>
      <c r="AK295" s="841">
        <v>0.86499999999999999</v>
      </c>
      <c r="AL295" s="841">
        <v>0.86399999999999999</v>
      </c>
      <c r="AM295" s="842">
        <v>0.96399999999999997</v>
      </c>
      <c r="AN295" s="874">
        <v>0.9</v>
      </c>
      <c r="AO295" s="844">
        <f>SUM(AK295,AL295,AM295,AN295)</f>
        <v>3.593</v>
      </c>
      <c r="AP295" s="874">
        <v>0.9</v>
      </c>
      <c r="AQ295" s="874">
        <v>0.9</v>
      </c>
      <c r="AR295" s="874">
        <v>0.9</v>
      </c>
      <c r="AS295" s="874">
        <v>0.9</v>
      </c>
      <c r="AT295" s="844">
        <f>SUM(AP295,AQ295,AR295,AS295)</f>
        <v>3.6</v>
      </c>
      <c r="AU295" s="875">
        <v>3.6</v>
      </c>
      <c r="AV295" s="875">
        <v>3.6</v>
      </c>
      <c r="AW295" s="875">
        <v>3.6</v>
      </c>
      <c r="AX295" s="793"/>
    </row>
    <row r="296" spans="1:50" s="29" customFormat="1" hidden="1" outlineLevel="1" x14ac:dyDescent="0.45">
      <c r="A296" s="61" t="s">
        <v>400</v>
      </c>
      <c r="B296" s="147"/>
      <c r="C296" s="840">
        <f>+C297-C295</f>
        <v>0</v>
      </c>
      <c r="D296" s="840">
        <v>1.573</v>
      </c>
      <c r="E296" s="840">
        <v>2.3029999999999999</v>
      </c>
      <c r="F296" s="840">
        <f t="shared" ref="F296:L296" si="265">+F297-F295</f>
        <v>2.7</v>
      </c>
      <c r="G296" s="841">
        <f t="shared" si="265"/>
        <v>0.67200000000000015</v>
      </c>
      <c r="H296" s="841">
        <f t="shared" si="265"/>
        <v>0.93600000000000017</v>
      </c>
      <c r="I296" s="841">
        <f t="shared" si="265"/>
        <v>1.0589999999999995</v>
      </c>
      <c r="J296" s="841">
        <f t="shared" si="265"/>
        <v>0.85800000000000032</v>
      </c>
      <c r="K296" s="840">
        <f t="shared" si="265"/>
        <v>3.5250000000000004</v>
      </c>
      <c r="L296" s="841">
        <f t="shared" si="265"/>
        <v>0.85799999999999998</v>
      </c>
      <c r="M296" s="841">
        <f t="shared" ref="M296:P296" si="266">+M297-M295</f>
        <v>0.8590000000000001</v>
      </c>
      <c r="N296" s="841">
        <f t="shared" si="266"/>
        <v>0.85900000000000032</v>
      </c>
      <c r="O296" s="841">
        <f t="shared" si="266"/>
        <v>0.85799999999999932</v>
      </c>
      <c r="P296" s="840">
        <f t="shared" si="266"/>
        <v>3.4339999999999997</v>
      </c>
      <c r="Q296" s="841">
        <v>0.90300000000000002</v>
      </c>
      <c r="R296" s="841">
        <v>0.90400000000000003</v>
      </c>
      <c r="S296" s="841">
        <v>0.90300000000000002</v>
      </c>
      <c r="T296" s="841">
        <f>+U296-SUM(Q296,R296,S296)</f>
        <v>2.9359999999999999</v>
      </c>
      <c r="U296" s="840">
        <v>5.6459999999999999</v>
      </c>
      <c r="V296" s="841">
        <v>3.0270000000000001</v>
      </c>
      <c r="W296" s="841">
        <v>3.03</v>
      </c>
      <c r="X296" s="841">
        <v>3.0070000000000001</v>
      </c>
      <c r="Y296" s="841">
        <f>+Z296-SUM(V296,W296,X296)</f>
        <v>2.9629999999999992</v>
      </c>
      <c r="Z296" s="840">
        <v>12.026999999999999</v>
      </c>
      <c r="AA296" s="841">
        <v>3.4009999999999998</v>
      </c>
      <c r="AB296" s="841">
        <v>3.8069999999999999</v>
      </c>
      <c r="AC296" s="841">
        <v>4.1269999999999998</v>
      </c>
      <c r="AD296" s="841">
        <f>+AE296-SUM(AA296,AB296,AC296)</f>
        <v>4.2359999999999989</v>
      </c>
      <c r="AE296" s="840">
        <v>15.571</v>
      </c>
      <c r="AF296" s="841">
        <v>4.2869999999999999</v>
      </c>
      <c r="AG296" s="841">
        <v>4.2880000000000003</v>
      </c>
      <c r="AH296" s="841">
        <v>4.2880000000000003</v>
      </c>
      <c r="AI296" s="841">
        <f>+AJ296-SUM(AF296,AG296,AH296)</f>
        <v>4.2890000000000015</v>
      </c>
      <c r="AJ296" s="840">
        <v>17.152000000000001</v>
      </c>
      <c r="AK296" s="841">
        <v>4.2880000000000003</v>
      </c>
      <c r="AL296" s="841">
        <v>4.2880000000000003</v>
      </c>
      <c r="AM296" s="842">
        <v>4.681</v>
      </c>
      <c r="AN296" s="874">
        <v>4.4000000000000004</v>
      </c>
      <c r="AO296" s="844">
        <f>SUM(AK296,AL296,AM296,AN296)</f>
        <v>17.657000000000004</v>
      </c>
      <c r="AP296" s="874">
        <v>4.4000000000000004</v>
      </c>
      <c r="AQ296" s="874">
        <v>4.4000000000000004</v>
      </c>
      <c r="AR296" s="874">
        <v>4.4000000000000004</v>
      </c>
      <c r="AS296" s="874">
        <v>4.4000000000000004</v>
      </c>
      <c r="AT296" s="844">
        <f>SUM(AP296,AQ296,AR296,AS296)</f>
        <v>17.600000000000001</v>
      </c>
      <c r="AU296" s="875">
        <v>17.600000000000001</v>
      </c>
      <c r="AV296" s="875">
        <v>17.600000000000001</v>
      </c>
      <c r="AW296" s="875">
        <v>17.600000000000001</v>
      </c>
      <c r="AX296" s="793"/>
    </row>
    <row r="297" spans="1:50" s="29" customFormat="1" hidden="1" outlineLevel="1" x14ac:dyDescent="0.45">
      <c r="A297" s="680" t="s">
        <v>524</v>
      </c>
      <c r="B297" s="563"/>
      <c r="C297" s="856">
        <f>C487</f>
        <v>1.7829999999999999</v>
      </c>
      <c r="D297" s="856">
        <f>+D295+D296</f>
        <v>3.2549999999999999</v>
      </c>
      <c r="E297" s="856">
        <f>+E295+E296</f>
        <v>4.5009999999999994</v>
      </c>
      <c r="F297" s="856">
        <f t="shared" ref="F297:L297" si="267">F487</f>
        <v>7.5590000000000002</v>
      </c>
      <c r="G297" s="857">
        <f t="shared" si="267"/>
        <v>1.8660000000000001</v>
      </c>
      <c r="H297" s="857">
        <f t="shared" si="267"/>
        <v>2.1960000000000002</v>
      </c>
      <c r="I297" s="857">
        <f t="shared" si="267"/>
        <v>2.2779999999999996</v>
      </c>
      <c r="J297" s="857">
        <f t="shared" si="267"/>
        <v>1.9900000000000002</v>
      </c>
      <c r="K297" s="856">
        <f t="shared" si="267"/>
        <v>8.33</v>
      </c>
      <c r="L297" s="857">
        <f t="shared" si="267"/>
        <v>1.841</v>
      </c>
      <c r="M297" s="857">
        <f t="shared" ref="M297:P297" si="268">M487</f>
        <v>1.7670000000000001</v>
      </c>
      <c r="N297" s="857">
        <f t="shared" si="268"/>
        <v>1.7630000000000003</v>
      </c>
      <c r="O297" s="857">
        <f t="shared" si="268"/>
        <v>1.7559999999999993</v>
      </c>
      <c r="P297" s="856">
        <f t="shared" si="268"/>
        <v>7.1269999999999998</v>
      </c>
      <c r="Q297" s="857">
        <f t="shared" ref="Q297:AW297" si="269">+Q295+Q296</f>
        <v>1.8</v>
      </c>
      <c r="R297" s="857">
        <f t="shared" si="269"/>
        <v>1.8010000000000002</v>
      </c>
      <c r="S297" s="857">
        <f t="shared" si="269"/>
        <v>1.8010000000000002</v>
      </c>
      <c r="T297" s="857">
        <f t="shared" si="269"/>
        <v>5.6120000000000001</v>
      </c>
      <c r="U297" s="856">
        <f t="shared" si="269"/>
        <v>11.013999999999999</v>
      </c>
      <c r="V297" s="857">
        <f t="shared" si="269"/>
        <v>5.7309999999999999</v>
      </c>
      <c r="W297" s="857">
        <f t="shared" si="269"/>
        <v>5.6470000000000002</v>
      </c>
      <c r="X297" s="857">
        <f t="shared" si="269"/>
        <v>5.5750000000000002</v>
      </c>
      <c r="Y297" s="857">
        <f t="shared" si="269"/>
        <v>5.5090000000000003</v>
      </c>
      <c r="Z297" s="856">
        <f t="shared" si="269"/>
        <v>22.462</v>
      </c>
      <c r="AA297" s="857">
        <f t="shared" si="269"/>
        <v>5.4480000000000004</v>
      </c>
      <c r="AB297" s="857">
        <f t="shared" si="269"/>
        <v>5.819</v>
      </c>
      <c r="AC297" s="857">
        <f t="shared" si="269"/>
        <v>6.0830000000000002</v>
      </c>
      <c r="AD297" s="857">
        <f t="shared" si="269"/>
        <v>6.0309999999999979</v>
      </c>
      <c r="AE297" s="856">
        <f t="shared" si="269"/>
        <v>23.381</v>
      </c>
      <c r="AF297" s="857">
        <f t="shared" si="269"/>
        <v>5.4550000000000001</v>
      </c>
      <c r="AG297" s="857">
        <f t="shared" si="269"/>
        <v>5.4090000000000007</v>
      </c>
      <c r="AH297" s="857">
        <f t="shared" si="269"/>
        <v>5.3160000000000007</v>
      </c>
      <c r="AI297" s="857">
        <f t="shared" si="269"/>
        <v>5.3160000000000025</v>
      </c>
      <c r="AJ297" s="856">
        <f t="shared" si="269"/>
        <v>21.496000000000002</v>
      </c>
      <c r="AK297" s="857">
        <f t="shared" si="269"/>
        <v>5.1530000000000005</v>
      </c>
      <c r="AL297" s="857">
        <f t="shared" si="269"/>
        <v>5.1520000000000001</v>
      </c>
      <c r="AM297" s="858">
        <f t="shared" si="269"/>
        <v>5.6449999999999996</v>
      </c>
      <c r="AN297" s="857">
        <f t="shared" si="269"/>
        <v>5.3000000000000007</v>
      </c>
      <c r="AO297" s="856">
        <f t="shared" si="269"/>
        <v>21.250000000000004</v>
      </c>
      <c r="AP297" s="857">
        <f t="shared" si="269"/>
        <v>5.3000000000000007</v>
      </c>
      <c r="AQ297" s="857">
        <f t="shared" si="269"/>
        <v>5.3000000000000007</v>
      </c>
      <c r="AR297" s="857">
        <f t="shared" si="269"/>
        <v>5.3000000000000007</v>
      </c>
      <c r="AS297" s="857">
        <f t="shared" si="269"/>
        <v>5.3000000000000007</v>
      </c>
      <c r="AT297" s="856">
        <f t="shared" si="269"/>
        <v>21.200000000000003</v>
      </c>
      <c r="AU297" s="856">
        <f t="shared" si="269"/>
        <v>21.200000000000003</v>
      </c>
      <c r="AV297" s="856">
        <f t="shared" si="269"/>
        <v>21.200000000000003</v>
      </c>
      <c r="AW297" s="856">
        <f t="shared" si="269"/>
        <v>21.200000000000003</v>
      </c>
      <c r="AX297" s="793"/>
    </row>
    <row r="298" spans="1:50" s="29" customFormat="1" hidden="1" outlineLevel="1" x14ac:dyDescent="0.45">
      <c r="A298" s="61"/>
      <c r="B298" s="147"/>
      <c r="C298" s="840"/>
      <c r="D298" s="840"/>
      <c r="E298" s="840"/>
      <c r="F298" s="840"/>
      <c r="G298" s="841"/>
      <c r="H298" s="841"/>
      <c r="I298" s="841"/>
      <c r="J298" s="841"/>
      <c r="K298" s="840"/>
      <c r="L298" s="841"/>
      <c r="M298" s="841"/>
      <c r="N298" s="841"/>
      <c r="O298" s="841"/>
      <c r="P298" s="840"/>
      <c r="Q298" s="841"/>
      <c r="R298" s="841"/>
      <c r="S298" s="841"/>
      <c r="T298" s="841"/>
      <c r="U298" s="840"/>
      <c r="V298" s="841"/>
      <c r="W298" s="841"/>
      <c r="X298" s="841"/>
      <c r="Y298" s="841"/>
      <c r="Z298" s="840"/>
      <c r="AA298" s="841"/>
      <c r="AB298" s="841"/>
      <c r="AC298" s="841"/>
      <c r="AD298" s="841"/>
      <c r="AE298" s="840"/>
      <c r="AF298" s="841"/>
      <c r="AG298" s="841"/>
      <c r="AH298" s="841"/>
      <c r="AI298" s="841"/>
      <c r="AJ298" s="840"/>
      <c r="AK298" s="841"/>
      <c r="AL298" s="841"/>
      <c r="AM298" s="842"/>
      <c r="AN298" s="843"/>
      <c r="AO298" s="844"/>
      <c r="AP298" s="843"/>
      <c r="AQ298" s="843"/>
      <c r="AR298" s="843"/>
      <c r="AS298" s="843"/>
      <c r="AT298" s="844"/>
      <c r="AU298" s="844"/>
      <c r="AV298" s="844"/>
      <c r="AW298" s="844"/>
      <c r="AX298" s="793"/>
    </row>
    <row r="299" spans="1:50" s="29" customFormat="1" hidden="1" outlineLevel="1" x14ac:dyDescent="0.45">
      <c r="A299" s="56" t="s">
        <v>399</v>
      </c>
      <c r="B299" s="147"/>
      <c r="C299" s="840">
        <v>5.9269999999999996</v>
      </c>
      <c r="D299" s="840">
        <v>7.0910000000000002</v>
      </c>
      <c r="E299" s="840">
        <v>8.2539999999999996</v>
      </c>
      <c r="F299" s="840">
        <v>9.6679999999999993</v>
      </c>
      <c r="G299" s="841">
        <v>2.6789999999999998</v>
      </c>
      <c r="H299" s="841">
        <f>5.303-G299</f>
        <v>2.6240000000000001</v>
      </c>
      <c r="I299" s="841">
        <v>4.05</v>
      </c>
      <c r="J299" s="841">
        <f>+K299-SUM(G299,H299,I299)</f>
        <v>2.9849999999999994</v>
      </c>
      <c r="K299" s="840">
        <v>12.337999999999999</v>
      </c>
      <c r="L299" s="841">
        <v>3.6019999999999999</v>
      </c>
      <c r="M299" s="841">
        <v>3.5150000000000001</v>
      </c>
      <c r="N299" s="841">
        <v>3.073</v>
      </c>
      <c r="O299" s="841">
        <f>+P299-SUM(L299,M299,N299)</f>
        <v>2.6270000000000007</v>
      </c>
      <c r="P299" s="840">
        <v>12.817</v>
      </c>
      <c r="Q299" s="841">
        <v>2.4390000000000001</v>
      </c>
      <c r="R299" s="841">
        <v>2.4900000000000002</v>
      </c>
      <c r="S299" s="841">
        <v>2.4990000000000001</v>
      </c>
      <c r="T299" s="841">
        <f>+U299-SUM(Q299,R299,S299)</f>
        <v>2.4629999999999992</v>
      </c>
      <c r="U299" s="840">
        <v>9.891</v>
      </c>
      <c r="V299" s="841">
        <v>2.371</v>
      </c>
      <c r="W299" s="841">
        <v>2.448</v>
      </c>
      <c r="X299" s="841">
        <v>1.8069999999999999</v>
      </c>
      <c r="Y299" s="841">
        <f>+Z299-SUM(V299,W299,X299)</f>
        <v>1.2660000000000009</v>
      </c>
      <c r="Z299" s="840">
        <v>7.8920000000000003</v>
      </c>
      <c r="AA299" s="841">
        <v>1.2709999999999999</v>
      </c>
      <c r="AB299" s="841">
        <v>1.3</v>
      </c>
      <c r="AC299" s="841">
        <v>1.8380000000000001</v>
      </c>
      <c r="AD299" s="841">
        <f>+AE299-SUM(AA299,AB299,AC299)</f>
        <v>2.109</v>
      </c>
      <c r="AE299" s="840">
        <v>6.5179999999999998</v>
      </c>
      <c r="AF299" s="841">
        <v>2.2570000000000001</v>
      </c>
      <c r="AG299" s="841">
        <v>2.6349999999999998</v>
      </c>
      <c r="AH299" s="841">
        <v>2.8109999999999999</v>
      </c>
      <c r="AI299" s="841">
        <f>+AJ299-SUM(AF299,AG299,AH299)</f>
        <v>3.6349999999999998</v>
      </c>
      <c r="AJ299" s="840">
        <v>11.337999999999999</v>
      </c>
      <c r="AK299" s="841">
        <v>4.125</v>
      </c>
      <c r="AL299" s="841">
        <v>4.5549999999999997</v>
      </c>
      <c r="AM299" s="842">
        <v>4.282</v>
      </c>
      <c r="AN299" s="874">
        <v>4.3</v>
      </c>
      <c r="AO299" s="844">
        <f>SUM(AK299,AL299,AM299,AN299)</f>
        <v>17.262</v>
      </c>
      <c r="AP299" s="874">
        <v>4.3</v>
      </c>
      <c r="AQ299" s="874">
        <v>4.3</v>
      </c>
      <c r="AR299" s="874">
        <v>4.3</v>
      </c>
      <c r="AS299" s="874">
        <v>4.3</v>
      </c>
      <c r="AT299" s="844">
        <f>SUM(AP299,AQ299,AR299,AS299)</f>
        <v>17.2</v>
      </c>
      <c r="AU299" s="875">
        <v>17.2</v>
      </c>
      <c r="AV299" s="875">
        <v>17.2</v>
      </c>
      <c r="AW299" s="875">
        <v>17.2</v>
      </c>
      <c r="AX299" s="793"/>
    </row>
    <row r="300" spans="1:50" s="7" customFormat="1" collapsed="1" x14ac:dyDescent="0.45">
      <c r="A300" s="634"/>
      <c r="B300" s="635"/>
      <c r="C300" s="851"/>
      <c r="D300" s="851"/>
      <c r="E300" s="851"/>
      <c r="F300" s="851"/>
      <c r="G300" s="852"/>
      <c r="H300" s="852"/>
      <c r="I300" s="852"/>
      <c r="J300" s="852"/>
      <c r="K300" s="851"/>
      <c r="L300" s="852"/>
      <c r="M300" s="852"/>
      <c r="N300" s="852"/>
      <c r="O300" s="852"/>
      <c r="P300" s="851"/>
      <c r="Q300" s="852"/>
      <c r="R300" s="852"/>
      <c r="S300" s="852"/>
      <c r="T300" s="852"/>
      <c r="U300" s="851"/>
      <c r="V300" s="852"/>
      <c r="W300" s="852"/>
      <c r="X300" s="866"/>
      <c r="Y300" s="852"/>
      <c r="Z300" s="851"/>
      <c r="AA300" s="852"/>
      <c r="AB300" s="852"/>
      <c r="AC300" s="866"/>
      <c r="AD300" s="852"/>
      <c r="AE300" s="851"/>
      <c r="AF300" s="852"/>
      <c r="AG300" s="852"/>
      <c r="AH300" s="866"/>
      <c r="AI300" s="852"/>
      <c r="AJ300" s="851"/>
      <c r="AK300" s="852"/>
      <c r="AL300" s="852"/>
      <c r="AM300" s="853"/>
      <c r="AN300" s="866"/>
      <c r="AO300" s="851"/>
      <c r="AP300" s="866"/>
      <c r="AQ300" s="866"/>
      <c r="AR300" s="866"/>
      <c r="AS300" s="866"/>
      <c r="AT300" s="851"/>
      <c r="AU300" s="881"/>
      <c r="AV300" s="881"/>
      <c r="AW300" s="881"/>
      <c r="AX300" s="795"/>
    </row>
    <row r="301" spans="1:50" s="7" customFormat="1" x14ac:dyDescent="0.45">
      <c r="A301" s="790" t="s">
        <v>62</v>
      </c>
      <c r="B301" s="790"/>
      <c r="C301" s="812"/>
      <c r="D301" s="812"/>
      <c r="E301" s="812"/>
      <c r="F301" s="812"/>
      <c r="G301" s="812"/>
      <c r="H301" s="812"/>
      <c r="I301" s="812"/>
      <c r="J301" s="812"/>
      <c r="K301" s="812"/>
      <c r="L301" s="812"/>
      <c r="M301" s="812"/>
      <c r="N301" s="812"/>
      <c r="O301" s="812"/>
      <c r="P301" s="812"/>
      <c r="Q301" s="812"/>
      <c r="R301" s="812"/>
      <c r="S301" s="812"/>
      <c r="T301" s="812"/>
      <c r="U301" s="812"/>
      <c r="V301" s="812"/>
      <c r="W301" s="812"/>
      <c r="X301" s="812"/>
      <c r="Y301" s="812"/>
      <c r="Z301" s="812"/>
      <c r="AA301" s="812"/>
      <c r="AB301" s="812"/>
      <c r="AC301" s="812"/>
      <c r="AD301" s="812"/>
      <c r="AE301" s="812"/>
      <c r="AF301" s="812"/>
      <c r="AG301" s="812"/>
      <c r="AH301" s="812"/>
      <c r="AI301" s="812"/>
      <c r="AJ301" s="812"/>
      <c r="AK301" s="812"/>
      <c r="AL301" s="812"/>
      <c r="AM301" s="813"/>
      <c r="AN301" s="814"/>
      <c r="AO301" s="814"/>
      <c r="AP301" s="814"/>
      <c r="AQ301" s="814"/>
      <c r="AR301" s="814"/>
      <c r="AS301" s="814"/>
      <c r="AT301" s="814"/>
      <c r="AU301" s="814"/>
      <c r="AV301" s="814"/>
      <c r="AW301" s="814"/>
      <c r="AX301" s="795"/>
    </row>
    <row r="302" spans="1:50" s="7" customFormat="1" x14ac:dyDescent="0.45">
      <c r="A302" s="105" t="s">
        <v>63</v>
      </c>
      <c r="B302" s="106"/>
      <c r="C302" s="881">
        <f t="shared" ref="C302:AM302" si="270">C237</f>
        <v>291.81100000000004</v>
      </c>
      <c r="D302" s="881">
        <f t="shared" si="270"/>
        <v>353.363</v>
      </c>
      <c r="E302" s="881">
        <f t="shared" si="270"/>
        <v>429.83500000000004</v>
      </c>
      <c r="F302" s="881">
        <f t="shared" si="270"/>
        <v>460.22899999999993</v>
      </c>
      <c r="G302" s="866">
        <f t="shared" si="270"/>
        <v>109.529</v>
      </c>
      <c r="H302" s="866">
        <f t="shared" si="270"/>
        <v>111.081</v>
      </c>
      <c r="I302" s="866">
        <f t="shared" si="270"/>
        <v>108.854</v>
      </c>
      <c r="J302" s="866">
        <f t="shared" si="270"/>
        <v>115.203</v>
      </c>
      <c r="K302" s="881">
        <f t="shared" si="270"/>
        <v>444.66700000000003</v>
      </c>
      <c r="L302" s="866">
        <f t="shared" si="270"/>
        <v>117.89400000000001</v>
      </c>
      <c r="M302" s="866">
        <f t="shared" si="270"/>
        <v>120.51899999999999</v>
      </c>
      <c r="N302" s="866">
        <f t="shared" si="270"/>
        <v>123.42400000000001</v>
      </c>
      <c r="O302" s="866">
        <f t="shared" si="270"/>
        <v>128.38800000000001</v>
      </c>
      <c r="P302" s="881">
        <f t="shared" si="270"/>
        <v>490.22499999999997</v>
      </c>
      <c r="Q302" s="866">
        <f t="shared" si="270"/>
        <v>122.16400000000002</v>
      </c>
      <c r="R302" s="866">
        <f t="shared" si="270"/>
        <v>125.369</v>
      </c>
      <c r="S302" s="866">
        <f t="shared" si="270"/>
        <v>117.03200000000001</v>
      </c>
      <c r="T302" s="866">
        <f t="shared" si="270"/>
        <v>127.91200000000001</v>
      </c>
      <c r="U302" s="881">
        <f t="shared" si="270"/>
        <v>492.47699999999998</v>
      </c>
      <c r="V302" s="866">
        <f t="shared" si="270"/>
        <v>122.205</v>
      </c>
      <c r="W302" s="866">
        <f t="shared" si="270"/>
        <v>127.166</v>
      </c>
      <c r="X302" s="866">
        <f t="shared" si="270"/>
        <v>127.86799999999999</v>
      </c>
      <c r="Y302" s="852">
        <f t="shared" si="270"/>
        <v>132.38499999999999</v>
      </c>
      <c r="Z302" s="851">
        <f t="shared" si="270"/>
        <v>509.62400000000002</v>
      </c>
      <c r="AA302" s="852">
        <f t="shared" si="270"/>
        <v>130.922</v>
      </c>
      <c r="AB302" s="866">
        <f t="shared" si="270"/>
        <v>132.607</v>
      </c>
      <c r="AC302" s="866">
        <f t="shared" si="270"/>
        <v>131.715</v>
      </c>
      <c r="AD302" s="852">
        <f t="shared" si="270"/>
        <v>135.77500000000001</v>
      </c>
      <c r="AE302" s="851">
        <f t="shared" si="270"/>
        <v>531.01900000000001</v>
      </c>
      <c r="AF302" s="852">
        <f t="shared" si="270"/>
        <v>133.20000000000002</v>
      </c>
      <c r="AG302" s="866">
        <f t="shared" si="270"/>
        <v>130.321</v>
      </c>
      <c r="AH302" s="866">
        <f t="shared" si="270"/>
        <v>130.86699999999999</v>
      </c>
      <c r="AI302" s="852">
        <f t="shared" si="270"/>
        <v>134.785</v>
      </c>
      <c r="AJ302" s="851">
        <f t="shared" si="270"/>
        <v>529.173</v>
      </c>
      <c r="AK302" s="852">
        <f t="shared" si="270"/>
        <v>131.86099999999999</v>
      </c>
      <c r="AL302" s="866">
        <f t="shared" si="270"/>
        <v>134.256</v>
      </c>
      <c r="AM302" s="853">
        <f t="shared" si="270"/>
        <v>137.74</v>
      </c>
      <c r="AN302" s="867">
        <f>AN26</f>
        <v>138.65279000000001</v>
      </c>
      <c r="AO302" s="855">
        <f>SUM(AK302,AL302,AM302,AN302)</f>
        <v>542.50978999999995</v>
      </c>
      <c r="AP302" s="867">
        <f>AP26</f>
        <v>136.938185</v>
      </c>
      <c r="AQ302" s="867">
        <f>AQ26</f>
        <v>138.77625999999998</v>
      </c>
      <c r="AR302" s="867">
        <f>AR26</f>
        <v>141.78268000000003</v>
      </c>
      <c r="AS302" s="867">
        <f>AS26</f>
        <v>142.55954180000001</v>
      </c>
      <c r="AT302" s="855">
        <f>SUM(AP302,AQ302,AR302,AS302)</f>
        <v>560.05666680000002</v>
      </c>
      <c r="AU302" s="868">
        <f>AU26</f>
        <v>576.83351700280002</v>
      </c>
      <c r="AV302" s="868">
        <f>AV26</f>
        <v>594.49886466333362</v>
      </c>
      <c r="AW302" s="868">
        <f>AW26</f>
        <v>613.10726911612983</v>
      </c>
      <c r="AX302" s="795"/>
    </row>
    <row r="303" spans="1:50" s="136" customFormat="1" x14ac:dyDescent="0.45">
      <c r="A303" s="951" t="str">
        <f>CONCATENATE("Consensus Estimates - ",IFERROR(LEFT(A302,FIND("(",A302)-1),A302))</f>
        <v>Consensus Estimates - Net Revenue</v>
      </c>
      <c r="B303" s="952"/>
      <c r="C303" s="886"/>
      <c r="D303" s="886"/>
      <c r="E303" s="886"/>
      <c r="F303" s="886"/>
      <c r="G303" s="887"/>
      <c r="H303" s="887"/>
      <c r="I303" s="887"/>
      <c r="J303" s="887"/>
      <c r="K303" s="886"/>
      <c r="L303" s="887"/>
      <c r="M303" s="887"/>
      <c r="N303" s="887"/>
      <c r="O303" s="887"/>
      <c r="P303" s="886"/>
      <c r="Q303" s="887"/>
      <c r="R303" s="887"/>
      <c r="S303" s="887"/>
      <c r="T303" s="887"/>
      <c r="U303" s="886"/>
      <c r="V303" s="887"/>
      <c r="W303" s="887"/>
      <c r="X303" s="888"/>
      <c r="Y303" s="888"/>
      <c r="Z303" s="889"/>
      <c r="AA303" s="890"/>
      <c r="AB303" s="887"/>
      <c r="AC303" s="888"/>
      <c r="AD303" s="890"/>
      <c r="AE303" s="891"/>
      <c r="AF303" s="890"/>
      <c r="AG303" s="887"/>
      <c r="AH303" s="888"/>
      <c r="AI303" s="890"/>
      <c r="AJ303" s="891"/>
      <c r="AK303" s="890"/>
      <c r="AL303" s="887"/>
      <c r="AM303" s="892"/>
      <c r="AN303" s="893" t="str">
        <f t="shared" ref="AN303:AW303" ca="1" si="271">IFERROR(VLOOKUP($A303,tb_ConsensusEstimate,MATCH(AN$5,OFFSET(tb_ConsensusEstimate,0,0,1,COLUMNS(tb_ConsensusEstimate)),0),FALSE),"-")</f>
        <v>N/A</v>
      </c>
      <c r="AO303" s="894" t="str">
        <f t="shared" ca="1" si="271"/>
        <v>N/A</v>
      </c>
      <c r="AP303" s="893" t="str">
        <f t="shared" ca="1" si="271"/>
        <v>N/A</v>
      </c>
      <c r="AQ303" s="893" t="str">
        <f t="shared" ca="1" si="271"/>
        <v>N/A</v>
      </c>
      <c r="AR303" s="893" t="str">
        <f t="shared" ca="1" si="271"/>
        <v>N/A</v>
      </c>
      <c r="AS303" s="893" t="str">
        <f t="shared" ca="1" si="271"/>
        <v>N/A</v>
      </c>
      <c r="AT303" s="894" t="str">
        <f t="shared" ca="1" si="271"/>
        <v>N/A</v>
      </c>
      <c r="AU303" s="895" t="str">
        <f t="shared" ca="1" si="271"/>
        <v>N/A</v>
      </c>
      <c r="AV303" s="895" t="str">
        <f t="shared" ca="1" si="271"/>
        <v>N/A</v>
      </c>
      <c r="AW303" s="895" t="str">
        <f t="shared" ca="1" si="271"/>
        <v>N/A</v>
      </c>
      <c r="AX303" s="625"/>
    </row>
    <row r="304" spans="1:50" s="7" customFormat="1" x14ac:dyDescent="0.45">
      <c r="A304" s="105"/>
      <c r="B304" s="106"/>
      <c r="C304" s="881"/>
      <c r="D304" s="881"/>
      <c r="E304" s="881"/>
      <c r="F304" s="881"/>
      <c r="G304" s="866"/>
      <c r="H304" s="866"/>
      <c r="I304" s="866"/>
      <c r="J304" s="866"/>
      <c r="K304" s="881"/>
      <c r="L304" s="866"/>
      <c r="M304" s="866"/>
      <c r="N304" s="866"/>
      <c r="O304" s="866"/>
      <c r="P304" s="881"/>
      <c r="Q304" s="866"/>
      <c r="R304" s="866"/>
      <c r="S304" s="866"/>
      <c r="T304" s="866"/>
      <c r="U304" s="881"/>
      <c r="V304" s="866"/>
      <c r="W304" s="866"/>
      <c r="X304" s="866"/>
      <c r="Y304" s="852"/>
      <c r="Z304" s="851"/>
      <c r="AA304" s="852"/>
      <c r="AB304" s="866"/>
      <c r="AC304" s="866"/>
      <c r="AD304" s="852"/>
      <c r="AE304" s="851"/>
      <c r="AF304" s="852"/>
      <c r="AG304" s="866"/>
      <c r="AH304" s="866"/>
      <c r="AI304" s="852"/>
      <c r="AJ304" s="851"/>
      <c r="AK304" s="852"/>
      <c r="AL304" s="866"/>
      <c r="AM304" s="853"/>
      <c r="AN304" s="896"/>
      <c r="AO304" s="855"/>
      <c r="AP304" s="896"/>
      <c r="AQ304" s="896"/>
      <c r="AR304" s="896"/>
      <c r="AS304" s="896"/>
      <c r="AT304" s="855"/>
      <c r="AU304" s="897"/>
      <c r="AV304" s="897"/>
      <c r="AW304" s="897"/>
      <c r="AX304" s="795"/>
    </row>
    <row r="305" spans="1:50" s="29" customFormat="1" x14ac:dyDescent="0.45">
      <c r="A305" s="219" t="s">
        <v>525</v>
      </c>
      <c r="B305" s="501"/>
      <c r="C305" s="865">
        <f t="shared" ref="C305:AM305" si="272">C249-C290-C315</f>
        <v>104.79500000000002</v>
      </c>
      <c r="D305" s="865">
        <f t="shared" si="272"/>
        <v>118.54599999999998</v>
      </c>
      <c r="E305" s="865">
        <f t="shared" si="272"/>
        <v>140.40500000000003</v>
      </c>
      <c r="F305" s="865">
        <f t="shared" si="272"/>
        <v>177.083</v>
      </c>
      <c r="G305" s="864">
        <f t="shared" si="272"/>
        <v>44.647000000000006</v>
      </c>
      <c r="H305" s="864">
        <f t="shared" si="272"/>
        <v>44.033000000000001</v>
      </c>
      <c r="I305" s="864">
        <f t="shared" si="272"/>
        <v>65.856000000000009</v>
      </c>
      <c r="J305" s="864">
        <f t="shared" si="272"/>
        <v>49.415999999999997</v>
      </c>
      <c r="K305" s="865">
        <f t="shared" si="272"/>
        <v>203.952</v>
      </c>
      <c r="L305" s="864">
        <f t="shared" si="272"/>
        <v>51.643999999999998</v>
      </c>
      <c r="M305" s="864">
        <f t="shared" si="272"/>
        <v>52.307000000000002</v>
      </c>
      <c r="N305" s="864">
        <f t="shared" si="272"/>
        <v>50.323</v>
      </c>
      <c r="O305" s="864">
        <f t="shared" si="272"/>
        <v>52.266000000000005</v>
      </c>
      <c r="P305" s="865">
        <f t="shared" si="272"/>
        <v>206.54</v>
      </c>
      <c r="Q305" s="864">
        <f t="shared" si="272"/>
        <v>52.537999999999997</v>
      </c>
      <c r="R305" s="864">
        <f t="shared" si="272"/>
        <v>53.102000000000004</v>
      </c>
      <c r="S305" s="864">
        <f t="shared" si="272"/>
        <v>50.281999999999996</v>
      </c>
      <c r="T305" s="864">
        <f t="shared" si="272"/>
        <v>53.751999999999995</v>
      </c>
      <c r="U305" s="865">
        <f t="shared" si="272"/>
        <v>209.67400000000001</v>
      </c>
      <c r="V305" s="864">
        <f t="shared" si="272"/>
        <v>51.268000000000001</v>
      </c>
      <c r="W305" s="864">
        <f t="shared" si="272"/>
        <v>50.353000000000002</v>
      </c>
      <c r="X305" s="864">
        <f t="shared" si="272"/>
        <v>49.393999999999998</v>
      </c>
      <c r="Y305" s="849">
        <f t="shared" si="272"/>
        <v>51.686</v>
      </c>
      <c r="Z305" s="848">
        <f t="shared" si="272"/>
        <v>202.70099999999996</v>
      </c>
      <c r="AA305" s="849">
        <f t="shared" si="272"/>
        <v>54.36</v>
      </c>
      <c r="AB305" s="864">
        <f t="shared" si="272"/>
        <v>53.358000000000004</v>
      </c>
      <c r="AC305" s="864">
        <f t="shared" si="272"/>
        <v>55.41</v>
      </c>
      <c r="AD305" s="849">
        <f t="shared" si="272"/>
        <v>55.38</v>
      </c>
      <c r="AE305" s="848">
        <f t="shared" si="272"/>
        <v>218.50800000000004</v>
      </c>
      <c r="AF305" s="849">
        <f t="shared" si="272"/>
        <v>55.073999999999998</v>
      </c>
      <c r="AG305" s="864">
        <f t="shared" si="272"/>
        <v>53.846999999999994</v>
      </c>
      <c r="AH305" s="864">
        <f t="shared" si="272"/>
        <v>54.213999999999999</v>
      </c>
      <c r="AI305" s="849">
        <f t="shared" si="272"/>
        <v>53.819999999999993</v>
      </c>
      <c r="AJ305" s="848">
        <f t="shared" si="272"/>
        <v>216.95499999999998</v>
      </c>
      <c r="AK305" s="849">
        <f t="shared" si="272"/>
        <v>56.355000000000004</v>
      </c>
      <c r="AL305" s="864">
        <f t="shared" si="272"/>
        <v>56.355000000000004</v>
      </c>
      <c r="AM305" s="850">
        <f t="shared" si="272"/>
        <v>58.640999999999998</v>
      </c>
      <c r="AN305" s="864">
        <f>AN34-AN290-AN315</f>
        <v>59.006456439999994</v>
      </c>
      <c r="AO305" s="848">
        <f>SUM(AK305,AL305,AM305,AN305)</f>
        <v>230.35745643999999</v>
      </c>
      <c r="AP305" s="864">
        <f>AP34-AP290-AP315</f>
        <v>58.266815444999992</v>
      </c>
      <c r="AQ305" s="864">
        <f>AQ34-AQ290-AQ315</f>
        <v>59.007892039999987</v>
      </c>
      <c r="AR305" s="864">
        <f>AR34-AR290-AR315</f>
        <v>60.060086999999996</v>
      </c>
      <c r="AS305" s="864">
        <f>AS34-AS290-AS315</f>
        <v>60.086089552000004</v>
      </c>
      <c r="AT305" s="848">
        <f>SUM(AP305,AQ305,AR305,AS305)</f>
        <v>237.42088403699998</v>
      </c>
      <c r="AU305" s="865">
        <f>AU34-AU290-AU315</f>
        <v>245.66868779460123</v>
      </c>
      <c r="AV305" s="865">
        <f>AV34-AV290-AV315</f>
        <v>253.15600000626159</v>
      </c>
      <c r="AW305" s="865">
        <f>AW34-AW290-AW315</f>
        <v>261.04093725948991</v>
      </c>
      <c r="AX305" s="793"/>
    </row>
    <row r="306" spans="1:50" s="7" customFormat="1" x14ac:dyDescent="0.45">
      <c r="A306" s="104" t="s">
        <v>33</v>
      </c>
      <c r="B306" s="150"/>
      <c r="C306" s="860">
        <f t="shared" ref="C306:AW306" si="273">C302-C305</f>
        <v>187.01600000000002</v>
      </c>
      <c r="D306" s="860">
        <f t="shared" si="273"/>
        <v>234.81700000000001</v>
      </c>
      <c r="E306" s="860">
        <f t="shared" si="273"/>
        <v>289.43</v>
      </c>
      <c r="F306" s="860">
        <f t="shared" si="273"/>
        <v>283.14599999999996</v>
      </c>
      <c r="G306" s="859">
        <f t="shared" si="273"/>
        <v>64.881999999999991</v>
      </c>
      <c r="H306" s="859">
        <f t="shared" si="273"/>
        <v>67.048000000000002</v>
      </c>
      <c r="I306" s="859">
        <f t="shared" si="273"/>
        <v>42.99799999999999</v>
      </c>
      <c r="J306" s="859">
        <f t="shared" si="273"/>
        <v>65.787000000000006</v>
      </c>
      <c r="K306" s="860">
        <f t="shared" si="273"/>
        <v>240.71500000000003</v>
      </c>
      <c r="L306" s="859">
        <f t="shared" si="273"/>
        <v>66.25</v>
      </c>
      <c r="M306" s="859">
        <f t="shared" si="273"/>
        <v>68.211999999999989</v>
      </c>
      <c r="N306" s="859">
        <f t="shared" si="273"/>
        <v>73.100999999999999</v>
      </c>
      <c r="O306" s="859">
        <f t="shared" si="273"/>
        <v>76.122</v>
      </c>
      <c r="P306" s="860">
        <f t="shared" si="273"/>
        <v>283.68499999999995</v>
      </c>
      <c r="Q306" s="859">
        <f t="shared" si="273"/>
        <v>69.626000000000019</v>
      </c>
      <c r="R306" s="859">
        <f t="shared" si="273"/>
        <v>72.266999999999996</v>
      </c>
      <c r="S306" s="859">
        <f t="shared" si="273"/>
        <v>66.750000000000014</v>
      </c>
      <c r="T306" s="859">
        <f t="shared" si="273"/>
        <v>74.160000000000011</v>
      </c>
      <c r="U306" s="860">
        <f t="shared" si="273"/>
        <v>282.803</v>
      </c>
      <c r="V306" s="859">
        <f t="shared" si="273"/>
        <v>70.936999999999998</v>
      </c>
      <c r="W306" s="859">
        <f t="shared" si="273"/>
        <v>76.812999999999988</v>
      </c>
      <c r="X306" s="859">
        <f t="shared" si="273"/>
        <v>78.47399999999999</v>
      </c>
      <c r="Y306" s="846">
        <f t="shared" si="273"/>
        <v>80.698999999999984</v>
      </c>
      <c r="Z306" s="845">
        <f t="shared" si="273"/>
        <v>306.92300000000006</v>
      </c>
      <c r="AA306" s="846">
        <f t="shared" si="273"/>
        <v>76.561999999999998</v>
      </c>
      <c r="AB306" s="859">
        <f t="shared" si="273"/>
        <v>79.248999999999995</v>
      </c>
      <c r="AC306" s="859">
        <f t="shared" si="273"/>
        <v>76.305000000000007</v>
      </c>
      <c r="AD306" s="846">
        <f t="shared" si="273"/>
        <v>80.39500000000001</v>
      </c>
      <c r="AE306" s="845">
        <f t="shared" si="273"/>
        <v>312.51099999999997</v>
      </c>
      <c r="AF306" s="846">
        <f t="shared" si="273"/>
        <v>78.126000000000019</v>
      </c>
      <c r="AG306" s="859">
        <f t="shared" si="273"/>
        <v>76.474000000000004</v>
      </c>
      <c r="AH306" s="859">
        <f t="shared" si="273"/>
        <v>76.652999999999992</v>
      </c>
      <c r="AI306" s="846">
        <f t="shared" si="273"/>
        <v>80.965000000000003</v>
      </c>
      <c r="AJ306" s="845">
        <f t="shared" si="273"/>
        <v>312.21800000000002</v>
      </c>
      <c r="AK306" s="846">
        <f t="shared" si="273"/>
        <v>75.505999999999986</v>
      </c>
      <c r="AL306" s="859">
        <f t="shared" si="273"/>
        <v>77.900999999999996</v>
      </c>
      <c r="AM306" s="847">
        <f t="shared" si="273"/>
        <v>79.099000000000018</v>
      </c>
      <c r="AN306" s="859">
        <f t="shared" si="273"/>
        <v>79.646333560000016</v>
      </c>
      <c r="AO306" s="845">
        <f t="shared" si="273"/>
        <v>312.15233355999999</v>
      </c>
      <c r="AP306" s="859">
        <f t="shared" si="273"/>
        <v>78.671369555000012</v>
      </c>
      <c r="AQ306" s="859">
        <f t="shared" si="273"/>
        <v>79.768367959999992</v>
      </c>
      <c r="AR306" s="859">
        <f t="shared" si="273"/>
        <v>81.722593000000032</v>
      </c>
      <c r="AS306" s="859">
        <f t="shared" si="273"/>
        <v>82.473452248000001</v>
      </c>
      <c r="AT306" s="845">
        <f t="shared" si="273"/>
        <v>322.63578276300007</v>
      </c>
      <c r="AU306" s="860">
        <f t="shared" si="273"/>
        <v>331.1648292081988</v>
      </c>
      <c r="AV306" s="860">
        <f t="shared" si="273"/>
        <v>341.34286465707203</v>
      </c>
      <c r="AW306" s="860">
        <f t="shared" si="273"/>
        <v>352.06633185663992</v>
      </c>
      <c r="AX306" s="795"/>
    </row>
    <row r="307" spans="1:50" s="7" customFormat="1" x14ac:dyDescent="0.45">
      <c r="A307" s="105"/>
      <c r="B307" s="106"/>
      <c r="C307" s="881"/>
      <c r="D307" s="881"/>
      <c r="E307" s="881"/>
      <c r="F307" s="881"/>
      <c r="G307" s="866"/>
      <c r="H307" s="866"/>
      <c r="I307" s="866"/>
      <c r="J307" s="866"/>
      <c r="K307" s="881"/>
      <c r="L307" s="866"/>
      <c r="M307" s="866"/>
      <c r="N307" s="866"/>
      <c r="O307" s="866"/>
      <c r="P307" s="881"/>
      <c r="Q307" s="866"/>
      <c r="R307" s="866"/>
      <c r="S307" s="866"/>
      <c r="T307" s="866"/>
      <c r="U307" s="881"/>
      <c r="V307" s="866"/>
      <c r="W307" s="866"/>
      <c r="X307" s="866"/>
      <c r="Y307" s="852"/>
      <c r="Z307" s="851"/>
      <c r="AA307" s="852"/>
      <c r="AB307" s="866"/>
      <c r="AC307" s="866"/>
      <c r="AD307" s="852"/>
      <c r="AE307" s="851"/>
      <c r="AF307" s="852"/>
      <c r="AG307" s="866"/>
      <c r="AH307" s="866"/>
      <c r="AI307" s="852"/>
      <c r="AJ307" s="851"/>
      <c r="AK307" s="852"/>
      <c r="AL307" s="866"/>
      <c r="AM307" s="853"/>
      <c r="AN307" s="896"/>
      <c r="AO307" s="855"/>
      <c r="AP307" s="896"/>
      <c r="AQ307" s="896"/>
      <c r="AR307" s="896"/>
      <c r="AS307" s="896"/>
      <c r="AT307" s="855"/>
      <c r="AU307" s="897"/>
      <c r="AV307" s="897"/>
      <c r="AW307" s="897"/>
      <c r="AX307" s="795"/>
    </row>
    <row r="308" spans="1:50" s="29" customFormat="1" x14ac:dyDescent="0.45">
      <c r="A308" s="111" t="s">
        <v>380</v>
      </c>
      <c r="B308" s="149"/>
      <c r="C308" s="882">
        <f t="shared" ref="C308:AM308" si="274">C252-C291</f>
        <v>16.437999999999999</v>
      </c>
      <c r="D308" s="882">
        <f t="shared" si="274"/>
        <v>21.645</v>
      </c>
      <c r="E308" s="882">
        <f t="shared" si="274"/>
        <v>31.184999999999999</v>
      </c>
      <c r="F308" s="882">
        <f t="shared" si="274"/>
        <v>30.634999999999998</v>
      </c>
      <c r="G308" s="861">
        <f t="shared" si="274"/>
        <v>5.5720000000000001</v>
      </c>
      <c r="H308" s="861">
        <f t="shared" si="274"/>
        <v>7.5259999999999998</v>
      </c>
      <c r="I308" s="861">
        <f t="shared" si="274"/>
        <v>13.075000000000001</v>
      </c>
      <c r="J308" s="861">
        <f t="shared" si="274"/>
        <v>15.027999999999999</v>
      </c>
      <c r="K308" s="882">
        <f t="shared" si="274"/>
        <v>41.201000000000001</v>
      </c>
      <c r="L308" s="861">
        <f t="shared" si="274"/>
        <v>16.153000000000002</v>
      </c>
      <c r="M308" s="861">
        <f t="shared" si="274"/>
        <v>16.800999999999998</v>
      </c>
      <c r="N308" s="861">
        <f t="shared" si="274"/>
        <v>18.355</v>
      </c>
      <c r="O308" s="861">
        <f t="shared" si="274"/>
        <v>17.535</v>
      </c>
      <c r="P308" s="882">
        <f t="shared" si="274"/>
        <v>68.843999999999994</v>
      </c>
      <c r="Q308" s="861">
        <f t="shared" si="274"/>
        <v>16.975000000000001</v>
      </c>
      <c r="R308" s="861">
        <f t="shared" si="274"/>
        <v>17.878</v>
      </c>
      <c r="S308" s="861">
        <f t="shared" si="274"/>
        <v>14.451000000000001</v>
      </c>
      <c r="T308" s="861">
        <f t="shared" si="274"/>
        <v>16.039000000000001</v>
      </c>
      <c r="U308" s="882">
        <f t="shared" si="274"/>
        <v>65.343000000000004</v>
      </c>
      <c r="V308" s="861">
        <f t="shared" si="274"/>
        <v>18.141000000000002</v>
      </c>
      <c r="W308" s="861">
        <f t="shared" si="274"/>
        <v>17.958000000000002</v>
      </c>
      <c r="X308" s="861">
        <f t="shared" si="274"/>
        <v>19.440999999999999</v>
      </c>
      <c r="Y308" s="841">
        <f t="shared" si="274"/>
        <v>21.827999999999999</v>
      </c>
      <c r="Z308" s="840">
        <f t="shared" si="274"/>
        <v>77.367999999999995</v>
      </c>
      <c r="AA308" s="841">
        <f t="shared" si="274"/>
        <v>19.628</v>
      </c>
      <c r="AB308" s="861">
        <f t="shared" si="274"/>
        <v>19.013999999999999</v>
      </c>
      <c r="AC308" s="861">
        <f t="shared" si="274"/>
        <v>20.088000000000001</v>
      </c>
      <c r="AD308" s="841">
        <f t="shared" si="274"/>
        <v>20.491</v>
      </c>
      <c r="AE308" s="840">
        <f t="shared" si="274"/>
        <v>79.221000000000004</v>
      </c>
      <c r="AF308" s="841">
        <f t="shared" si="274"/>
        <v>21.518000000000001</v>
      </c>
      <c r="AG308" s="861">
        <f t="shared" si="274"/>
        <v>17.645</v>
      </c>
      <c r="AH308" s="861">
        <f t="shared" si="274"/>
        <v>19.821999999999999</v>
      </c>
      <c r="AI308" s="841">
        <f t="shared" si="274"/>
        <v>19.09</v>
      </c>
      <c r="AJ308" s="840">
        <f t="shared" si="274"/>
        <v>78.075000000000003</v>
      </c>
      <c r="AK308" s="841">
        <f t="shared" si="274"/>
        <v>21.023</v>
      </c>
      <c r="AL308" s="861">
        <f t="shared" si="274"/>
        <v>18.972000000000001</v>
      </c>
      <c r="AM308" s="842">
        <f t="shared" si="274"/>
        <v>19.062999999999999</v>
      </c>
      <c r="AN308" s="862">
        <f>AN302*AN214-AN291</f>
        <v>19.066001760000002</v>
      </c>
      <c r="AO308" s="844">
        <f>SUM(AK308,AL308,AM308,AN308)</f>
        <v>78.124001760000013</v>
      </c>
      <c r="AP308" s="862">
        <f>AP302*AP214-AP291</f>
        <v>21.968676895000005</v>
      </c>
      <c r="AQ308" s="862">
        <f>AQ302*AQ214-AQ291</f>
        <v>19.916438999999997</v>
      </c>
      <c r="AR308" s="862">
        <f>AR302*AR214-AR291</f>
        <v>19.091357880000004</v>
      </c>
      <c r="AS308" s="862">
        <f>AS302*AS214-AS291</f>
        <v>20.056252644600001</v>
      </c>
      <c r="AT308" s="844">
        <f>SUM(AP308,AQ308,AR308,AS308)</f>
        <v>81.03272641960001</v>
      </c>
      <c r="AU308" s="863">
        <f>AU302*AU214-AU291</f>
        <v>81.771360516414404</v>
      </c>
      <c r="AV308" s="863">
        <f>AV302*AV214-AV291</f>
        <v>83.791333105510049</v>
      </c>
      <c r="AW308" s="863">
        <f>AW302*AW214-AW291</f>
        <v>85.913661290954948</v>
      </c>
      <c r="AX308" s="793"/>
    </row>
    <row r="309" spans="1:50" s="29" customFormat="1" x14ac:dyDescent="0.45">
      <c r="A309" s="219" t="s">
        <v>526</v>
      </c>
      <c r="B309" s="501"/>
      <c r="C309" s="865">
        <f t="shared" ref="C309:AM309" si="275">C251-C292-C314</f>
        <v>81.408000000000001</v>
      </c>
      <c r="D309" s="865">
        <f t="shared" si="275"/>
        <v>100.682</v>
      </c>
      <c r="E309" s="865">
        <f t="shared" si="275"/>
        <v>120.77500000000001</v>
      </c>
      <c r="F309" s="865">
        <f t="shared" si="275"/>
        <v>139.52900000000002</v>
      </c>
      <c r="G309" s="864">
        <f t="shared" si="275"/>
        <v>32.774000000000001</v>
      </c>
      <c r="H309" s="864">
        <f t="shared" si="275"/>
        <v>36.251000000000005</v>
      </c>
      <c r="I309" s="864">
        <f t="shared" si="275"/>
        <v>34.267999999999994</v>
      </c>
      <c r="J309" s="864">
        <f t="shared" si="275"/>
        <v>36.033000000000001</v>
      </c>
      <c r="K309" s="865">
        <f t="shared" si="275"/>
        <v>139.32600000000002</v>
      </c>
      <c r="L309" s="864">
        <f t="shared" si="275"/>
        <v>33.972999999999992</v>
      </c>
      <c r="M309" s="864">
        <f t="shared" si="275"/>
        <v>35.737000000000002</v>
      </c>
      <c r="N309" s="864">
        <f t="shared" si="275"/>
        <v>38.376999999999995</v>
      </c>
      <c r="O309" s="864">
        <f t="shared" si="275"/>
        <v>38.059000000000005</v>
      </c>
      <c r="P309" s="865">
        <f t="shared" si="275"/>
        <v>146.14599999999999</v>
      </c>
      <c r="Q309" s="864">
        <f t="shared" si="275"/>
        <v>36.415000000000006</v>
      </c>
      <c r="R309" s="864">
        <f t="shared" si="275"/>
        <v>34.53</v>
      </c>
      <c r="S309" s="864">
        <f t="shared" si="275"/>
        <v>36.692</v>
      </c>
      <c r="T309" s="864">
        <f t="shared" si="275"/>
        <v>37.19</v>
      </c>
      <c r="U309" s="865">
        <f t="shared" si="275"/>
        <v>144.827</v>
      </c>
      <c r="V309" s="864">
        <f t="shared" si="275"/>
        <v>37</v>
      </c>
      <c r="W309" s="864">
        <f t="shared" si="275"/>
        <v>38.82</v>
      </c>
      <c r="X309" s="864">
        <f t="shared" si="275"/>
        <v>33.501999999999995</v>
      </c>
      <c r="Y309" s="849">
        <f t="shared" si="275"/>
        <v>38.11</v>
      </c>
      <c r="Z309" s="848">
        <f t="shared" si="275"/>
        <v>147.43199999999999</v>
      </c>
      <c r="AA309" s="849">
        <f t="shared" si="275"/>
        <v>38.659999999999997</v>
      </c>
      <c r="AB309" s="864">
        <f t="shared" si="275"/>
        <v>36.088999999999999</v>
      </c>
      <c r="AC309" s="864">
        <f t="shared" si="275"/>
        <v>38.283000000000001</v>
      </c>
      <c r="AD309" s="849">
        <f t="shared" si="275"/>
        <v>60.475999999999999</v>
      </c>
      <c r="AE309" s="848">
        <f t="shared" si="275"/>
        <v>173.50800000000001</v>
      </c>
      <c r="AF309" s="849">
        <f t="shared" si="275"/>
        <v>39.97</v>
      </c>
      <c r="AG309" s="864">
        <f t="shared" si="275"/>
        <v>28.564999999999998</v>
      </c>
      <c r="AH309" s="864">
        <f t="shared" si="275"/>
        <v>35.099000000000004</v>
      </c>
      <c r="AI309" s="849">
        <f t="shared" si="275"/>
        <v>39.016000000000005</v>
      </c>
      <c r="AJ309" s="848">
        <f t="shared" si="275"/>
        <v>142.64999999999998</v>
      </c>
      <c r="AK309" s="849">
        <f t="shared" si="275"/>
        <v>34.636000000000003</v>
      </c>
      <c r="AL309" s="864">
        <f t="shared" si="275"/>
        <v>34.073</v>
      </c>
      <c r="AM309" s="850">
        <f t="shared" si="275"/>
        <v>37.363</v>
      </c>
      <c r="AN309" s="864">
        <f>AN302*AN216-AN292-AN314</f>
        <v>37.582364899999995</v>
      </c>
      <c r="AO309" s="848">
        <f>SUM(AK309,AL309,AM309,AN309)</f>
        <v>143.65436489999999</v>
      </c>
      <c r="AP309" s="864">
        <f>AP302*AP216-AP292-AP314</f>
        <v>36.229208239999991</v>
      </c>
      <c r="AQ309" s="864">
        <f>AQ302*AQ216-AQ292-AQ314</f>
        <v>35.261444179999984</v>
      </c>
      <c r="AR309" s="864">
        <f>AR302*AR216-AR292-AR314</f>
        <v>38.12728276</v>
      </c>
      <c r="AS309" s="864">
        <f>AS302*AS216-AS292-AS314</f>
        <v>39.078577041599999</v>
      </c>
      <c r="AT309" s="848">
        <f>SUM(AP309,AQ309,AR309,AS309)</f>
        <v>148.69651222159996</v>
      </c>
      <c r="AU309" s="865">
        <f>AU302*AU216-AU292-AU314</f>
        <v>151.45005510083999</v>
      </c>
      <c r="AV309" s="865">
        <f>AV302*AV216-AV292-AV314</f>
        <v>156.74965939900005</v>
      </c>
      <c r="AW309" s="865">
        <f>AW302*AW216-AW292-AW314</f>
        <v>161.7190734657228</v>
      </c>
      <c r="AX309" s="793"/>
    </row>
    <row r="310" spans="1:50" s="7" customFormat="1" x14ac:dyDescent="0.45">
      <c r="A310" s="104" t="s">
        <v>64</v>
      </c>
      <c r="B310" s="150"/>
      <c r="C310" s="860">
        <f t="shared" ref="C310:AW310" si="276">C306-SUM(C308:C309)</f>
        <v>89.170000000000016</v>
      </c>
      <c r="D310" s="860">
        <f t="shared" si="276"/>
        <v>112.49000000000001</v>
      </c>
      <c r="E310" s="860">
        <f t="shared" si="276"/>
        <v>137.47</v>
      </c>
      <c r="F310" s="860">
        <f t="shared" si="276"/>
        <v>112.98199999999994</v>
      </c>
      <c r="G310" s="859">
        <f t="shared" si="276"/>
        <v>26.535999999999987</v>
      </c>
      <c r="H310" s="859">
        <f t="shared" si="276"/>
        <v>23.271000000000001</v>
      </c>
      <c r="I310" s="859">
        <f t="shared" si="276"/>
        <v>-4.345000000000006</v>
      </c>
      <c r="J310" s="859">
        <f t="shared" si="276"/>
        <v>14.726000000000006</v>
      </c>
      <c r="K310" s="860">
        <f t="shared" si="276"/>
        <v>60.188000000000017</v>
      </c>
      <c r="L310" s="859">
        <f t="shared" si="276"/>
        <v>16.124000000000009</v>
      </c>
      <c r="M310" s="859">
        <f t="shared" si="276"/>
        <v>15.673999999999992</v>
      </c>
      <c r="N310" s="859">
        <f t="shared" si="276"/>
        <v>16.369</v>
      </c>
      <c r="O310" s="859">
        <f t="shared" si="276"/>
        <v>20.527999999999992</v>
      </c>
      <c r="P310" s="860">
        <f t="shared" si="276"/>
        <v>68.694999999999965</v>
      </c>
      <c r="Q310" s="859">
        <f t="shared" si="276"/>
        <v>16.236000000000011</v>
      </c>
      <c r="R310" s="859">
        <f t="shared" si="276"/>
        <v>19.858999999999995</v>
      </c>
      <c r="S310" s="859">
        <f t="shared" si="276"/>
        <v>15.607000000000014</v>
      </c>
      <c r="T310" s="859">
        <f t="shared" si="276"/>
        <v>20.931000000000012</v>
      </c>
      <c r="U310" s="860">
        <f t="shared" si="276"/>
        <v>72.632999999999981</v>
      </c>
      <c r="V310" s="859">
        <f t="shared" si="276"/>
        <v>15.795999999999992</v>
      </c>
      <c r="W310" s="859">
        <f t="shared" si="276"/>
        <v>20.034999999999982</v>
      </c>
      <c r="X310" s="859">
        <f t="shared" si="276"/>
        <v>25.530999999999992</v>
      </c>
      <c r="Y310" s="846">
        <f t="shared" si="276"/>
        <v>20.760999999999981</v>
      </c>
      <c r="Z310" s="845">
        <f t="shared" si="276"/>
        <v>82.123000000000076</v>
      </c>
      <c r="AA310" s="846">
        <f t="shared" si="276"/>
        <v>18.274000000000001</v>
      </c>
      <c r="AB310" s="859">
        <f t="shared" si="276"/>
        <v>24.146000000000001</v>
      </c>
      <c r="AC310" s="859">
        <f t="shared" si="276"/>
        <v>17.934000000000005</v>
      </c>
      <c r="AD310" s="846">
        <f t="shared" si="276"/>
        <v>-0.57199999999998852</v>
      </c>
      <c r="AE310" s="845">
        <f t="shared" si="276"/>
        <v>59.781999999999954</v>
      </c>
      <c r="AF310" s="846">
        <f t="shared" si="276"/>
        <v>16.638000000000019</v>
      </c>
      <c r="AG310" s="859">
        <f t="shared" si="276"/>
        <v>30.26400000000001</v>
      </c>
      <c r="AH310" s="859">
        <f t="shared" si="276"/>
        <v>21.731999999999985</v>
      </c>
      <c r="AI310" s="846">
        <f t="shared" si="276"/>
        <v>22.858999999999995</v>
      </c>
      <c r="AJ310" s="845">
        <f t="shared" si="276"/>
        <v>91.493000000000052</v>
      </c>
      <c r="AK310" s="846">
        <f t="shared" si="276"/>
        <v>19.84699999999998</v>
      </c>
      <c r="AL310" s="859">
        <f t="shared" si="276"/>
        <v>24.855999999999995</v>
      </c>
      <c r="AM310" s="847">
        <f t="shared" si="276"/>
        <v>22.673000000000016</v>
      </c>
      <c r="AN310" s="859">
        <f t="shared" si="276"/>
        <v>22.997966900000023</v>
      </c>
      <c r="AO310" s="845">
        <f t="shared" si="276"/>
        <v>90.373966899999971</v>
      </c>
      <c r="AP310" s="859">
        <f t="shared" si="276"/>
        <v>20.47348442000002</v>
      </c>
      <c r="AQ310" s="859">
        <f t="shared" si="276"/>
        <v>24.590484780000011</v>
      </c>
      <c r="AR310" s="859">
        <f t="shared" si="276"/>
        <v>24.503952360000028</v>
      </c>
      <c r="AS310" s="859">
        <f t="shared" si="276"/>
        <v>23.338622561800001</v>
      </c>
      <c r="AT310" s="845">
        <f t="shared" si="276"/>
        <v>92.906544121800096</v>
      </c>
      <c r="AU310" s="860">
        <f t="shared" si="276"/>
        <v>97.943413590944402</v>
      </c>
      <c r="AV310" s="860">
        <f t="shared" si="276"/>
        <v>100.80187215256194</v>
      </c>
      <c r="AW310" s="860">
        <f t="shared" si="276"/>
        <v>104.43359709996218</v>
      </c>
      <c r="AX310" s="795"/>
    </row>
    <row r="311" spans="1:50" s="7" customFormat="1" x14ac:dyDescent="0.45">
      <c r="A311" s="105" t="str">
        <f>CONCATENATE("Adjusted ",A310,IF(AND(ROUND(SUM(C310:XFD310)-SUM(C311:XFD311),6)=0)," (No Adjustments)",""))</f>
        <v>Adjusted EBITDA (No Adjustments)</v>
      </c>
      <c r="B311" s="106"/>
      <c r="C311" s="881">
        <f t="shared" ref="C311:AN311" si="277">C310</f>
        <v>89.170000000000016</v>
      </c>
      <c r="D311" s="881">
        <f t="shared" si="277"/>
        <v>112.49000000000001</v>
      </c>
      <c r="E311" s="881">
        <f t="shared" si="277"/>
        <v>137.47</v>
      </c>
      <c r="F311" s="881">
        <f t="shared" si="277"/>
        <v>112.98199999999994</v>
      </c>
      <c r="G311" s="866">
        <f t="shared" si="277"/>
        <v>26.535999999999987</v>
      </c>
      <c r="H311" s="866">
        <f t="shared" si="277"/>
        <v>23.271000000000001</v>
      </c>
      <c r="I311" s="866">
        <f t="shared" si="277"/>
        <v>-4.345000000000006</v>
      </c>
      <c r="J311" s="866">
        <f t="shared" si="277"/>
        <v>14.726000000000006</v>
      </c>
      <c r="K311" s="881">
        <f t="shared" si="277"/>
        <v>60.188000000000017</v>
      </c>
      <c r="L311" s="866">
        <f t="shared" si="277"/>
        <v>16.124000000000009</v>
      </c>
      <c r="M311" s="866">
        <f t="shared" si="277"/>
        <v>15.673999999999992</v>
      </c>
      <c r="N311" s="866">
        <f t="shared" si="277"/>
        <v>16.369</v>
      </c>
      <c r="O311" s="866">
        <f t="shared" si="277"/>
        <v>20.527999999999992</v>
      </c>
      <c r="P311" s="881">
        <f t="shared" si="277"/>
        <v>68.694999999999965</v>
      </c>
      <c r="Q311" s="866">
        <f t="shared" si="277"/>
        <v>16.236000000000011</v>
      </c>
      <c r="R311" s="866">
        <f t="shared" si="277"/>
        <v>19.858999999999995</v>
      </c>
      <c r="S311" s="866">
        <f t="shared" si="277"/>
        <v>15.607000000000014</v>
      </c>
      <c r="T311" s="866">
        <f t="shared" si="277"/>
        <v>20.931000000000012</v>
      </c>
      <c r="U311" s="881">
        <f t="shared" si="277"/>
        <v>72.632999999999981</v>
      </c>
      <c r="V311" s="866">
        <f t="shared" si="277"/>
        <v>15.795999999999992</v>
      </c>
      <c r="W311" s="866">
        <f t="shared" si="277"/>
        <v>20.034999999999982</v>
      </c>
      <c r="X311" s="866">
        <f t="shared" si="277"/>
        <v>25.530999999999992</v>
      </c>
      <c r="Y311" s="852">
        <f t="shared" si="277"/>
        <v>20.760999999999981</v>
      </c>
      <c r="Z311" s="851">
        <f t="shared" si="277"/>
        <v>82.123000000000076</v>
      </c>
      <c r="AA311" s="852">
        <f t="shared" si="277"/>
        <v>18.274000000000001</v>
      </c>
      <c r="AB311" s="866">
        <f t="shared" si="277"/>
        <v>24.146000000000001</v>
      </c>
      <c r="AC311" s="866">
        <f t="shared" si="277"/>
        <v>17.934000000000005</v>
      </c>
      <c r="AD311" s="852">
        <f t="shared" si="277"/>
        <v>-0.57199999999998852</v>
      </c>
      <c r="AE311" s="851">
        <f t="shared" si="277"/>
        <v>59.781999999999954</v>
      </c>
      <c r="AF311" s="852">
        <f t="shared" si="277"/>
        <v>16.638000000000019</v>
      </c>
      <c r="AG311" s="866">
        <f t="shared" si="277"/>
        <v>30.26400000000001</v>
      </c>
      <c r="AH311" s="866">
        <f t="shared" si="277"/>
        <v>21.731999999999985</v>
      </c>
      <c r="AI311" s="852">
        <f t="shared" si="277"/>
        <v>22.858999999999995</v>
      </c>
      <c r="AJ311" s="851">
        <f t="shared" si="277"/>
        <v>91.493000000000052</v>
      </c>
      <c r="AK311" s="852">
        <f t="shared" si="277"/>
        <v>19.84699999999998</v>
      </c>
      <c r="AL311" s="866">
        <f t="shared" si="277"/>
        <v>24.855999999999995</v>
      </c>
      <c r="AM311" s="853">
        <f t="shared" si="277"/>
        <v>22.673000000000016</v>
      </c>
      <c r="AN311" s="867">
        <f t="shared" si="277"/>
        <v>22.997966900000023</v>
      </c>
      <c r="AO311" s="855">
        <f>SUM(AK311,AL311,AM311,AN311)</f>
        <v>90.373966900000013</v>
      </c>
      <c r="AP311" s="867">
        <f>AP310</f>
        <v>20.47348442000002</v>
      </c>
      <c r="AQ311" s="867">
        <f>AQ310</f>
        <v>24.590484780000011</v>
      </c>
      <c r="AR311" s="867">
        <f>AR310</f>
        <v>24.503952360000028</v>
      </c>
      <c r="AS311" s="867">
        <f>AS310</f>
        <v>23.338622561800001</v>
      </c>
      <c r="AT311" s="855">
        <f>SUM(AP311,AQ311,AR311,AS311)</f>
        <v>92.906544121800067</v>
      </c>
      <c r="AU311" s="868">
        <f>AU310</f>
        <v>97.943413590944402</v>
      </c>
      <c r="AV311" s="868">
        <f>AV310</f>
        <v>100.80187215256194</v>
      </c>
      <c r="AW311" s="868">
        <f>AW310</f>
        <v>104.43359709996218</v>
      </c>
      <c r="AX311" s="795"/>
    </row>
    <row r="312" spans="1:50" s="136" customFormat="1" x14ac:dyDescent="0.45">
      <c r="A312" s="951" t="str">
        <f>CONCATENATE("Consensus Estimates - ",IFERROR(LEFT(A311,FIND("(",A311)-1),A311))</f>
        <v xml:space="preserve">Consensus Estimates - Adjusted EBITDA </v>
      </c>
      <c r="B312" s="952"/>
      <c r="C312" s="886"/>
      <c r="D312" s="886"/>
      <c r="E312" s="886"/>
      <c r="F312" s="886"/>
      <c r="G312" s="887"/>
      <c r="H312" s="887"/>
      <c r="I312" s="887"/>
      <c r="J312" s="887"/>
      <c r="K312" s="886"/>
      <c r="L312" s="887"/>
      <c r="M312" s="887"/>
      <c r="N312" s="887"/>
      <c r="O312" s="887"/>
      <c r="P312" s="886"/>
      <c r="Q312" s="887"/>
      <c r="R312" s="887"/>
      <c r="S312" s="887"/>
      <c r="T312" s="887"/>
      <c r="U312" s="886"/>
      <c r="V312" s="887"/>
      <c r="W312" s="887"/>
      <c r="X312" s="888"/>
      <c r="Y312" s="888"/>
      <c r="Z312" s="889"/>
      <c r="AA312" s="890"/>
      <c r="AB312" s="887"/>
      <c r="AC312" s="888"/>
      <c r="AD312" s="890"/>
      <c r="AE312" s="898"/>
      <c r="AF312" s="890"/>
      <c r="AG312" s="887"/>
      <c r="AH312" s="888"/>
      <c r="AI312" s="890"/>
      <c r="AJ312" s="898"/>
      <c r="AK312" s="890"/>
      <c r="AL312" s="887"/>
      <c r="AM312" s="892"/>
      <c r="AN312" s="893" t="str">
        <f t="shared" ref="AN312:AW312" ca="1" si="278">IFERROR(VLOOKUP($A312,tb_ConsensusEstimate,MATCH(AN$5,OFFSET(tb_ConsensusEstimate,0,0,1,COLUMNS(tb_ConsensusEstimate)),0),FALSE),"-")</f>
        <v>N/A</v>
      </c>
      <c r="AO312" s="894" t="str">
        <f t="shared" ca="1" si="278"/>
        <v>N/A</v>
      </c>
      <c r="AP312" s="893" t="str">
        <f t="shared" ca="1" si="278"/>
        <v>N/A</v>
      </c>
      <c r="AQ312" s="893" t="str">
        <f t="shared" ca="1" si="278"/>
        <v>N/A</v>
      </c>
      <c r="AR312" s="893" t="str">
        <f t="shared" ca="1" si="278"/>
        <v>N/A</v>
      </c>
      <c r="AS312" s="893" t="str">
        <f t="shared" ca="1" si="278"/>
        <v>N/A</v>
      </c>
      <c r="AT312" s="894" t="str">
        <f t="shared" ca="1" si="278"/>
        <v>N/A</v>
      </c>
      <c r="AU312" s="895" t="str">
        <f t="shared" ca="1" si="278"/>
        <v>N/A</v>
      </c>
      <c r="AV312" s="895" t="str">
        <f t="shared" ca="1" si="278"/>
        <v>N/A</v>
      </c>
      <c r="AW312" s="895" t="str">
        <f t="shared" ca="1" si="278"/>
        <v>N/A</v>
      </c>
      <c r="AX312" s="625"/>
    </row>
    <row r="313" spans="1:50" s="34" customFormat="1" x14ac:dyDescent="0.45">
      <c r="A313" s="804"/>
      <c r="B313" s="805"/>
      <c r="C313" s="886"/>
      <c r="D313" s="886"/>
      <c r="E313" s="886"/>
      <c r="F313" s="886"/>
      <c r="G313" s="887"/>
      <c r="H313" s="887"/>
      <c r="I313" s="887"/>
      <c r="J313" s="887"/>
      <c r="K313" s="886"/>
      <c r="L313" s="887"/>
      <c r="M313" s="887"/>
      <c r="N313" s="887"/>
      <c r="O313" s="887"/>
      <c r="P313" s="886"/>
      <c r="Q313" s="887"/>
      <c r="R313" s="887"/>
      <c r="S313" s="887"/>
      <c r="T313" s="887"/>
      <c r="U313" s="886"/>
      <c r="V313" s="887"/>
      <c r="W313" s="887"/>
      <c r="X313" s="888"/>
      <c r="Y313" s="899"/>
      <c r="Z313" s="900"/>
      <c r="AA313" s="890"/>
      <c r="AB313" s="887"/>
      <c r="AC313" s="888"/>
      <c r="AD313" s="890"/>
      <c r="AE313" s="900"/>
      <c r="AF313" s="890"/>
      <c r="AG313" s="887"/>
      <c r="AH313" s="888"/>
      <c r="AI313" s="890"/>
      <c r="AJ313" s="900"/>
      <c r="AK313" s="890"/>
      <c r="AL313" s="887"/>
      <c r="AM313" s="892"/>
      <c r="AN313" s="901"/>
      <c r="AO313" s="902"/>
      <c r="AP313" s="901"/>
      <c r="AQ313" s="901"/>
      <c r="AR313" s="901"/>
      <c r="AS313" s="901"/>
      <c r="AT313" s="902"/>
      <c r="AU313" s="903"/>
      <c r="AV313" s="903"/>
      <c r="AW313" s="903"/>
      <c r="AX313" s="125"/>
    </row>
    <row r="314" spans="1:50" s="29" customFormat="1" x14ac:dyDescent="0.45">
      <c r="A314" s="111" t="s">
        <v>115</v>
      </c>
      <c r="B314" s="149"/>
      <c r="C314" s="882">
        <f t="shared" ref="C314:AL314" si="279">C485</f>
        <v>3.6629999999999998</v>
      </c>
      <c r="D314" s="882">
        <f t="shared" si="279"/>
        <v>4.3040000000000003</v>
      </c>
      <c r="E314" s="882">
        <f t="shared" si="279"/>
        <v>5.1950000000000003</v>
      </c>
      <c r="F314" s="882">
        <f t="shared" si="279"/>
        <v>6.9279999999999999</v>
      </c>
      <c r="G314" s="861">
        <f t="shared" si="279"/>
        <v>1.897</v>
      </c>
      <c r="H314" s="861">
        <f t="shared" si="279"/>
        <v>1.921</v>
      </c>
      <c r="I314" s="861">
        <f t="shared" si="279"/>
        <v>2.0790000000000002</v>
      </c>
      <c r="J314" s="861">
        <f t="shared" si="279"/>
        <v>2.1720000000000006</v>
      </c>
      <c r="K314" s="882">
        <f t="shared" si="279"/>
        <v>8.0690000000000008</v>
      </c>
      <c r="L314" s="861">
        <f t="shared" si="279"/>
        <v>2.1360000000000001</v>
      </c>
      <c r="M314" s="861">
        <f t="shared" si="279"/>
        <v>2.266</v>
      </c>
      <c r="N314" s="861">
        <f t="shared" si="279"/>
        <v>2.3529999999999998</v>
      </c>
      <c r="O314" s="861">
        <f t="shared" si="279"/>
        <v>2.5680000000000005</v>
      </c>
      <c r="P314" s="882">
        <f t="shared" si="279"/>
        <v>9.3230000000000004</v>
      </c>
      <c r="Q314" s="861">
        <f t="shared" si="279"/>
        <v>2.2789999999999999</v>
      </c>
      <c r="R314" s="861">
        <f t="shared" si="279"/>
        <v>2.17</v>
      </c>
      <c r="S314" s="861">
        <f t="shared" si="279"/>
        <v>2.1280000000000001</v>
      </c>
      <c r="T314" s="861">
        <f t="shared" si="279"/>
        <v>2.2569999999999997</v>
      </c>
      <c r="U314" s="882">
        <f t="shared" si="279"/>
        <v>8.8339999999999996</v>
      </c>
      <c r="V314" s="861">
        <f t="shared" si="279"/>
        <v>2.5539999999999998</v>
      </c>
      <c r="W314" s="861">
        <f t="shared" si="279"/>
        <v>2.552</v>
      </c>
      <c r="X314" s="861">
        <f t="shared" si="279"/>
        <v>2.4560000000000004</v>
      </c>
      <c r="Y314" s="841">
        <f t="shared" si="279"/>
        <v>2.5179999999999998</v>
      </c>
      <c r="Z314" s="840">
        <f t="shared" si="279"/>
        <v>10.08</v>
      </c>
      <c r="AA314" s="841">
        <f t="shared" si="279"/>
        <v>2.774</v>
      </c>
      <c r="AB314" s="861">
        <f t="shared" si="279"/>
        <v>2.5999999999999996</v>
      </c>
      <c r="AC314" s="861">
        <f t="shared" si="279"/>
        <v>2.6429999999999998</v>
      </c>
      <c r="AD314" s="841">
        <f t="shared" si="279"/>
        <v>2.4809999999999999</v>
      </c>
      <c r="AE314" s="840">
        <f t="shared" si="279"/>
        <v>10.497999999999999</v>
      </c>
      <c r="AF314" s="841">
        <f t="shared" si="279"/>
        <v>2.3929999999999998</v>
      </c>
      <c r="AG314" s="861">
        <f t="shared" si="279"/>
        <v>2.6030000000000006</v>
      </c>
      <c r="AH314" s="861">
        <f t="shared" si="279"/>
        <v>2.7249999999999996</v>
      </c>
      <c r="AI314" s="841">
        <f t="shared" si="279"/>
        <v>2.577</v>
      </c>
      <c r="AJ314" s="840">
        <f t="shared" si="279"/>
        <v>10.298</v>
      </c>
      <c r="AK314" s="841">
        <f t="shared" si="279"/>
        <v>2.0920000000000001</v>
      </c>
      <c r="AL314" s="861">
        <f t="shared" si="279"/>
        <v>2.0100000000000002</v>
      </c>
      <c r="AM314" s="842">
        <f>AM485</f>
        <v>2.351</v>
      </c>
      <c r="AN314" s="874">
        <v>2.2000000000000002</v>
      </c>
      <c r="AO314" s="844">
        <f>SUM(AK314,AL314,AM314,AN314)</f>
        <v>8.6530000000000005</v>
      </c>
      <c r="AP314" s="874">
        <v>2.2000000000000002</v>
      </c>
      <c r="AQ314" s="874">
        <v>2.2000000000000002</v>
      </c>
      <c r="AR314" s="874">
        <v>2.2000000000000002</v>
      </c>
      <c r="AS314" s="874">
        <v>2.2000000000000002</v>
      </c>
      <c r="AT314" s="844">
        <f>SUM(AP314,AQ314,AR314,AS314)</f>
        <v>8.8000000000000007</v>
      </c>
      <c r="AU314" s="875">
        <v>8.8000000000000007</v>
      </c>
      <c r="AV314" s="875">
        <v>8.8000000000000007</v>
      </c>
      <c r="AW314" s="875">
        <v>8.8000000000000007</v>
      </c>
      <c r="AX314" s="793"/>
    </row>
    <row r="315" spans="1:50" s="29" customFormat="1" x14ac:dyDescent="0.45">
      <c r="A315" s="61" t="s">
        <v>522</v>
      </c>
      <c r="B315" s="147"/>
      <c r="C315" s="840">
        <f t="shared" ref="C315:AN315" si="280">C299+C296</f>
        <v>5.9269999999999996</v>
      </c>
      <c r="D315" s="840">
        <f t="shared" si="280"/>
        <v>8.6639999999999997</v>
      </c>
      <c r="E315" s="840">
        <f t="shared" si="280"/>
        <v>10.556999999999999</v>
      </c>
      <c r="F315" s="840">
        <f t="shared" si="280"/>
        <v>12.367999999999999</v>
      </c>
      <c r="G315" s="841">
        <f t="shared" si="280"/>
        <v>3.351</v>
      </c>
      <c r="H315" s="841">
        <f t="shared" si="280"/>
        <v>3.5600000000000005</v>
      </c>
      <c r="I315" s="841">
        <f t="shared" si="280"/>
        <v>5.1089999999999991</v>
      </c>
      <c r="J315" s="841">
        <f t="shared" si="280"/>
        <v>3.843</v>
      </c>
      <c r="K315" s="840">
        <f t="shared" si="280"/>
        <v>15.863</v>
      </c>
      <c r="L315" s="841">
        <f t="shared" si="280"/>
        <v>4.46</v>
      </c>
      <c r="M315" s="841">
        <f t="shared" si="280"/>
        <v>4.3740000000000006</v>
      </c>
      <c r="N315" s="841">
        <f t="shared" si="280"/>
        <v>3.9320000000000004</v>
      </c>
      <c r="O315" s="841">
        <f t="shared" si="280"/>
        <v>3.4849999999999999</v>
      </c>
      <c r="P315" s="840">
        <f t="shared" si="280"/>
        <v>16.251000000000001</v>
      </c>
      <c r="Q315" s="841">
        <f t="shared" si="280"/>
        <v>3.3420000000000001</v>
      </c>
      <c r="R315" s="841">
        <f t="shared" si="280"/>
        <v>3.3940000000000001</v>
      </c>
      <c r="S315" s="841">
        <f t="shared" si="280"/>
        <v>3.4020000000000001</v>
      </c>
      <c r="T315" s="841">
        <f t="shared" si="280"/>
        <v>5.3989999999999991</v>
      </c>
      <c r="U315" s="840">
        <f t="shared" si="280"/>
        <v>15.536999999999999</v>
      </c>
      <c r="V315" s="841">
        <f t="shared" si="280"/>
        <v>5.3979999999999997</v>
      </c>
      <c r="W315" s="841">
        <f t="shared" si="280"/>
        <v>5.4779999999999998</v>
      </c>
      <c r="X315" s="841">
        <f t="shared" si="280"/>
        <v>4.8140000000000001</v>
      </c>
      <c r="Y315" s="841">
        <f t="shared" si="280"/>
        <v>4.2290000000000001</v>
      </c>
      <c r="Z315" s="840">
        <f t="shared" si="280"/>
        <v>19.919</v>
      </c>
      <c r="AA315" s="841">
        <f t="shared" si="280"/>
        <v>4.6719999999999997</v>
      </c>
      <c r="AB315" s="841">
        <f t="shared" si="280"/>
        <v>5.1070000000000002</v>
      </c>
      <c r="AC315" s="841">
        <f t="shared" si="280"/>
        <v>5.9649999999999999</v>
      </c>
      <c r="AD315" s="841">
        <f t="shared" si="280"/>
        <v>6.3449999999999989</v>
      </c>
      <c r="AE315" s="840">
        <f t="shared" si="280"/>
        <v>22.088999999999999</v>
      </c>
      <c r="AF315" s="841">
        <f t="shared" si="280"/>
        <v>6.5440000000000005</v>
      </c>
      <c r="AG315" s="841">
        <f t="shared" si="280"/>
        <v>6.923</v>
      </c>
      <c r="AH315" s="841">
        <f t="shared" si="280"/>
        <v>7.0990000000000002</v>
      </c>
      <c r="AI315" s="841">
        <f t="shared" si="280"/>
        <v>7.9240000000000013</v>
      </c>
      <c r="AJ315" s="840">
        <f t="shared" si="280"/>
        <v>28.490000000000002</v>
      </c>
      <c r="AK315" s="841">
        <f t="shared" si="280"/>
        <v>8.4130000000000003</v>
      </c>
      <c r="AL315" s="841">
        <f t="shared" si="280"/>
        <v>8.843</v>
      </c>
      <c r="AM315" s="842">
        <f t="shared" si="280"/>
        <v>8.963000000000001</v>
      </c>
      <c r="AN315" s="843">
        <f t="shared" si="280"/>
        <v>8.6999999999999993</v>
      </c>
      <c r="AO315" s="844">
        <f t="shared" ref="AO315:AO321" si="281">SUM(AK315,AL315,AM315,AN315)</f>
        <v>34.918999999999997</v>
      </c>
      <c r="AP315" s="843">
        <f>AP299+AP296</f>
        <v>8.6999999999999993</v>
      </c>
      <c r="AQ315" s="843">
        <f>AQ299+AQ296</f>
        <v>8.6999999999999993</v>
      </c>
      <c r="AR315" s="843">
        <f>AR299+AR296</f>
        <v>8.6999999999999993</v>
      </c>
      <c r="AS315" s="843">
        <f>AS299+AS296</f>
        <v>8.6999999999999993</v>
      </c>
      <c r="AT315" s="844">
        <f t="shared" ref="AT315:AT319" si="282">SUM(AP315,AQ315,AR315,AS315)</f>
        <v>34.799999999999997</v>
      </c>
      <c r="AU315" s="844">
        <f>AU299+AU296</f>
        <v>34.799999999999997</v>
      </c>
      <c r="AV315" s="844">
        <f>AV299+AV296</f>
        <v>34.799999999999997</v>
      </c>
      <c r="AW315" s="844">
        <f>AW299+AW296</f>
        <v>34.799999999999997</v>
      </c>
      <c r="AX315" s="793"/>
    </row>
    <row r="316" spans="1:50" s="29" customFormat="1" x14ac:dyDescent="0.45">
      <c r="A316" s="61" t="s">
        <v>523</v>
      </c>
      <c r="B316" s="147"/>
      <c r="C316" s="840">
        <f t="shared" ref="C316:AN316" si="283">C295</f>
        <v>1.7829999999999999</v>
      </c>
      <c r="D316" s="840">
        <f t="shared" si="283"/>
        <v>1.6819999999999999</v>
      </c>
      <c r="E316" s="840">
        <f t="shared" si="283"/>
        <v>2.198</v>
      </c>
      <c r="F316" s="840">
        <f t="shared" si="283"/>
        <v>4.859</v>
      </c>
      <c r="G316" s="841">
        <f t="shared" si="283"/>
        <v>1.194</v>
      </c>
      <c r="H316" s="841">
        <f t="shared" si="283"/>
        <v>1.26</v>
      </c>
      <c r="I316" s="841">
        <f t="shared" si="283"/>
        <v>1.2190000000000001</v>
      </c>
      <c r="J316" s="841">
        <f t="shared" si="283"/>
        <v>1.1319999999999999</v>
      </c>
      <c r="K316" s="840">
        <f t="shared" si="283"/>
        <v>4.8049999999999997</v>
      </c>
      <c r="L316" s="841">
        <f t="shared" si="283"/>
        <v>0.98299999999999998</v>
      </c>
      <c r="M316" s="841">
        <f t="shared" si="283"/>
        <v>0.90800000000000003</v>
      </c>
      <c r="N316" s="841">
        <f t="shared" si="283"/>
        <v>0.90400000000000003</v>
      </c>
      <c r="O316" s="841">
        <f t="shared" si="283"/>
        <v>0.89800000000000002</v>
      </c>
      <c r="P316" s="840">
        <f t="shared" si="283"/>
        <v>3.6930000000000001</v>
      </c>
      <c r="Q316" s="841">
        <f t="shared" si="283"/>
        <v>0.89700000000000002</v>
      </c>
      <c r="R316" s="841">
        <f t="shared" si="283"/>
        <v>0.89700000000000002</v>
      </c>
      <c r="S316" s="841">
        <f t="shared" si="283"/>
        <v>0.89800000000000002</v>
      </c>
      <c r="T316" s="841">
        <f t="shared" si="283"/>
        <v>2.6760000000000002</v>
      </c>
      <c r="U316" s="840">
        <f t="shared" si="283"/>
        <v>5.3680000000000003</v>
      </c>
      <c r="V316" s="841">
        <f t="shared" si="283"/>
        <v>2.7040000000000002</v>
      </c>
      <c r="W316" s="841">
        <f t="shared" si="283"/>
        <v>2.617</v>
      </c>
      <c r="X316" s="841">
        <f t="shared" si="283"/>
        <v>2.5680000000000001</v>
      </c>
      <c r="Y316" s="841">
        <f t="shared" si="283"/>
        <v>2.5460000000000012</v>
      </c>
      <c r="Z316" s="840">
        <f t="shared" si="283"/>
        <v>10.435</v>
      </c>
      <c r="AA316" s="841">
        <f t="shared" si="283"/>
        <v>2.0470000000000002</v>
      </c>
      <c r="AB316" s="841">
        <f t="shared" si="283"/>
        <v>2.012</v>
      </c>
      <c r="AC316" s="841">
        <f t="shared" si="283"/>
        <v>1.956</v>
      </c>
      <c r="AD316" s="841">
        <f t="shared" si="283"/>
        <v>1.794999999999999</v>
      </c>
      <c r="AE316" s="840">
        <f t="shared" si="283"/>
        <v>7.81</v>
      </c>
      <c r="AF316" s="841">
        <f t="shared" si="283"/>
        <v>1.1679999999999999</v>
      </c>
      <c r="AG316" s="841">
        <f t="shared" si="283"/>
        <v>1.121</v>
      </c>
      <c r="AH316" s="841">
        <f t="shared" si="283"/>
        <v>1.028</v>
      </c>
      <c r="AI316" s="841">
        <f t="shared" si="283"/>
        <v>1.0270000000000006</v>
      </c>
      <c r="AJ316" s="840">
        <f t="shared" si="283"/>
        <v>4.3440000000000003</v>
      </c>
      <c r="AK316" s="841">
        <f t="shared" si="283"/>
        <v>0.86499999999999999</v>
      </c>
      <c r="AL316" s="841">
        <f t="shared" si="283"/>
        <v>0.86399999999999999</v>
      </c>
      <c r="AM316" s="842">
        <f t="shared" si="283"/>
        <v>0.96399999999999997</v>
      </c>
      <c r="AN316" s="843">
        <f t="shared" si="283"/>
        <v>0.9</v>
      </c>
      <c r="AO316" s="844">
        <f t="shared" si="281"/>
        <v>3.593</v>
      </c>
      <c r="AP316" s="843">
        <f>AP295</f>
        <v>0.9</v>
      </c>
      <c r="AQ316" s="843">
        <f>AQ295</f>
        <v>0.9</v>
      </c>
      <c r="AR316" s="843">
        <f>AR295</f>
        <v>0.9</v>
      </c>
      <c r="AS316" s="843">
        <f>AS295</f>
        <v>0.9</v>
      </c>
      <c r="AT316" s="844">
        <f t="shared" si="282"/>
        <v>3.6</v>
      </c>
      <c r="AU316" s="844">
        <f>AU295</f>
        <v>3.6</v>
      </c>
      <c r="AV316" s="844">
        <f>AV295</f>
        <v>3.6</v>
      </c>
      <c r="AW316" s="844">
        <f>AW295</f>
        <v>3.6</v>
      </c>
      <c r="AX316" s="793"/>
    </row>
    <row r="317" spans="1:50" s="29" customFormat="1" x14ac:dyDescent="0.45">
      <c r="A317" s="650" t="s">
        <v>65</v>
      </c>
      <c r="B317" s="651"/>
      <c r="C317" s="882">
        <f t="shared" ref="C317:AN317" si="284">C293</f>
        <v>2.073</v>
      </c>
      <c r="D317" s="882">
        <f t="shared" si="284"/>
        <v>3.7479999999999998</v>
      </c>
      <c r="E317" s="882">
        <f t="shared" si="284"/>
        <v>3.3209999999999997</v>
      </c>
      <c r="F317" s="882">
        <f t="shared" si="284"/>
        <v>2.327</v>
      </c>
      <c r="G317" s="861">
        <f t="shared" si="284"/>
        <v>0.54099999999999993</v>
      </c>
      <c r="H317" s="861">
        <f t="shared" si="284"/>
        <v>0.58400000000000007</v>
      </c>
      <c r="I317" s="861">
        <f t="shared" si="284"/>
        <v>0.70700000000000007</v>
      </c>
      <c r="J317" s="861">
        <f t="shared" si="284"/>
        <v>0.65800000000000003</v>
      </c>
      <c r="K317" s="882">
        <f t="shared" si="284"/>
        <v>2.4900000000000002</v>
      </c>
      <c r="L317" s="861">
        <f t="shared" si="284"/>
        <v>0.79</v>
      </c>
      <c r="M317" s="861">
        <f t="shared" si="284"/>
        <v>0.86699999999999999</v>
      </c>
      <c r="N317" s="861">
        <f t="shared" si="284"/>
        <v>0.97</v>
      </c>
      <c r="O317" s="861">
        <f t="shared" si="284"/>
        <v>0.84499999999999975</v>
      </c>
      <c r="P317" s="882">
        <f t="shared" si="284"/>
        <v>3.472</v>
      </c>
      <c r="Q317" s="861">
        <f t="shared" si="284"/>
        <v>0.68399999999999994</v>
      </c>
      <c r="R317" s="861">
        <f t="shared" si="284"/>
        <v>0.90099999999999991</v>
      </c>
      <c r="S317" s="861">
        <f t="shared" si="284"/>
        <v>0.74299999999999999</v>
      </c>
      <c r="T317" s="861">
        <f t="shared" si="284"/>
        <v>0.96699999999999986</v>
      </c>
      <c r="U317" s="882">
        <f t="shared" si="284"/>
        <v>3.2949999999999999</v>
      </c>
      <c r="V317" s="861">
        <f t="shared" si="284"/>
        <v>1.2589999999999999</v>
      </c>
      <c r="W317" s="861">
        <f t="shared" si="284"/>
        <v>1.9179999999999999</v>
      </c>
      <c r="X317" s="861">
        <f t="shared" si="284"/>
        <v>2.0010000000000003</v>
      </c>
      <c r="Y317" s="861">
        <f t="shared" si="284"/>
        <v>2.42</v>
      </c>
      <c r="Z317" s="882">
        <f t="shared" si="284"/>
        <v>7.5979999999999999</v>
      </c>
      <c r="AA317" s="861">
        <f t="shared" si="284"/>
        <v>2.0409999999999999</v>
      </c>
      <c r="AB317" s="861">
        <f t="shared" si="284"/>
        <v>3.0909999999999997</v>
      </c>
      <c r="AC317" s="861">
        <f t="shared" si="284"/>
        <v>3.4530000000000003</v>
      </c>
      <c r="AD317" s="861">
        <f t="shared" si="284"/>
        <v>3.6110000000000007</v>
      </c>
      <c r="AE317" s="882">
        <f t="shared" si="284"/>
        <v>12.196000000000002</v>
      </c>
      <c r="AF317" s="861">
        <f t="shared" si="284"/>
        <v>3.1160000000000001</v>
      </c>
      <c r="AG317" s="861">
        <f t="shared" si="284"/>
        <v>4.1349999999999998</v>
      </c>
      <c r="AH317" s="861">
        <f t="shared" si="284"/>
        <v>4.6980000000000004</v>
      </c>
      <c r="AI317" s="861">
        <f t="shared" si="284"/>
        <v>4.1529999999999996</v>
      </c>
      <c r="AJ317" s="882">
        <f t="shared" si="284"/>
        <v>16.102</v>
      </c>
      <c r="AK317" s="861">
        <f t="shared" si="284"/>
        <v>4.891</v>
      </c>
      <c r="AL317" s="861">
        <f t="shared" si="284"/>
        <v>4.3159999999999998</v>
      </c>
      <c r="AM317" s="883">
        <f t="shared" si="284"/>
        <v>4.6209999999999996</v>
      </c>
      <c r="AN317" s="861">
        <f t="shared" si="284"/>
        <v>4.5999999999999996</v>
      </c>
      <c r="AO317" s="882">
        <f t="shared" si="281"/>
        <v>18.427999999999997</v>
      </c>
      <c r="AP317" s="861">
        <f>AP293</f>
        <v>4.5999999999999996</v>
      </c>
      <c r="AQ317" s="861">
        <f>AQ293</f>
        <v>4.5999999999999996</v>
      </c>
      <c r="AR317" s="861">
        <f>AR293</f>
        <v>4.5999999999999996</v>
      </c>
      <c r="AS317" s="861">
        <f>AS293</f>
        <v>4.5999999999999996</v>
      </c>
      <c r="AT317" s="882">
        <f t="shared" si="282"/>
        <v>18.399999999999999</v>
      </c>
      <c r="AU317" s="882">
        <f>AU293</f>
        <v>18.399999999999999</v>
      </c>
      <c r="AV317" s="882">
        <f>AV293</f>
        <v>18.399999999999999</v>
      </c>
      <c r="AW317" s="882">
        <f>AW293</f>
        <v>18.399999999999999</v>
      </c>
      <c r="AX317" s="793"/>
    </row>
    <row r="318" spans="1:50" s="700" customFormat="1" x14ac:dyDescent="0.45">
      <c r="A318" s="650" t="s">
        <v>67</v>
      </c>
      <c r="B318" s="651"/>
      <c r="C318" s="882"/>
      <c r="D318" s="882"/>
      <c r="E318" s="882"/>
      <c r="F318" s="882"/>
      <c r="G318" s="861"/>
      <c r="H318" s="861"/>
      <c r="I318" s="861"/>
      <c r="J318" s="861"/>
      <c r="K318" s="882"/>
      <c r="L318" s="861"/>
      <c r="M318" s="861"/>
      <c r="N318" s="861"/>
      <c r="O318" s="861"/>
      <c r="P318" s="882"/>
      <c r="Q318" s="861"/>
      <c r="R318" s="861"/>
      <c r="S318" s="861"/>
      <c r="T318" s="861"/>
      <c r="U318" s="882"/>
      <c r="V318" s="861"/>
      <c r="W318" s="861"/>
      <c r="X318" s="861"/>
      <c r="Y318" s="861"/>
      <c r="Z318" s="882"/>
      <c r="AA318" s="861"/>
      <c r="AB318" s="861"/>
      <c r="AC318" s="861"/>
      <c r="AD318" s="861"/>
      <c r="AE318" s="882"/>
      <c r="AF318" s="861"/>
      <c r="AG318" s="861"/>
      <c r="AH318" s="861"/>
      <c r="AI318" s="861"/>
      <c r="AJ318" s="882"/>
      <c r="AK318" s="861"/>
      <c r="AL318" s="861"/>
      <c r="AM318" s="883"/>
      <c r="AN318" s="884">
        <v>0</v>
      </c>
      <c r="AO318" s="882">
        <f t="shared" si="281"/>
        <v>0</v>
      </c>
      <c r="AP318" s="884">
        <v>0</v>
      </c>
      <c r="AQ318" s="884">
        <v>0</v>
      </c>
      <c r="AR318" s="884">
        <v>0</v>
      </c>
      <c r="AS318" s="884">
        <v>0</v>
      </c>
      <c r="AT318" s="882">
        <f t="shared" si="282"/>
        <v>0</v>
      </c>
      <c r="AU318" s="885">
        <v>0</v>
      </c>
      <c r="AV318" s="885">
        <v>0</v>
      </c>
      <c r="AW318" s="885">
        <v>0</v>
      </c>
      <c r="AX318" s="792"/>
    </row>
    <row r="319" spans="1:50" s="29" customFormat="1" x14ac:dyDescent="0.45">
      <c r="A319" s="650" t="s">
        <v>68</v>
      </c>
      <c r="B319" s="651"/>
      <c r="C319" s="882">
        <f t="shared" ref="C319:AM319" si="285">C254+C255</f>
        <v>0</v>
      </c>
      <c r="D319" s="882">
        <f t="shared" si="285"/>
        <v>0</v>
      </c>
      <c r="E319" s="882">
        <f t="shared" si="285"/>
        <v>0</v>
      </c>
      <c r="F319" s="882">
        <f t="shared" si="285"/>
        <v>17.399999999999999</v>
      </c>
      <c r="G319" s="861">
        <f t="shared" si="285"/>
        <v>0</v>
      </c>
      <c r="H319" s="861">
        <f t="shared" si="285"/>
        <v>0</v>
      </c>
      <c r="I319" s="861">
        <f t="shared" si="285"/>
        <v>5.8730000000000002</v>
      </c>
      <c r="J319" s="861">
        <f t="shared" si="285"/>
        <v>0</v>
      </c>
      <c r="K319" s="882">
        <f t="shared" si="285"/>
        <v>5.8730000000000002</v>
      </c>
      <c r="L319" s="861">
        <f t="shared" si="285"/>
        <v>0</v>
      </c>
      <c r="M319" s="861">
        <f t="shared" si="285"/>
        <v>0</v>
      </c>
      <c r="N319" s="861">
        <f t="shared" si="285"/>
        <v>0</v>
      </c>
      <c r="O319" s="861">
        <f t="shared" si="285"/>
        <v>0</v>
      </c>
      <c r="P319" s="882">
        <f t="shared" si="285"/>
        <v>0</v>
      </c>
      <c r="Q319" s="861">
        <f t="shared" si="285"/>
        <v>0</v>
      </c>
      <c r="R319" s="861">
        <f t="shared" si="285"/>
        <v>0</v>
      </c>
      <c r="S319" s="861">
        <f t="shared" si="285"/>
        <v>0</v>
      </c>
      <c r="T319" s="861">
        <f t="shared" si="285"/>
        <v>32.238</v>
      </c>
      <c r="U319" s="882">
        <f t="shared" si="285"/>
        <v>32.238</v>
      </c>
      <c r="V319" s="861">
        <f t="shared" si="285"/>
        <v>3.7530000000000001</v>
      </c>
      <c r="W319" s="861">
        <f t="shared" si="285"/>
        <v>0.70099999999999996</v>
      </c>
      <c r="X319" s="861">
        <f t="shared" si="285"/>
        <v>0.23100000000000001</v>
      </c>
      <c r="Y319" s="861">
        <f t="shared" si="285"/>
        <v>2.3929999999999998</v>
      </c>
      <c r="Z319" s="882">
        <f t="shared" si="285"/>
        <v>7.0780000000000003</v>
      </c>
      <c r="AA319" s="861">
        <f t="shared" si="285"/>
        <v>0</v>
      </c>
      <c r="AB319" s="861">
        <f t="shared" si="285"/>
        <v>0</v>
      </c>
      <c r="AC319" s="861">
        <f t="shared" si="285"/>
        <v>0.13</v>
      </c>
      <c r="AD319" s="861">
        <f t="shared" si="285"/>
        <v>4.2380000000000004</v>
      </c>
      <c r="AE319" s="882">
        <f t="shared" si="285"/>
        <v>4.3680000000000003</v>
      </c>
      <c r="AF319" s="861">
        <f t="shared" si="285"/>
        <v>0</v>
      </c>
      <c r="AG319" s="861">
        <f t="shared" si="285"/>
        <v>0</v>
      </c>
      <c r="AH319" s="861">
        <f t="shared" si="285"/>
        <v>0</v>
      </c>
      <c r="AI319" s="861">
        <f t="shared" si="285"/>
        <v>0.64</v>
      </c>
      <c r="AJ319" s="882">
        <f t="shared" si="285"/>
        <v>0.64</v>
      </c>
      <c r="AK319" s="861">
        <f t="shared" si="285"/>
        <v>2.1960000000000002</v>
      </c>
      <c r="AL319" s="861">
        <f t="shared" si="285"/>
        <v>2.0909999999999997</v>
      </c>
      <c r="AM319" s="883">
        <f t="shared" si="285"/>
        <v>2.4939999999999998</v>
      </c>
      <c r="AN319" s="884">
        <v>0</v>
      </c>
      <c r="AO319" s="882">
        <f t="shared" si="281"/>
        <v>6.7809999999999997</v>
      </c>
      <c r="AP319" s="884">
        <v>0</v>
      </c>
      <c r="AQ319" s="884">
        <v>0</v>
      </c>
      <c r="AR319" s="884">
        <v>0</v>
      </c>
      <c r="AS319" s="884">
        <v>0</v>
      </c>
      <c r="AT319" s="882">
        <f t="shared" si="282"/>
        <v>0</v>
      </c>
      <c r="AU319" s="885">
        <v>0</v>
      </c>
      <c r="AV319" s="885">
        <v>0</v>
      </c>
      <c r="AW319" s="885">
        <v>0</v>
      </c>
      <c r="AX319" s="793"/>
    </row>
    <row r="320" spans="1:50" s="7" customFormat="1" x14ac:dyDescent="0.45">
      <c r="A320" s="104" t="s">
        <v>66</v>
      </c>
      <c r="B320" s="150"/>
      <c r="C320" s="860">
        <f t="shared" ref="C320:AL320" si="286">C310-SUM(C314:C319)</f>
        <v>75.724000000000018</v>
      </c>
      <c r="D320" s="860">
        <f t="shared" si="286"/>
        <v>94.092000000000013</v>
      </c>
      <c r="E320" s="860">
        <f t="shared" si="286"/>
        <v>116.199</v>
      </c>
      <c r="F320" s="860">
        <f t="shared" si="286"/>
        <v>69.099999999999937</v>
      </c>
      <c r="G320" s="859">
        <f t="shared" si="286"/>
        <v>19.552999999999987</v>
      </c>
      <c r="H320" s="859">
        <f t="shared" si="286"/>
        <v>15.946</v>
      </c>
      <c r="I320" s="859">
        <f t="shared" si="286"/>
        <v>-19.332000000000004</v>
      </c>
      <c r="J320" s="859">
        <f t="shared" si="286"/>
        <v>6.9210000000000056</v>
      </c>
      <c r="K320" s="860">
        <f t="shared" si="286"/>
        <v>23.088000000000015</v>
      </c>
      <c r="L320" s="859">
        <f t="shared" si="286"/>
        <v>7.7550000000000097</v>
      </c>
      <c r="M320" s="859">
        <f t="shared" si="286"/>
        <v>7.2589999999999915</v>
      </c>
      <c r="N320" s="859">
        <f t="shared" si="286"/>
        <v>8.2099999999999991</v>
      </c>
      <c r="O320" s="859">
        <f t="shared" si="286"/>
        <v>12.731999999999992</v>
      </c>
      <c r="P320" s="860">
        <f t="shared" si="286"/>
        <v>35.95599999999996</v>
      </c>
      <c r="Q320" s="859">
        <f t="shared" si="286"/>
        <v>9.0340000000000096</v>
      </c>
      <c r="R320" s="859">
        <f t="shared" si="286"/>
        <v>12.496999999999995</v>
      </c>
      <c r="S320" s="859">
        <f t="shared" si="286"/>
        <v>8.4360000000000142</v>
      </c>
      <c r="T320" s="859">
        <f t="shared" si="286"/>
        <v>-22.605999999999987</v>
      </c>
      <c r="U320" s="860">
        <f t="shared" si="286"/>
        <v>7.36099999999999</v>
      </c>
      <c r="V320" s="859">
        <f t="shared" si="286"/>
        <v>0.12799999999999123</v>
      </c>
      <c r="W320" s="859">
        <f t="shared" si="286"/>
        <v>6.7689999999999841</v>
      </c>
      <c r="X320" s="859">
        <f t="shared" si="286"/>
        <v>13.46099999999999</v>
      </c>
      <c r="Y320" s="846">
        <f t="shared" si="286"/>
        <v>6.6549999999999798</v>
      </c>
      <c r="Z320" s="845">
        <f t="shared" si="286"/>
        <v>27.013000000000069</v>
      </c>
      <c r="AA320" s="846">
        <f t="shared" si="286"/>
        <v>6.74</v>
      </c>
      <c r="AB320" s="859">
        <f t="shared" si="286"/>
        <v>11.336000000000002</v>
      </c>
      <c r="AC320" s="859">
        <f t="shared" si="286"/>
        <v>3.7870000000000044</v>
      </c>
      <c r="AD320" s="846">
        <f t="shared" si="286"/>
        <v>-19.041999999999987</v>
      </c>
      <c r="AE320" s="845">
        <f t="shared" si="286"/>
        <v>2.8209999999999482</v>
      </c>
      <c r="AF320" s="846">
        <f t="shared" si="286"/>
        <v>3.4170000000000194</v>
      </c>
      <c r="AG320" s="859">
        <f t="shared" si="286"/>
        <v>15.48200000000001</v>
      </c>
      <c r="AH320" s="859">
        <f t="shared" si="286"/>
        <v>6.1819999999999844</v>
      </c>
      <c r="AI320" s="846">
        <f t="shared" si="286"/>
        <v>6.5379999999999932</v>
      </c>
      <c r="AJ320" s="845">
        <f t="shared" si="286"/>
        <v>31.619000000000042</v>
      </c>
      <c r="AK320" s="846">
        <f t="shared" si="286"/>
        <v>1.3899999999999757</v>
      </c>
      <c r="AL320" s="859">
        <f t="shared" si="286"/>
        <v>6.7319999999999922</v>
      </c>
      <c r="AM320" s="847">
        <f>AM310-SUM(AM314:AM319)</f>
        <v>3.2800000000000153</v>
      </c>
      <c r="AN320" s="859">
        <f t="shared" ref="AN320:AW320" si="287">AN310-SUM(AN314:AN319)</f>
        <v>6.5979669000000243</v>
      </c>
      <c r="AO320" s="845">
        <f t="shared" si="287"/>
        <v>17.999966899999976</v>
      </c>
      <c r="AP320" s="859">
        <f t="shared" si="287"/>
        <v>4.0734844200000211</v>
      </c>
      <c r="AQ320" s="859">
        <f t="shared" si="287"/>
        <v>8.1904847800000127</v>
      </c>
      <c r="AR320" s="859">
        <f t="shared" si="287"/>
        <v>8.1039523600000294</v>
      </c>
      <c r="AS320" s="859">
        <f t="shared" si="287"/>
        <v>6.9386225618000026</v>
      </c>
      <c r="AT320" s="845">
        <f t="shared" si="287"/>
        <v>27.306544121800101</v>
      </c>
      <c r="AU320" s="860">
        <f t="shared" si="287"/>
        <v>32.343413590944408</v>
      </c>
      <c r="AV320" s="860">
        <f t="shared" si="287"/>
        <v>35.201872152561947</v>
      </c>
      <c r="AW320" s="860">
        <f t="shared" si="287"/>
        <v>38.833597099962191</v>
      </c>
      <c r="AX320" s="795"/>
    </row>
    <row r="321" spans="1:50" s="7" customFormat="1" x14ac:dyDescent="0.45">
      <c r="A321" s="728" t="s">
        <v>567</v>
      </c>
      <c r="B321" s="729"/>
      <c r="C321" s="881">
        <f t="shared" ref="C321:AN321" si="288">C320+C319+C317+C297</f>
        <v>79.580000000000013</v>
      </c>
      <c r="D321" s="881">
        <f t="shared" si="288"/>
        <v>101.09500000000001</v>
      </c>
      <c r="E321" s="881">
        <f t="shared" si="288"/>
        <v>124.021</v>
      </c>
      <c r="F321" s="881">
        <f t="shared" si="288"/>
        <v>96.385999999999939</v>
      </c>
      <c r="G321" s="866">
        <f t="shared" si="288"/>
        <v>21.959999999999987</v>
      </c>
      <c r="H321" s="866">
        <f t="shared" si="288"/>
        <v>18.726000000000003</v>
      </c>
      <c r="I321" s="866">
        <f t="shared" si="288"/>
        <v>-10.474000000000004</v>
      </c>
      <c r="J321" s="866">
        <f t="shared" si="288"/>
        <v>9.5690000000000062</v>
      </c>
      <c r="K321" s="881">
        <f t="shared" si="288"/>
        <v>39.781000000000013</v>
      </c>
      <c r="L321" s="866">
        <f t="shared" si="288"/>
        <v>10.386000000000008</v>
      </c>
      <c r="M321" s="866">
        <f t="shared" si="288"/>
        <v>9.89299999999999</v>
      </c>
      <c r="N321" s="866">
        <f t="shared" si="288"/>
        <v>10.943</v>
      </c>
      <c r="O321" s="866">
        <f t="shared" si="288"/>
        <v>15.332999999999991</v>
      </c>
      <c r="P321" s="881">
        <f t="shared" si="288"/>
        <v>46.554999999999964</v>
      </c>
      <c r="Q321" s="866">
        <f t="shared" si="288"/>
        <v>11.51800000000001</v>
      </c>
      <c r="R321" s="866">
        <f t="shared" si="288"/>
        <v>15.198999999999995</v>
      </c>
      <c r="S321" s="866">
        <f t="shared" si="288"/>
        <v>10.980000000000015</v>
      </c>
      <c r="T321" s="866">
        <f t="shared" si="288"/>
        <v>16.211000000000013</v>
      </c>
      <c r="U321" s="881">
        <f t="shared" si="288"/>
        <v>53.907999999999987</v>
      </c>
      <c r="V321" s="866">
        <f t="shared" si="288"/>
        <v>10.870999999999992</v>
      </c>
      <c r="W321" s="866">
        <f t="shared" si="288"/>
        <v>15.034999999999984</v>
      </c>
      <c r="X321" s="866">
        <f t="shared" si="288"/>
        <v>21.26799999999999</v>
      </c>
      <c r="Y321" s="852">
        <f t="shared" si="288"/>
        <v>16.976999999999983</v>
      </c>
      <c r="Z321" s="851">
        <f t="shared" si="288"/>
        <v>64.151000000000067</v>
      </c>
      <c r="AA321" s="852">
        <f t="shared" si="288"/>
        <v>14.229000000000001</v>
      </c>
      <c r="AB321" s="866">
        <f t="shared" si="288"/>
        <v>20.246000000000002</v>
      </c>
      <c r="AC321" s="866">
        <f t="shared" si="288"/>
        <v>13.453000000000005</v>
      </c>
      <c r="AD321" s="852">
        <f t="shared" si="288"/>
        <v>-5.1619999999999893</v>
      </c>
      <c r="AE321" s="851">
        <f t="shared" si="288"/>
        <v>42.765999999999948</v>
      </c>
      <c r="AF321" s="852">
        <f t="shared" si="288"/>
        <v>11.988000000000019</v>
      </c>
      <c r="AG321" s="866">
        <f t="shared" si="288"/>
        <v>25.02600000000001</v>
      </c>
      <c r="AH321" s="866">
        <f t="shared" si="288"/>
        <v>16.195999999999984</v>
      </c>
      <c r="AI321" s="852">
        <f t="shared" si="288"/>
        <v>16.646999999999995</v>
      </c>
      <c r="AJ321" s="851">
        <f t="shared" si="288"/>
        <v>69.857000000000056</v>
      </c>
      <c r="AK321" s="852">
        <f t="shared" si="288"/>
        <v>13.629999999999976</v>
      </c>
      <c r="AL321" s="866">
        <f t="shared" si="288"/>
        <v>18.290999999999993</v>
      </c>
      <c r="AM321" s="853">
        <f t="shared" si="288"/>
        <v>16.040000000000013</v>
      </c>
      <c r="AN321" s="866">
        <f t="shared" si="288"/>
        <v>16.497966900000023</v>
      </c>
      <c r="AO321" s="851">
        <f t="shared" si="281"/>
        <v>64.458966900000007</v>
      </c>
      <c r="AP321" s="866">
        <f>AP320+AP319+AP317+AP297</f>
        <v>13.973484420000021</v>
      </c>
      <c r="AQ321" s="866">
        <f>AQ320+AQ319+AQ317+AQ297</f>
        <v>18.090484780000011</v>
      </c>
      <c r="AR321" s="866">
        <f>AR320+AR319+AR317+AR297</f>
        <v>18.003952360000028</v>
      </c>
      <c r="AS321" s="866">
        <f>AS320+AS319+AS317+AS297</f>
        <v>16.838622561800001</v>
      </c>
      <c r="AT321" s="851">
        <f t="shared" ref="AT321" si="289">SUM(AP321,AQ321,AR321,AS321)</f>
        <v>66.906544121800067</v>
      </c>
      <c r="AU321" s="881">
        <f>AU320+AU319+AU317+AU297</f>
        <v>71.943413590944402</v>
      </c>
      <c r="AV321" s="881">
        <f>AV320+AV319+AV317+AV297</f>
        <v>74.801872152561941</v>
      </c>
      <c r="AW321" s="881">
        <f>AW320+AW319+AW317+AW297</f>
        <v>78.433597099962185</v>
      </c>
      <c r="AX321" s="795"/>
    </row>
    <row r="322" spans="1:50" s="136" customFormat="1" x14ac:dyDescent="0.45">
      <c r="A322" s="951" t="str">
        <f>CONCATENATE("Consensus Estimates - ",IFERROR(LEFT(A321,FIND("(",A321)-1),A321))</f>
        <v>Consensus Estimates - Adjusted EBIT</v>
      </c>
      <c r="B322" s="952"/>
      <c r="C322" s="886"/>
      <c r="D322" s="886"/>
      <c r="E322" s="886"/>
      <c r="F322" s="886"/>
      <c r="G322" s="887"/>
      <c r="H322" s="887"/>
      <c r="I322" s="887"/>
      <c r="J322" s="887"/>
      <c r="K322" s="886"/>
      <c r="L322" s="887"/>
      <c r="M322" s="887"/>
      <c r="N322" s="887"/>
      <c r="O322" s="887"/>
      <c r="P322" s="886"/>
      <c r="Q322" s="887"/>
      <c r="R322" s="887"/>
      <c r="S322" s="887"/>
      <c r="T322" s="887"/>
      <c r="U322" s="886"/>
      <c r="V322" s="887"/>
      <c r="W322" s="887"/>
      <c r="X322" s="888"/>
      <c r="Y322" s="888"/>
      <c r="Z322" s="889"/>
      <c r="AA322" s="890"/>
      <c r="AB322" s="887"/>
      <c r="AC322" s="888"/>
      <c r="AD322" s="890"/>
      <c r="AE322" s="898"/>
      <c r="AF322" s="890"/>
      <c r="AG322" s="887"/>
      <c r="AH322" s="888"/>
      <c r="AI322" s="890"/>
      <c r="AJ322" s="898"/>
      <c r="AK322" s="890"/>
      <c r="AL322" s="887"/>
      <c r="AM322" s="892"/>
      <c r="AN322" s="893" t="str">
        <f t="shared" ref="AN322:AW322" ca="1" si="290">IFERROR(VLOOKUP($A322,tb_ConsensusEstimate,MATCH(AN$5,OFFSET(tb_ConsensusEstimate,0,0,1,COLUMNS(tb_ConsensusEstimate)),0),FALSE),"-")</f>
        <v>N/A</v>
      </c>
      <c r="AO322" s="894" t="str">
        <f t="shared" ca="1" si="290"/>
        <v>N/A</v>
      </c>
      <c r="AP322" s="893" t="str">
        <f t="shared" ca="1" si="290"/>
        <v>N/A</v>
      </c>
      <c r="AQ322" s="893" t="str">
        <f t="shared" ca="1" si="290"/>
        <v>N/A</v>
      </c>
      <c r="AR322" s="893" t="str">
        <f t="shared" ca="1" si="290"/>
        <v>N/A</v>
      </c>
      <c r="AS322" s="893" t="str">
        <f t="shared" ca="1" si="290"/>
        <v>N/A</v>
      </c>
      <c r="AT322" s="894" t="str">
        <f t="shared" ca="1" si="290"/>
        <v>N/A</v>
      </c>
      <c r="AU322" s="895" t="str">
        <f t="shared" ca="1" si="290"/>
        <v>N/A</v>
      </c>
      <c r="AV322" s="895" t="str">
        <f t="shared" ca="1" si="290"/>
        <v>N/A</v>
      </c>
      <c r="AW322" s="895" t="str">
        <f t="shared" ca="1" si="290"/>
        <v>N/A</v>
      </c>
      <c r="AX322" s="625"/>
    </row>
    <row r="323" spans="1:50" s="29" customFormat="1" x14ac:dyDescent="0.45">
      <c r="A323" s="111"/>
      <c r="B323" s="149"/>
      <c r="C323" s="882"/>
      <c r="D323" s="882"/>
      <c r="E323" s="882"/>
      <c r="F323" s="882"/>
      <c r="G323" s="861"/>
      <c r="H323" s="861"/>
      <c r="I323" s="861"/>
      <c r="J323" s="861"/>
      <c r="K323" s="882"/>
      <c r="L323" s="861"/>
      <c r="M323" s="861"/>
      <c r="N323" s="861"/>
      <c r="O323" s="861"/>
      <c r="P323" s="882"/>
      <c r="Q323" s="861"/>
      <c r="R323" s="861"/>
      <c r="S323" s="861"/>
      <c r="T323" s="861"/>
      <c r="U323" s="882"/>
      <c r="V323" s="861"/>
      <c r="W323" s="861"/>
      <c r="X323" s="861"/>
      <c r="Y323" s="841"/>
      <c r="Z323" s="840"/>
      <c r="AA323" s="841"/>
      <c r="AB323" s="861"/>
      <c r="AC323" s="861"/>
      <c r="AD323" s="841"/>
      <c r="AE323" s="840"/>
      <c r="AF323" s="841"/>
      <c r="AG323" s="861"/>
      <c r="AH323" s="861"/>
      <c r="AI323" s="841"/>
      <c r="AJ323" s="840"/>
      <c r="AK323" s="841"/>
      <c r="AL323" s="861"/>
      <c r="AM323" s="842"/>
      <c r="AN323" s="874"/>
      <c r="AO323" s="844"/>
      <c r="AP323" s="874"/>
      <c r="AQ323" s="874"/>
      <c r="AR323" s="874"/>
      <c r="AS323" s="874"/>
      <c r="AT323" s="844"/>
      <c r="AU323" s="875"/>
      <c r="AV323" s="875"/>
      <c r="AW323" s="875"/>
      <c r="AX323" s="793"/>
    </row>
    <row r="324" spans="1:50" s="29" customFormat="1" x14ac:dyDescent="0.45">
      <c r="A324" s="111" t="s">
        <v>42</v>
      </c>
      <c r="B324" s="149"/>
      <c r="C324" s="882">
        <f t="shared" ref="C324:AM324" si="291">-C259</f>
        <v>0</v>
      </c>
      <c r="D324" s="882">
        <f t="shared" si="291"/>
        <v>0</v>
      </c>
      <c r="E324" s="882">
        <f t="shared" si="291"/>
        <v>0</v>
      </c>
      <c r="F324" s="882">
        <f t="shared" si="291"/>
        <v>0</v>
      </c>
      <c r="G324" s="861">
        <f t="shared" si="291"/>
        <v>0</v>
      </c>
      <c r="H324" s="861">
        <f t="shared" si="291"/>
        <v>0</v>
      </c>
      <c r="I324" s="861">
        <f t="shared" si="291"/>
        <v>0</v>
      </c>
      <c r="J324" s="861">
        <f t="shared" si="291"/>
        <v>0</v>
      </c>
      <c r="K324" s="882">
        <f t="shared" si="291"/>
        <v>0</v>
      </c>
      <c r="L324" s="861">
        <f t="shared" si="291"/>
        <v>0</v>
      </c>
      <c r="M324" s="861">
        <f t="shared" si="291"/>
        <v>0</v>
      </c>
      <c r="N324" s="861">
        <f t="shared" si="291"/>
        <v>0</v>
      </c>
      <c r="O324" s="861">
        <f t="shared" si="291"/>
        <v>0</v>
      </c>
      <c r="P324" s="882">
        <f t="shared" si="291"/>
        <v>0</v>
      </c>
      <c r="Q324" s="861">
        <f t="shared" si="291"/>
        <v>0</v>
      </c>
      <c r="R324" s="861">
        <f t="shared" si="291"/>
        <v>0</v>
      </c>
      <c r="S324" s="861">
        <f t="shared" si="291"/>
        <v>0</v>
      </c>
      <c r="T324" s="861">
        <f t="shared" si="291"/>
        <v>1.2949999999999999</v>
      </c>
      <c r="U324" s="882">
        <f t="shared" si="291"/>
        <v>1.304</v>
      </c>
      <c r="V324" s="861">
        <f t="shared" si="291"/>
        <v>1.0129999999999999</v>
      </c>
      <c r="W324" s="861">
        <f t="shared" si="291"/>
        <v>0.80300000000000005</v>
      </c>
      <c r="X324" s="861">
        <f t="shared" si="291"/>
        <v>0.629</v>
      </c>
      <c r="Y324" s="861">
        <f t="shared" si="291"/>
        <v>0.71099999999999997</v>
      </c>
      <c r="Z324" s="882">
        <f t="shared" si="291"/>
        <v>3.1560000000000001</v>
      </c>
      <c r="AA324" s="861">
        <f t="shared" si="291"/>
        <v>0.67700000000000005</v>
      </c>
      <c r="AB324" s="861">
        <f t="shared" si="291"/>
        <v>0.84</v>
      </c>
      <c r="AC324" s="861">
        <f t="shared" si="291"/>
        <v>0.73299999999999998</v>
      </c>
      <c r="AD324" s="861">
        <f t="shared" si="291"/>
        <v>1.073</v>
      </c>
      <c r="AE324" s="882">
        <f t="shared" si="291"/>
        <v>3.323</v>
      </c>
      <c r="AF324" s="861">
        <f t="shared" si="291"/>
        <v>0.73</v>
      </c>
      <c r="AG324" s="861">
        <f t="shared" si="291"/>
        <v>0.76900000000000002</v>
      </c>
      <c r="AH324" s="861">
        <f t="shared" si="291"/>
        <v>0.72</v>
      </c>
      <c r="AI324" s="861">
        <f t="shared" si="291"/>
        <v>0.59499999999999997</v>
      </c>
      <c r="AJ324" s="882">
        <f t="shared" si="291"/>
        <v>2.8140000000000001</v>
      </c>
      <c r="AK324" s="861">
        <f t="shared" si="291"/>
        <v>0.47199999999999998</v>
      </c>
      <c r="AL324" s="861">
        <f t="shared" si="291"/>
        <v>0.38700000000000001</v>
      </c>
      <c r="AM324" s="883">
        <f t="shared" si="291"/>
        <v>0.435</v>
      </c>
      <c r="AN324" s="862">
        <f>AN384</f>
        <v>0.8647486338797814</v>
      </c>
      <c r="AO324" s="863">
        <f>SUM(AK324,AL324,AM324,AN324)</f>
        <v>2.1587486338797817</v>
      </c>
      <c r="AP324" s="862">
        <f>AP384</f>
        <v>0.86711780821917805</v>
      </c>
      <c r="AQ324" s="862">
        <f>AQ384</f>
        <v>0.87664657534246571</v>
      </c>
      <c r="AR324" s="862">
        <f>AR384</f>
        <v>0.87664657534246571</v>
      </c>
      <c r="AS324" s="862">
        <f>AS384</f>
        <v>0.85758904109589051</v>
      </c>
      <c r="AT324" s="863">
        <f>SUM(AP324,AQ324,AR324,AS324)</f>
        <v>3.4780000000000002</v>
      </c>
      <c r="AU324" s="863">
        <f>AU384</f>
        <v>3.4780000000000002</v>
      </c>
      <c r="AV324" s="863">
        <f>AV384</f>
        <v>3.4780000000000002</v>
      </c>
      <c r="AW324" s="863">
        <f>AW384</f>
        <v>3.4780000000000002</v>
      </c>
      <c r="AX324" s="793"/>
    </row>
    <row r="325" spans="1:50" s="29" customFormat="1" x14ac:dyDescent="0.45">
      <c r="A325" s="111" t="s">
        <v>41</v>
      </c>
      <c r="B325" s="149"/>
      <c r="C325" s="882">
        <f t="shared" ref="C325:AM325" si="292">-C258</f>
        <v>-0.22600000000000001</v>
      </c>
      <c r="D325" s="882">
        <f t="shared" si="292"/>
        <v>-0.26300000000000001</v>
      </c>
      <c r="E325" s="882">
        <f t="shared" si="292"/>
        <v>-0.247</v>
      </c>
      <c r="F325" s="882">
        <f t="shared" si="292"/>
        <v>0.107</v>
      </c>
      <c r="G325" s="861">
        <f t="shared" si="292"/>
        <v>-3.1E-2</v>
      </c>
      <c r="H325" s="861">
        <f t="shared" si="292"/>
        <v>0.20499999999999999</v>
      </c>
      <c r="I325" s="861">
        <f t="shared" si="292"/>
        <v>-0.121</v>
      </c>
      <c r="J325" s="861">
        <f t="shared" si="292"/>
        <v>-0.32200000000000001</v>
      </c>
      <c r="K325" s="882">
        <f t="shared" si="292"/>
        <v>-0.26900000000000002</v>
      </c>
      <c r="L325" s="861">
        <f t="shared" si="292"/>
        <v>-5.3999999999999999E-2</v>
      </c>
      <c r="M325" s="861">
        <f t="shared" si="292"/>
        <v>-6.9000000000000006E-2</v>
      </c>
      <c r="N325" s="861">
        <f t="shared" si="292"/>
        <v>8.2000000000000003E-2</v>
      </c>
      <c r="O325" s="861">
        <f t="shared" si="292"/>
        <v>0.27100000000000002</v>
      </c>
      <c r="P325" s="882">
        <f t="shared" si="292"/>
        <v>0.23000000000000004</v>
      </c>
      <c r="Q325" s="861">
        <f t="shared" si="292"/>
        <v>-0.30199999999999999</v>
      </c>
      <c r="R325" s="861">
        <f t="shared" si="292"/>
        <v>-4.0999999999999995E-2</v>
      </c>
      <c r="S325" s="861">
        <f t="shared" si="292"/>
        <v>-4.9000000000000002E-2</v>
      </c>
      <c r="T325" s="861">
        <f t="shared" si="292"/>
        <v>-2.7E-2</v>
      </c>
      <c r="U325" s="882">
        <f t="shared" si="292"/>
        <v>-0.42799999999999999</v>
      </c>
      <c r="V325" s="861">
        <f t="shared" si="292"/>
        <v>-8.0000000000000002E-3</v>
      </c>
      <c r="W325" s="861">
        <f t="shared" si="292"/>
        <v>-1E-3</v>
      </c>
      <c r="X325" s="861">
        <f t="shared" si="292"/>
        <v>0</v>
      </c>
      <c r="Y325" s="861">
        <f t="shared" si="292"/>
        <v>-5.0000000000000001E-3</v>
      </c>
      <c r="Z325" s="882">
        <f t="shared" si="292"/>
        <v>-1.4E-2</v>
      </c>
      <c r="AA325" s="861">
        <f t="shared" si="292"/>
        <v>-8.9999999999999993E-3</v>
      </c>
      <c r="AB325" s="861">
        <f t="shared" si="292"/>
        <v>-1.2E-2</v>
      </c>
      <c r="AC325" s="861">
        <f t="shared" si="292"/>
        <v>-1.4999999999999999E-2</v>
      </c>
      <c r="AD325" s="861">
        <f t="shared" si="292"/>
        <v>-1.9E-2</v>
      </c>
      <c r="AE325" s="882">
        <f t="shared" si="292"/>
        <v>-5.5E-2</v>
      </c>
      <c r="AF325" s="861">
        <f t="shared" si="292"/>
        <v>-2.9000000000000001E-2</v>
      </c>
      <c r="AG325" s="861">
        <f t="shared" si="292"/>
        <v>-0.04</v>
      </c>
      <c r="AH325" s="861">
        <f t="shared" si="292"/>
        <v>-4.3999999999999997E-2</v>
      </c>
      <c r="AI325" s="861">
        <f t="shared" si="292"/>
        <v>-0.10299999999999999</v>
      </c>
      <c r="AJ325" s="882">
        <f t="shared" si="292"/>
        <v>-0.216</v>
      </c>
      <c r="AK325" s="861">
        <f t="shared" si="292"/>
        <v>-7.9000000000000001E-2</v>
      </c>
      <c r="AL325" s="861">
        <f t="shared" si="292"/>
        <v>-3.5999999999999997E-2</v>
      </c>
      <c r="AM325" s="883">
        <f t="shared" si="292"/>
        <v>-0.03</v>
      </c>
      <c r="AN325" s="862">
        <f>-AN386</f>
        <v>-1.9982704918032786E-2</v>
      </c>
      <c r="AO325" s="863">
        <f>SUM(AK325,AL325,AM325,AN325)</f>
        <v>-0.16498270491803277</v>
      </c>
      <c r="AP325" s="862">
        <f ca="1">-AP386</f>
        <v>-2.7257145069836935E-2</v>
      </c>
      <c r="AQ325" s="862">
        <f ca="1">-AQ386</f>
        <v>-3.6480672674717364E-2</v>
      </c>
      <c r="AR325" s="862">
        <f ca="1">-AR386</f>
        <v>-4.7867390439998582E-2</v>
      </c>
      <c r="AS325" s="862">
        <f ca="1">-AS386</f>
        <v>-5.6846292739038268E-2</v>
      </c>
      <c r="AT325" s="863">
        <f ca="1">SUM(AP325,AQ325,AR325,AS325)</f>
        <v>-0.16845150092359115</v>
      </c>
      <c r="AU325" s="863">
        <f ca="1">-AU386</f>
        <v>-0.27096523506215409</v>
      </c>
      <c r="AV325" s="863">
        <f ca="1">-AV386</f>
        <v>-0.44149581247345138</v>
      </c>
      <c r="AW325" s="863">
        <f ca="1">-AW386</f>
        <v>-0.61316137435340101</v>
      </c>
      <c r="AX325" s="793"/>
    </row>
    <row r="326" spans="1:50" s="29" customFormat="1" x14ac:dyDescent="0.45">
      <c r="A326" s="111" t="s">
        <v>67</v>
      </c>
      <c r="B326" s="149"/>
      <c r="C326" s="882">
        <f t="shared" ref="C326:AL326" si="293">-C260</f>
        <v>-0.26800000000000002</v>
      </c>
      <c r="D326" s="882">
        <f t="shared" si="293"/>
        <v>-6.0999999999999999E-2</v>
      </c>
      <c r="E326" s="882">
        <f t="shared" si="293"/>
        <v>0.13900000000000001</v>
      </c>
      <c r="F326" s="882">
        <f t="shared" si="293"/>
        <v>7.9000000000000001E-2</v>
      </c>
      <c r="G326" s="861">
        <f t="shared" si="293"/>
        <v>0.254</v>
      </c>
      <c r="H326" s="861">
        <f t="shared" si="293"/>
        <v>0.155</v>
      </c>
      <c r="I326" s="861">
        <f t="shared" si="293"/>
        <v>-1.7999999999999999E-2</v>
      </c>
      <c r="J326" s="861">
        <f t="shared" si="293"/>
        <v>-3.5000000000000003E-2</v>
      </c>
      <c r="K326" s="882">
        <f t="shared" si="293"/>
        <v>0.35599999999999998</v>
      </c>
      <c r="L326" s="861">
        <f t="shared" si="293"/>
        <v>-8.9999999999999993E-3</v>
      </c>
      <c r="M326" s="861">
        <f t="shared" si="293"/>
        <v>2.5999999999999999E-2</v>
      </c>
      <c r="N326" s="861">
        <f t="shared" si="293"/>
        <v>0</v>
      </c>
      <c r="O326" s="861">
        <f t="shared" si="293"/>
        <v>4.4999999999999998E-2</v>
      </c>
      <c r="P326" s="882">
        <f t="shared" si="293"/>
        <v>6.2E-2</v>
      </c>
      <c r="Q326" s="861">
        <f t="shared" si="293"/>
        <v>0.05</v>
      </c>
      <c r="R326" s="861">
        <f t="shared" si="293"/>
        <v>5.3999999999999999E-2</v>
      </c>
      <c r="S326" s="861">
        <f t="shared" si="293"/>
        <v>4.2999999999999997E-2</v>
      </c>
      <c r="T326" s="861">
        <f t="shared" si="293"/>
        <v>1.9E-2</v>
      </c>
      <c r="U326" s="882">
        <f t="shared" si="293"/>
        <v>0.16600000000000001</v>
      </c>
      <c r="V326" s="861">
        <f t="shared" si="293"/>
        <v>8.6999999999999994E-2</v>
      </c>
      <c r="W326" s="861">
        <f t="shared" si="293"/>
        <v>5.5E-2</v>
      </c>
      <c r="X326" s="861">
        <f t="shared" si="293"/>
        <v>4.0000000000000001E-3</v>
      </c>
      <c r="Y326" s="841">
        <f t="shared" si="293"/>
        <v>0.11600000000000001</v>
      </c>
      <c r="Z326" s="840">
        <f t="shared" si="293"/>
        <v>0.26200000000000001</v>
      </c>
      <c r="AA326" s="841">
        <f t="shared" si="293"/>
        <v>2.1999999999999999E-2</v>
      </c>
      <c r="AB326" s="861">
        <f t="shared" si="293"/>
        <v>-1.4999999999999999E-2</v>
      </c>
      <c r="AC326" s="861">
        <f t="shared" si="293"/>
        <v>4.1000000000000002E-2</v>
      </c>
      <c r="AD326" s="841">
        <f t="shared" si="293"/>
        <v>-8.5000000000000006E-2</v>
      </c>
      <c r="AE326" s="840">
        <f t="shared" si="293"/>
        <v>-3.6999999999999998E-2</v>
      </c>
      <c r="AF326" s="841">
        <f t="shared" si="293"/>
        <v>-0.374</v>
      </c>
      <c r="AG326" s="861">
        <f t="shared" si="293"/>
        <v>-0.23699999999999999</v>
      </c>
      <c r="AH326" s="861">
        <f t="shared" si="293"/>
        <v>0.22700000000000001</v>
      </c>
      <c r="AI326" s="841">
        <f t="shared" si="293"/>
        <v>0.11700000000000001</v>
      </c>
      <c r="AJ326" s="840">
        <f t="shared" si="293"/>
        <v>-0.26700000000000002</v>
      </c>
      <c r="AK326" s="841">
        <f t="shared" si="293"/>
        <v>0.13300000000000001</v>
      </c>
      <c r="AL326" s="861">
        <f t="shared" si="293"/>
        <v>-0.21</v>
      </c>
      <c r="AM326" s="842">
        <f>-AM260</f>
        <v>-0.13700000000000001</v>
      </c>
      <c r="AN326" s="874">
        <v>0</v>
      </c>
      <c r="AO326" s="844">
        <f t="shared" ref="AO326:AO327" si="294">SUM(AK326,AL326,AM326,AN326)</f>
        <v>-0.214</v>
      </c>
      <c r="AP326" s="874">
        <v>0</v>
      </c>
      <c r="AQ326" s="874">
        <v>0</v>
      </c>
      <c r="AR326" s="874">
        <v>0</v>
      </c>
      <c r="AS326" s="874">
        <v>0</v>
      </c>
      <c r="AT326" s="844">
        <f t="shared" ref="AT326:AT327" si="295">SUM(AP326,AQ326,AR326,AS326)</f>
        <v>0</v>
      </c>
      <c r="AU326" s="875">
        <v>0</v>
      </c>
      <c r="AV326" s="875">
        <v>0</v>
      </c>
      <c r="AW326" s="875">
        <v>0</v>
      </c>
      <c r="AX326" s="793"/>
    </row>
    <row r="327" spans="1:50" s="29" customFormat="1" x14ac:dyDescent="0.45">
      <c r="A327" s="219" t="s">
        <v>68</v>
      </c>
      <c r="B327" s="501"/>
      <c r="C327" s="865"/>
      <c r="D327" s="865"/>
      <c r="E327" s="865"/>
      <c r="F327" s="865"/>
      <c r="G327" s="864"/>
      <c r="H327" s="864"/>
      <c r="I327" s="864"/>
      <c r="J327" s="864"/>
      <c r="K327" s="865"/>
      <c r="L327" s="864"/>
      <c r="M327" s="864"/>
      <c r="N327" s="864"/>
      <c r="O327" s="864"/>
      <c r="P327" s="865"/>
      <c r="Q327" s="864"/>
      <c r="R327" s="864"/>
      <c r="S327" s="864"/>
      <c r="T327" s="864"/>
      <c r="U327" s="865"/>
      <c r="V327" s="864"/>
      <c r="W327" s="864"/>
      <c r="X327" s="864"/>
      <c r="Y327" s="849"/>
      <c r="Z327" s="848"/>
      <c r="AA327" s="849"/>
      <c r="AB327" s="864"/>
      <c r="AC327" s="864"/>
      <c r="AD327" s="849"/>
      <c r="AE327" s="848"/>
      <c r="AF327" s="849"/>
      <c r="AG327" s="864"/>
      <c r="AH327" s="864"/>
      <c r="AI327" s="849"/>
      <c r="AJ327" s="848"/>
      <c r="AK327" s="849"/>
      <c r="AL327" s="864"/>
      <c r="AM327" s="850"/>
      <c r="AN327" s="904">
        <v>0</v>
      </c>
      <c r="AO327" s="848">
        <f t="shared" si="294"/>
        <v>0</v>
      </c>
      <c r="AP327" s="904">
        <v>0</v>
      </c>
      <c r="AQ327" s="904">
        <v>0</v>
      </c>
      <c r="AR327" s="904">
        <v>0</v>
      </c>
      <c r="AS327" s="904">
        <v>0</v>
      </c>
      <c r="AT327" s="848">
        <f t="shared" si="295"/>
        <v>0</v>
      </c>
      <c r="AU327" s="905">
        <v>0</v>
      </c>
      <c r="AV327" s="905">
        <v>0</v>
      </c>
      <c r="AW327" s="905">
        <v>0</v>
      </c>
      <c r="AX327" s="793"/>
    </row>
    <row r="328" spans="1:50" s="7" customFormat="1" x14ac:dyDescent="0.45">
      <c r="A328" s="104" t="s">
        <v>69</v>
      </c>
      <c r="B328" s="150"/>
      <c r="C328" s="860">
        <f t="shared" ref="C328:AW328" si="296">C320-SUM(C324:C327)</f>
        <v>76.218000000000018</v>
      </c>
      <c r="D328" s="860">
        <f t="shared" si="296"/>
        <v>94.416000000000011</v>
      </c>
      <c r="E328" s="860">
        <f t="shared" si="296"/>
        <v>116.307</v>
      </c>
      <c r="F328" s="860">
        <f t="shared" si="296"/>
        <v>68.91399999999993</v>
      </c>
      <c r="G328" s="859">
        <f t="shared" si="296"/>
        <v>19.329999999999988</v>
      </c>
      <c r="H328" s="859">
        <f t="shared" si="296"/>
        <v>15.586</v>
      </c>
      <c r="I328" s="859">
        <f t="shared" si="296"/>
        <v>-19.193000000000005</v>
      </c>
      <c r="J328" s="859">
        <f t="shared" si="296"/>
        <v>7.2780000000000058</v>
      </c>
      <c r="K328" s="860">
        <f t="shared" si="296"/>
        <v>23.001000000000015</v>
      </c>
      <c r="L328" s="859">
        <f t="shared" si="296"/>
        <v>7.8180000000000094</v>
      </c>
      <c r="M328" s="859">
        <f t="shared" si="296"/>
        <v>7.3019999999999916</v>
      </c>
      <c r="N328" s="859">
        <f t="shared" si="296"/>
        <v>8.1279999999999983</v>
      </c>
      <c r="O328" s="859">
        <f t="shared" si="296"/>
        <v>12.415999999999991</v>
      </c>
      <c r="P328" s="860">
        <f t="shared" si="296"/>
        <v>35.663999999999959</v>
      </c>
      <c r="Q328" s="859">
        <f t="shared" si="296"/>
        <v>9.2860000000000102</v>
      </c>
      <c r="R328" s="859">
        <f t="shared" si="296"/>
        <v>12.483999999999995</v>
      </c>
      <c r="S328" s="859">
        <f t="shared" si="296"/>
        <v>8.4420000000000144</v>
      </c>
      <c r="T328" s="859">
        <f t="shared" si="296"/>
        <v>-23.892999999999986</v>
      </c>
      <c r="U328" s="860">
        <f t="shared" si="296"/>
        <v>6.3189999999999902</v>
      </c>
      <c r="V328" s="859">
        <f t="shared" si="296"/>
        <v>-0.96400000000000863</v>
      </c>
      <c r="W328" s="859">
        <f t="shared" si="296"/>
        <v>5.9119999999999839</v>
      </c>
      <c r="X328" s="859">
        <f t="shared" si="296"/>
        <v>12.827999999999989</v>
      </c>
      <c r="Y328" s="846">
        <f t="shared" si="296"/>
        <v>5.8329999999999798</v>
      </c>
      <c r="Z328" s="845">
        <f t="shared" si="296"/>
        <v>23.609000000000069</v>
      </c>
      <c r="AA328" s="846">
        <f t="shared" si="296"/>
        <v>6.05</v>
      </c>
      <c r="AB328" s="859">
        <f t="shared" si="296"/>
        <v>10.523000000000001</v>
      </c>
      <c r="AC328" s="859">
        <f t="shared" si="296"/>
        <v>3.0280000000000045</v>
      </c>
      <c r="AD328" s="846">
        <f t="shared" si="296"/>
        <v>-20.010999999999989</v>
      </c>
      <c r="AE328" s="845">
        <f t="shared" si="296"/>
        <v>-0.41000000000005166</v>
      </c>
      <c r="AF328" s="846">
        <f t="shared" si="296"/>
        <v>3.0900000000000194</v>
      </c>
      <c r="AG328" s="859">
        <f t="shared" si="296"/>
        <v>14.990000000000009</v>
      </c>
      <c r="AH328" s="859">
        <f t="shared" si="296"/>
        <v>5.2789999999999848</v>
      </c>
      <c r="AI328" s="846">
        <f t="shared" si="296"/>
        <v>5.9289999999999932</v>
      </c>
      <c r="AJ328" s="845">
        <f t="shared" si="296"/>
        <v>29.288000000000043</v>
      </c>
      <c r="AK328" s="846">
        <f t="shared" si="296"/>
        <v>0.86399999999997568</v>
      </c>
      <c r="AL328" s="859">
        <f t="shared" si="296"/>
        <v>6.5909999999999922</v>
      </c>
      <c r="AM328" s="847">
        <f t="shared" si="296"/>
        <v>3.0120000000000156</v>
      </c>
      <c r="AN328" s="859">
        <f t="shared" si="296"/>
        <v>5.7532009710382752</v>
      </c>
      <c r="AO328" s="845">
        <f t="shared" si="296"/>
        <v>16.220200971038228</v>
      </c>
      <c r="AP328" s="859">
        <f t="shared" ca="1" si="296"/>
        <v>3.23362375685068</v>
      </c>
      <c r="AQ328" s="859">
        <f t="shared" ca="1" si="296"/>
        <v>7.3503188773322643</v>
      </c>
      <c r="AR328" s="859">
        <f t="shared" ca="1" si="296"/>
        <v>7.2751731750975619</v>
      </c>
      <c r="AS328" s="859">
        <f t="shared" ca="1" si="296"/>
        <v>6.13787981344315</v>
      </c>
      <c r="AT328" s="845">
        <f t="shared" ca="1" si="296"/>
        <v>23.996995622723691</v>
      </c>
      <c r="AU328" s="860">
        <f t="shared" ca="1" si="296"/>
        <v>29.136378826006563</v>
      </c>
      <c r="AV328" s="860">
        <f t="shared" ca="1" si="296"/>
        <v>32.165367965035401</v>
      </c>
      <c r="AW328" s="860">
        <f t="shared" ca="1" si="296"/>
        <v>35.968758474315592</v>
      </c>
      <c r="AX328" s="795"/>
    </row>
    <row r="329" spans="1:50" s="34" customFormat="1" x14ac:dyDescent="0.45">
      <c r="A329" s="804"/>
      <c r="B329" s="805"/>
      <c r="C329" s="886"/>
      <c r="D329" s="886"/>
      <c r="E329" s="886"/>
      <c r="F329" s="886"/>
      <c r="G329" s="887"/>
      <c r="H329" s="887"/>
      <c r="I329" s="887"/>
      <c r="J329" s="887"/>
      <c r="K329" s="886"/>
      <c r="L329" s="887"/>
      <c r="M329" s="887"/>
      <c r="N329" s="887"/>
      <c r="O329" s="887"/>
      <c r="P329" s="886"/>
      <c r="Q329" s="887"/>
      <c r="R329" s="887"/>
      <c r="S329" s="887"/>
      <c r="T329" s="887"/>
      <c r="U329" s="886"/>
      <c r="V329" s="887"/>
      <c r="W329" s="887"/>
      <c r="X329" s="887"/>
      <c r="Y329" s="890"/>
      <c r="Z329" s="900"/>
      <c r="AA329" s="890"/>
      <c r="AB329" s="887"/>
      <c r="AC329" s="887"/>
      <c r="AD329" s="890"/>
      <c r="AE329" s="900"/>
      <c r="AF329" s="890"/>
      <c r="AG329" s="887"/>
      <c r="AH329" s="887"/>
      <c r="AI329" s="890"/>
      <c r="AJ329" s="900"/>
      <c r="AK329" s="890"/>
      <c r="AL329" s="887"/>
      <c r="AM329" s="906"/>
      <c r="AN329" s="901"/>
      <c r="AO329" s="907"/>
      <c r="AP329" s="901"/>
      <c r="AQ329" s="901"/>
      <c r="AR329" s="901"/>
      <c r="AS329" s="901"/>
      <c r="AT329" s="907"/>
      <c r="AU329" s="908"/>
      <c r="AV329" s="908"/>
      <c r="AW329" s="908"/>
      <c r="AX329" s="125"/>
    </row>
    <row r="330" spans="1:50" s="29" customFormat="1" x14ac:dyDescent="0.45">
      <c r="A330" s="111" t="s">
        <v>70</v>
      </c>
      <c r="B330" s="149"/>
      <c r="C330" s="882">
        <f t="shared" ref="C330:AM330" si="297">C262-C331</f>
        <v>28.625</v>
      </c>
      <c r="D330" s="882">
        <f t="shared" si="297"/>
        <v>37.004000000000005</v>
      </c>
      <c r="E330" s="882">
        <f t="shared" si="297"/>
        <v>48.674999999999997</v>
      </c>
      <c r="F330" s="882">
        <f t="shared" si="297"/>
        <v>35.755000000000003</v>
      </c>
      <c r="G330" s="861">
        <f t="shared" si="297"/>
        <v>5.8679999999999994</v>
      </c>
      <c r="H330" s="861">
        <f t="shared" si="297"/>
        <v>5.1559999999999997</v>
      </c>
      <c r="I330" s="861">
        <f t="shared" si="297"/>
        <v>-6.6760000000000002</v>
      </c>
      <c r="J330" s="861">
        <f t="shared" si="297"/>
        <v>6.9569999999999999</v>
      </c>
      <c r="K330" s="882">
        <f t="shared" si="297"/>
        <v>11.305</v>
      </c>
      <c r="L330" s="861">
        <f t="shared" si="297"/>
        <v>2.6389999999999998</v>
      </c>
      <c r="M330" s="861">
        <f t="shared" si="297"/>
        <v>2.5369999999999999</v>
      </c>
      <c r="N330" s="861">
        <f t="shared" si="297"/>
        <v>1.5029999999999999</v>
      </c>
      <c r="O330" s="861">
        <f t="shared" si="297"/>
        <v>13.714</v>
      </c>
      <c r="P330" s="882">
        <f t="shared" si="297"/>
        <v>20.393000000000001</v>
      </c>
      <c r="Q330" s="861">
        <f t="shared" si="297"/>
        <v>2.843</v>
      </c>
      <c r="R330" s="861">
        <f t="shared" si="297"/>
        <v>3.7810000000000001</v>
      </c>
      <c r="S330" s="861">
        <f t="shared" si="297"/>
        <v>0.8680000000000001</v>
      </c>
      <c r="T330" s="861">
        <f t="shared" si="297"/>
        <v>-16.859000000000002</v>
      </c>
      <c r="U330" s="882">
        <f t="shared" si="297"/>
        <v>-9.3669999999999991</v>
      </c>
      <c r="V330" s="861">
        <f t="shared" si="297"/>
        <v>-0.35699999999999998</v>
      </c>
      <c r="W330" s="861">
        <f t="shared" si="297"/>
        <v>1.7850000000000001</v>
      </c>
      <c r="X330" s="861">
        <f t="shared" si="297"/>
        <v>1.155</v>
      </c>
      <c r="Y330" s="841">
        <f t="shared" si="297"/>
        <v>2.9139999999999997</v>
      </c>
      <c r="Z330" s="840">
        <f t="shared" si="297"/>
        <v>5.4969999999999999</v>
      </c>
      <c r="AA330" s="841">
        <f t="shared" si="297"/>
        <v>2.1539999999999999</v>
      </c>
      <c r="AB330" s="861">
        <f t="shared" si="297"/>
        <v>2.4750000000000001</v>
      </c>
      <c r="AC330" s="861">
        <f t="shared" si="297"/>
        <v>-1.605</v>
      </c>
      <c r="AD330" s="841">
        <f t="shared" si="297"/>
        <v>-6.1660000000000004</v>
      </c>
      <c r="AE330" s="840">
        <f t="shared" si="297"/>
        <v>-3.1419999999999999</v>
      </c>
      <c r="AF330" s="841">
        <f t="shared" si="297"/>
        <v>0.35599999999999998</v>
      </c>
      <c r="AG330" s="861">
        <f t="shared" si="297"/>
        <v>1.8069999999999999</v>
      </c>
      <c r="AH330" s="861">
        <f t="shared" si="297"/>
        <v>0.60899999999999999</v>
      </c>
      <c r="AI330" s="841">
        <f t="shared" si="297"/>
        <v>1.7769999999999999</v>
      </c>
      <c r="AJ330" s="840">
        <f t="shared" si="297"/>
        <v>4.5489999999999995</v>
      </c>
      <c r="AK330" s="841">
        <f t="shared" si="297"/>
        <v>-0.36699999999999999</v>
      </c>
      <c r="AL330" s="861">
        <f t="shared" si="297"/>
        <v>0.46800000000000003</v>
      </c>
      <c r="AM330" s="842">
        <f t="shared" si="297"/>
        <v>-1.413</v>
      </c>
      <c r="AN330" s="862">
        <f>AN343*AN$328</f>
        <v>1.2081722039180378</v>
      </c>
      <c r="AO330" s="844">
        <f>SUM(AK330,AL330,AM330,AN330)</f>
        <v>-0.10382779608196224</v>
      </c>
      <c r="AP330" s="862">
        <f t="shared" ref="AP330:AS331" ca="1" si="298">AP343*AP$328</f>
        <v>0.67906098893864275</v>
      </c>
      <c r="AQ330" s="862">
        <f t="shared" ca="1" si="298"/>
        <v>1.5435669642397754</v>
      </c>
      <c r="AR330" s="862">
        <f t="shared" ca="1" si="298"/>
        <v>1.5277863667704878</v>
      </c>
      <c r="AS330" s="862">
        <f t="shared" ca="1" si="298"/>
        <v>1.2889547608230614</v>
      </c>
      <c r="AT330" s="844">
        <f ca="1">SUM(AP330,AQ330,AR330,AS330)</f>
        <v>5.0393690807719675</v>
      </c>
      <c r="AU330" s="863">
        <f t="shared" ref="AU330:AW331" ca="1" si="299">AU343*AU$328</f>
        <v>6.118639553461378</v>
      </c>
      <c r="AV330" s="863">
        <f t="shared" ca="1" si="299"/>
        <v>6.7547272726574343</v>
      </c>
      <c r="AW330" s="863">
        <f t="shared" ca="1" si="299"/>
        <v>7.5534392796062741</v>
      </c>
      <c r="AX330" s="793"/>
    </row>
    <row r="331" spans="1:50" s="29" customFormat="1" x14ac:dyDescent="0.45">
      <c r="A331" s="219" t="s">
        <v>71</v>
      </c>
      <c r="B331" s="501"/>
      <c r="C331" s="865">
        <f t="shared" ref="C331:AL331" si="300">C494</f>
        <v>-0.78600000000000003</v>
      </c>
      <c r="D331" s="865">
        <f t="shared" si="300"/>
        <v>-4.194</v>
      </c>
      <c r="E331" s="865">
        <f t="shared" si="300"/>
        <v>-8.0250000000000004</v>
      </c>
      <c r="F331" s="865">
        <f t="shared" si="300"/>
        <v>-9.5649999999999995</v>
      </c>
      <c r="G331" s="864">
        <f t="shared" si="300"/>
        <v>0.51700000000000002</v>
      </c>
      <c r="H331" s="864">
        <f t="shared" si="300"/>
        <v>0.30899999999999994</v>
      </c>
      <c r="I331" s="864">
        <f t="shared" si="300"/>
        <v>7.0000000000000062E-2</v>
      </c>
      <c r="J331" s="864">
        <f t="shared" si="300"/>
        <v>-4.88</v>
      </c>
      <c r="K331" s="865">
        <f t="shared" si="300"/>
        <v>-3.984</v>
      </c>
      <c r="L331" s="864">
        <f t="shared" si="300"/>
        <v>1.6E-2</v>
      </c>
      <c r="M331" s="864">
        <f t="shared" si="300"/>
        <v>1.4999999999999999E-2</v>
      </c>
      <c r="N331" s="864">
        <f t="shared" si="300"/>
        <v>-5.1000000000000004E-2</v>
      </c>
      <c r="O331" s="864">
        <f t="shared" si="300"/>
        <v>-12.041</v>
      </c>
      <c r="P331" s="865">
        <f t="shared" si="300"/>
        <v>-12.061</v>
      </c>
      <c r="Q331" s="864">
        <f t="shared" si="300"/>
        <v>8.1000000000000003E-2</v>
      </c>
      <c r="R331" s="864">
        <f t="shared" si="300"/>
        <v>0.38700000000000001</v>
      </c>
      <c r="S331" s="864">
        <f t="shared" si="300"/>
        <v>0.27299999999999996</v>
      </c>
      <c r="T331" s="864">
        <f t="shared" si="300"/>
        <v>9.2889999999999997</v>
      </c>
      <c r="U331" s="865">
        <f t="shared" si="300"/>
        <v>10.029999999999999</v>
      </c>
      <c r="V331" s="864">
        <f t="shared" si="300"/>
        <v>0.04</v>
      </c>
      <c r="W331" s="864">
        <f t="shared" si="300"/>
        <v>0.13999999999999999</v>
      </c>
      <c r="X331" s="864">
        <f t="shared" si="300"/>
        <v>1.1870000000000001</v>
      </c>
      <c r="Y331" s="849">
        <f t="shared" si="300"/>
        <v>-1.496</v>
      </c>
      <c r="Z331" s="848">
        <f t="shared" si="300"/>
        <v>-0.129</v>
      </c>
      <c r="AA331" s="849">
        <f t="shared" si="300"/>
        <v>0</v>
      </c>
      <c r="AB331" s="864">
        <f t="shared" si="300"/>
        <v>1.7999999999999999E-2</v>
      </c>
      <c r="AC331" s="864">
        <f t="shared" si="300"/>
        <v>3.0920000000000001</v>
      </c>
      <c r="AD331" s="849">
        <f t="shared" si="300"/>
        <v>-2.798</v>
      </c>
      <c r="AE331" s="848">
        <f t="shared" si="300"/>
        <v>0.312</v>
      </c>
      <c r="AF331" s="849">
        <f t="shared" si="300"/>
        <v>8.5999999999999993E-2</v>
      </c>
      <c r="AG331" s="864">
        <f t="shared" si="300"/>
        <v>8.8999999999999996E-2</v>
      </c>
      <c r="AH331" s="864">
        <f t="shared" si="300"/>
        <v>-0.153</v>
      </c>
      <c r="AI331" s="849">
        <f t="shared" si="300"/>
        <v>0.223</v>
      </c>
      <c r="AJ331" s="848">
        <f t="shared" si="300"/>
        <v>0.245</v>
      </c>
      <c r="AK331" s="849">
        <f t="shared" si="300"/>
        <v>-1.2999999999999999E-2</v>
      </c>
      <c r="AL331" s="864">
        <f t="shared" si="300"/>
        <v>4.1000000000000002E-2</v>
      </c>
      <c r="AM331" s="850">
        <f>AM494</f>
        <v>9.9999999999999985E-3</v>
      </c>
      <c r="AN331" s="864">
        <f>AN344*AN$328</f>
        <v>0</v>
      </c>
      <c r="AO331" s="848">
        <f>SUM(AK331,AL331,AM331,AN331)</f>
        <v>3.8000000000000006E-2</v>
      </c>
      <c r="AP331" s="864">
        <f t="shared" ca="1" si="298"/>
        <v>0</v>
      </c>
      <c r="AQ331" s="864">
        <f t="shared" ca="1" si="298"/>
        <v>0</v>
      </c>
      <c r="AR331" s="864">
        <f t="shared" ca="1" si="298"/>
        <v>0</v>
      </c>
      <c r="AS331" s="864">
        <f t="shared" ca="1" si="298"/>
        <v>0</v>
      </c>
      <c r="AT331" s="848">
        <f ca="1">SUM(AP331,AQ331,AR331,AS331)</f>
        <v>0</v>
      </c>
      <c r="AU331" s="865">
        <f t="shared" ca="1" si="299"/>
        <v>0</v>
      </c>
      <c r="AV331" s="865">
        <f t="shared" ca="1" si="299"/>
        <v>0</v>
      </c>
      <c r="AW331" s="865">
        <f t="shared" ca="1" si="299"/>
        <v>0</v>
      </c>
      <c r="AX331" s="793"/>
    </row>
    <row r="332" spans="1:50" s="7" customFormat="1" x14ac:dyDescent="0.45">
      <c r="A332" s="104" t="s">
        <v>72</v>
      </c>
      <c r="B332" s="150"/>
      <c r="C332" s="860">
        <f t="shared" ref="C332:AW332" si="301">C328-SUM(C330:C331)</f>
        <v>48.379000000000019</v>
      </c>
      <c r="D332" s="860">
        <f t="shared" si="301"/>
        <v>61.606000000000009</v>
      </c>
      <c r="E332" s="860">
        <f t="shared" si="301"/>
        <v>75.657000000000011</v>
      </c>
      <c r="F332" s="860">
        <f t="shared" si="301"/>
        <v>42.723999999999926</v>
      </c>
      <c r="G332" s="859">
        <f t="shared" si="301"/>
        <v>12.944999999999988</v>
      </c>
      <c r="H332" s="859">
        <f t="shared" si="301"/>
        <v>10.121</v>
      </c>
      <c r="I332" s="859">
        <f t="shared" si="301"/>
        <v>-12.587000000000005</v>
      </c>
      <c r="J332" s="859">
        <f t="shared" si="301"/>
        <v>5.2010000000000058</v>
      </c>
      <c r="K332" s="860">
        <f t="shared" si="301"/>
        <v>15.680000000000016</v>
      </c>
      <c r="L332" s="859">
        <f t="shared" si="301"/>
        <v>5.1630000000000091</v>
      </c>
      <c r="M332" s="859">
        <f t="shared" si="301"/>
        <v>4.7499999999999911</v>
      </c>
      <c r="N332" s="859">
        <f t="shared" si="301"/>
        <v>6.6759999999999984</v>
      </c>
      <c r="O332" s="859">
        <f t="shared" si="301"/>
        <v>10.742999999999991</v>
      </c>
      <c r="P332" s="860">
        <f t="shared" si="301"/>
        <v>27.331999999999958</v>
      </c>
      <c r="Q332" s="859">
        <f t="shared" si="301"/>
        <v>6.3620000000000108</v>
      </c>
      <c r="R332" s="859">
        <f t="shared" si="301"/>
        <v>8.3159999999999954</v>
      </c>
      <c r="S332" s="859">
        <f t="shared" si="301"/>
        <v>7.3010000000000144</v>
      </c>
      <c r="T332" s="859">
        <f t="shared" si="301"/>
        <v>-16.322999999999986</v>
      </c>
      <c r="U332" s="860">
        <f t="shared" si="301"/>
        <v>5.6559999999999899</v>
      </c>
      <c r="V332" s="859">
        <f t="shared" si="301"/>
        <v>-0.64700000000000868</v>
      </c>
      <c r="W332" s="859">
        <f t="shared" si="301"/>
        <v>3.9869999999999841</v>
      </c>
      <c r="X332" s="859">
        <f t="shared" si="301"/>
        <v>10.485999999999988</v>
      </c>
      <c r="Y332" s="846">
        <f t="shared" si="301"/>
        <v>4.4149999999999796</v>
      </c>
      <c r="Z332" s="845">
        <f t="shared" si="301"/>
        <v>18.241000000000071</v>
      </c>
      <c r="AA332" s="846">
        <f t="shared" si="301"/>
        <v>3.8959999999999999</v>
      </c>
      <c r="AB332" s="859">
        <f t="shared" si="301"/>
        <v>8.0300000000000011</v>
      </c>
      <c r="AC332" s="859">
        <f t="shared" si="301"/>
        <v>1.5410000000000044</v>
      </c>
      <c r="AD332" s="846">
        <f t="shared" si="301"/>
        <v>-11.046999999999988</v>
      </c>
      <c r="AE332" s="845">
        <f t="shared" si="301"/>
        <v>2.4199999999999484</v>
      </c>
      <c r="AF332" s="846">
        <f t="shared" si="301"/>
        <v>2.6480000000000192</v>
      </c>
      <c r="AG332" s="859">
        <f t="shared" si="301"/>
        <v>13.094000000000008</v>
      </c>
      <c r="AH332" s="859">
        <f t="shared" si="301"/>
        <v>4.8229999999999844</v>
      </c>
      <c r="AI332" s="846">
        <f t="shared" si="301"/>
        <v>3.9289999999999932</v>
      </c>
      <c r="AJ332" s="845">
        <f t="shared" si="301"/>
        <v>24.494000000000042</v>
      </c>
      <c r="AK332" s="846">
        <f t="shared" si="301"/>
        <v>1.2439999999999758</v>
      </c>
      <c r="AL332" s="859">
        <f t="shared" si="301"/>
        <v>6.0819999999999919</v>
      </c>
      <c r="AM332" s="847">
        <f t="shared" si="301"/>
        <v>4.4150000000000151</v>
      </c>
      <c r="AN332" s="859">
        <f t="shared" si="301"/>
        <v>4.5450287671202378</v>
      </c>
      <c r="AO332" s="845">
        <f t="shared" si="301"/>
        <v>16.28602876712019</v>
      </c>
      <c r="AP332" s="859">
        <f t="shared" ca="1" si="301"/>
        <v>2.5545627679120373</v>
      </c>
      <c r="AQ332" s="859">
        <f t="shared" ca="1" si="301"/>
        <v>5.8067519130924889</v>
      </c>
      <c r="AR332" s="859">
        <f t="shared" ca="1" si="301"/>
        <v>5.7473868083270743</v>
      </c>
      <c r="AS332" s="859">
        <f t="shared" ca="1" si="301"/>
        <v>4.8489250526200891</v>
      </c>
      <c r="AT332" s="845">
        <f t="shared" ca="1" si="301"/>
        <v>18.957626541951726</v>
      </c>
      <c r="AU332" s="860">
        <f t="shared" ca="1" si="301"/>
        <v>23.017739272545185</v>
      </c>
      <c r="AV332" s="860">
        <f t="shared" ca="1" si="301"/>
        <v>25.410640692377967</v>
      </c>
      <c r="AW332" s="860">
        <f t="shared" ca="1" si="301"/>
        <v>28.415319194709319</v>
      </c>
      <c r="AX332" s="795"/>
    </row>
    <row r="333" spans="1:50" s="29" customFormat="1" x14ac:dyDescent="0.45">
      <c r="A333" s="111" t="s">
        <v>73</v>
      </c>
      <c r="B333" s="149"/>
      <c r="C333" s="882"/>
      <c r="D333" s="882"/>
      <c r="E333" s="882"/>
      <c r="F333" s="882"/>
      <c r="G333" s="861"/>
      <c r="H333" s="861"/>
      <c r="I333" s="861"/>
      <c r="J333" s="861"/>
      <c r="K333" s="882"/>
      <c r="L333" s="861"/>
      <c r="M333" s="861"/>
      <c r="N333" s="861"/>
      <c r="O333" s="861"/>
      <c r="P333" s="882"/>
      <c r="Q333" s="861"/>
      <c r="R333" s="861"/>
      <c r="S333" s="861"/>
      <c r="T333" s="861"/>
      <c r="U333" s="882"/>
      <c r="V333" s="861"/>
      <c r="W333" s="861"/>
      <c r="X333" s="861"/>
      <c r="Y333" s="841"/>
      <c r="Z333" s="840"/>
      <c r="AA333" s="841"/>
      <c r="AB333" s="861"/>
      <c r="AC333" s="861"/>
      <c r="AD333" s="841"/>
      <c r="AE333" s="840"/>
      <c r="AF333" s="841"/>
      <c r="AG333" s="861"/>
      <c r="AH333" s="861"/>
      <c r="AI333" s="841"/>
      <c r="AJ333" s="840"/>
      <c r="AK333" s="841"/>
      <c r="AL333" s="861"/>
      <c r="AM333" s="842"/>
      <c r="AN333" s="874">
        <v>0</v>
      </c>
      <c r="AO333" s="844">
        <f>SUM(AK333,AL333,AM333,AN333)</f>
        <v>0</v>
      </c>
      <c r="AP333" s="874">
        <v>0</v>
      </c>
      <c r="AQ333" s="874">
        <v>0</v>
      </c>
      <c r="AR333" s="874">
        <v>0</v>
      </c>
      <c r="AS333" s="874">
        <v>0</v>
      </c>
      <c r="AT333" s="844">
        <f>SUM(AP333,AQ333,AR333,AS333)</f>
        <v>0</v>
      </c>
      <c r="AU333" s="875">
        <v>0</v>
      </c>
      <c r="AV333" s="875">
        <v>0</v>
      </c>
      <c r="AW333" s="875">
        <v>0</v>
      </c>
      <c r="AX333" s="793"/>
    </row>
    <row r="334" spans="1:50" s="29" customFormat="1" x14ac:dyDescent="0.45">
      <c r="A334" s="111" t="s">
        <v>74</v>
      </c>
      <c r="B334" s="149"/>
      <c r="C334" s="882"/>
      <c r="D334" s="882"/>
      <c r="E334" s="882"/>
      <c r="F334" s="882"/>
      <c r="G334" s="861"/>
      <c r="H334" s="861"/>
      <c r="I334" s="861"/>
      <c r="J334" s="861"/>
      <c r="K334" s="882"/>
      <c r="L334" s="861"/>
      <c r="M334" s="861"/>
      <c r="N334" s="861"/>
      <c r="O334" s="861"/>
      <c r="P334" s="882"/>
      <c r="Q334" s="861"/>
      <c r="R334" s="861"/>
      <c r="S334" s="861"/>
      <c r="T334" s="861"/>
      <c r="U334" s="882"/>
      <c r="V334" s="861"/>
      <c r="W334" s="861"/>
      <c r="X334" s="861"/>
      <c r="Y334" s="841"/>
      <c r="Z334" s="840"/>
      <c r="AA334" s="841"/>
      <c r="AB334" s="861"/>
      <c r="AC334" s="861"/>
      <c r="AD334" s="841"/>
      <c r="AE334" s="840"/>
      <c r="AF334" s="841"/>
      <c r="AG334" s="861"/>
      <c r="AH334" s="861"/>
      <c r="AI334" s="841"/>
      <c r="AJ334" s="840"/>
      <c r="AK334" s="841"/>
      <c r="AL334" s="861"/>
      <c r="AM334" s="842"/>
      <c r="AN334" s="874">
        <v>0</v>
      </c>
      <c r="AO334" s="844">
        <f>SUM(AK334,AL334,AM334,AN334)</f>
        <v>0</v>
      </c>
      <c r="AP334" s="874">
        <v>0</v>
      </c>
      <c r="AQ334" s="874">
        <v>0</v>
      </c>
      <c r="AR334" s="874">
        <v>0</v>
      </c>
      <c r="AS334" s="874">
        <v>0</v>
      </c>
      <c r="AT334" s="844">
        <f>SUM(AP334,AQ334,AR334,AS334)</f>
        <v>0</v>
      </c>
      <c r="AU334" s="875">
        <v>0</v>
      </c>
      <c r="AV334" s="875">
        <v>0</v>
      </c>
      <c r="AW334" s="875">
        <v>0</v>
      </c>
      <c r="AX334" s="793"/>
    </row>
    <row r="335" spans="1:50" s="29" customFormat="1" x14ac:dyDescent="0.45">
      <c r="A335" s="219" t="s">
        <v>75</v>
      </c>
      <c r="B335" s="501"/>
      <c r="C335" s="865"/>
      <c r="D335" s="865"/>
      <c r="E335" s="865"/>
      <c r="F335" s="865"/>
      <c r="G335" s="864"/>
      <c r="H335" s="864"/>
      <c r="I335" s="864"/>
      <c r="J335" s="864"/>
      <c r="K335" s="865"/>
      <c r="L335" s="864"/>
      <c r="M335" s="864"/>
      <c r="N335" s="864"/>
      <c r="O335" s="864"/>
      <c r="P335" s="865"/>
      <c r="Q335" s="864"/>
      <c r="R335" s="864"/>
      <c r="S335" s="864"/>
      <c r="T335" s="864"/>
      <c r="U335" s="865"/>
      <c r="V335" s="864"/>
      <c r="W335" s="864"/>
      <c r="X335" s="864"/>
      <c r="Y335" s="849"/>
      <c r="Z335" s="848"/>
      <c r="AA335" s="849"/>
      <c r="AB335" s="864"/>
      <c r="AC335" s="864"/>
      <c r="AD335" s="849"/>
      <c r="AE335" s="848"/>
      <c r="AF335" s="849"/>
      <c r="AG335" s="864"/>
      <c r="AH335" s="864"/>
      <c r="AI335" s="849"/>
      <c r="AJ335" s="848"/>
      <c r="AK335" s="849"/>
      <c r="AL335" s="864"/>
      <c r="AM335" s="850"/>
      <c r="AN335" s="904">
        <v>0</v>
      </c>
      <c r="AO335" s="848">
        <f>SUM(AK335,AL335,AM335,AN335)</f>
        <v>0</v>
      </c>
      <c r="AP335" s="904">
        <v>0</v>
      </c>
      <c r="AQ335" s="904">
        <v>0</v>
      </c>
      <c r="AR335" s="904">
        <v>0</v>
      </c>
      <c r="AS335" s="904">
        <v>0</v>
      </c>
      <c r="AT335" s="848">
        <f>SUM(AP335,AQ335,AR335,AS335)</f>
        <v>0</v>
      </c>
      <c r="AU335" s="905">
        <v>0</v>
      </c>
      <c r="AV335" s="905">
        <v>0</v>
      </c>
      <c r="AW335" s="905">
        <v>0</v>
      </c>
      <c r="AX335" s="793"/>
    </row>
    <row r="336" spans="1:50" s="7" customFormat="1" x14ac:dyDescent="0.45">
      <c r="A336" s="112" t="s">
        <v>76</v>
      </c>
      <c r="B336" s="151"/>
      <c r="C336" s="873">
        <f t="shared" ref="C336:AW336" si="302">C332-SUM(C333:C335)</f>
        <v>48.379000000000019</v>
      </c>
      <c r="D336" s="873">
        <f t="shared" si="302"/>
        <v>61.606000000000009</v>
      </c>
      <c r="E336" s="873">
        <f t="shared" si="302"/>
        <v>75.657000000000011</v>
      </c>
      <c r="F336" s="873">
        <f t="shared" si="302"/>
        <v>42.723999999999926</v>
      </c>
      <c r="G336" s="871">
        <f t="shared" si="302"/>
        <v>12.944999999999988</v>
      </c>
      <c r="H336" s="871">
        <f t="shared" si="302"/>
        <v>10.121</v>
      </c>
      <c r="I336" s="871">
        <f t="shared" si="302"/>
        <v>-12.587000000000005</v>
      </c>
      <c r="J336" s="871">
        <f t="shared" si="302"/>
        <v>5.2010000000000058</v>
      </c>
      <c r="K336" s="873">
        <f t="shared" si="302"/>
        <v>15.680000000000016</v>
      </c>
      <c r="L336" s="871">
        <f t="shared" si="302"/>
        <v>5.1630000000000091</v>
      </c>
      <c r="M336" s="871">
        <f t="shared" si="302"/>
        <v>4.7499999999999911</v>
      </c>
      <c r="N336" s="871">
        <f t="shared" si="302"/>
        <v>6.6759999999999984</v>
      </c>
      <c r="O336" s="871">
        <f t="shared" si="302"/>
        <v>10.742999999999991</v>
      </c>
      <c r="P336" s="873">
        <f t="shared" si="302"/>
        <v>27.331999999999958</v>
      </c>
      <c r="Q336" s="871">
        <f t="shared" si="302"/>
        <v>6.3620000000000108</v>
      </c>
      <c r="R336" s="871">
        <f t="shared" si="302"/>
        <v>8.3159999999999954</v>
      </c>
      <c r="S336" s="871">
        <f t="shared" si="302"/>
        <v>7.3010000000000144</v>
      </c>
      <c r="T336" s="871">
        <f t="shared" si="302"/>
        <v>-16.322999999999986</v>
      </c>
      <c r="U336" s="873">
        <f t="shared" si="302"/>
        <v>5.6559999999999899</v>
      </c>
      <c r="V336" s="871">
        <f t="shared" si="302"/>
        <v>-0.64700000000000868</v>
      </c>
      <c r="W336" s="871">
        <f t="shared" si="302"/>
        <v>3.9869999999999841</v>
      </c>
      <c r="X336" s="871">
        <f t="shared" si="302"/>
        <v>10.485999999999988</v>
      </c>
      <c r="Y336" s="870">
        <f t="shared" si="302"/>
        <v>4.4149999999999796</v>
      </c>
      <c r="Z336" s="869">
        <f t="shared" si="302"/>
        <v>18.241000000000071</v>
      </c>
      <c r="AA336" s="870">
        <f t="shared" si="302"/>
        <v>3.8959999999999999</v>
      </c>
      <c r="AB336" s="871">
        <f t="shared" si="302"/>
        <v>8.0300000000000011</v>
      </c>
      <c r="AC336" s="871">
        <f t="shared" si="302"/>
        <v>1.5410000000000044</v>
      </c>
      <c r="AD336" s="870">
        <f t="shared" si="302"/>
        <v>-11.046999999999988</v>
      </c>
      <c r="AE336" s="869">
        <f t="shared" si="302"/>
        <v>2.4199999999999484</v>
      </c>
      <c r="AF336" s="870">
        <f t="shared" si="302"/>
        <v>2.6480000000000192</v>
      </c>
      <c r="AG336" s="871">
        <f t="shared" si="302"/>
        <v>13.094000000000008</v>
      </c>
      <c r="AH336" s="871">
        <f t="shared" si="302"/>
        <v>4.8229999999999844</v>
      </c>
      <c r="AI336" s="870">
        <f t="shared" si="302"/>
        <v>3.9289999999999932</v>
      </c>
      <c r="AJ336" s="869">
        <f t="shared" si="302"/>
        <v>24.494000000000042</v>
      </c>
      <c r="AK336" s="870">
        <f t="shared" si="302"/>
        <v>1.2439999999999758</v>
      </c>
      <c r="AL336" s="871">
        <f t="shared" si="302"/>
        <v>6.0819999999999919</v>
      </c>
      <c r="AM336" s="872">
        <f t="shared" si="302"/>
        <v>4.4150000000000151</v>
      </c>
      <c r="AN336" s="871">
        <f t="shared" si="302"/>
        <v>4.5450287671202378</v>
      </c>
      <c r="AO336" s="869">
        <f t="shared" si="302"/>
        <v>16.28602876712019</v>
      </c>
      <c r="AP336" s="871">
        <f t="shared" ca="1" si="302"/>
        <v>2.5545627679120373</v>
      </c>
      <c r="AQ336" s="871">
        <f t="shared" ca="1" si="302"/>
        <v>5.8067519130924889</v>
      </c>
      <c r="AR336" s="871">
        <f t="shared" ca="1" si="302"/>
        <v>5.7473868083270743</v>
      </c>
      <c r="AS336" s="871">
        <f t="shared" ca="1" si="302"/>
        <v>4.8489250526200891</v>
      </c>
      <c r="AT336" s="869">
        <f t="shared" ca="1" si="302"/>
        <v>18.957626541951726</v>
      </c>
      <c r="AU336" s="873">
        <f t="shared" ca="1" si="302"/>
        <v>23.017739272545185</v>
      </c>
      <c r="AV336" s="873">
        <f t="shared" ca="1" si="302"/>
        <v>25.410640692377967</v>
      </c>
      <c r="AW336" s="873">
        <f t="shared" ca="1" si="302"/>
        <v>28.415319194709319</v>
      </c>
      <c r="AX336" s="795"/>
    </row>
    <row r="337" spans="1:50" s="29" customFormat="1" x14ac:dyDescent="0.45">
      <c r="A337" s="264" t="s">
        <v>77</v>
      </c>
      <c r="B337" s="502"/>
      <c r="C337" s="909"/>
      <c r="D337" s="909"/>
      <c r="E337" s="909"/>
      <c r="F337" s="909"/>
      <c r="G337" s="910"/>
      <c r="H337" s="910"/>
      <c r="I337" s="910"/>
      <c r="J337" s="910"/>
      <c r="K337" s="909"/>
      <c r="L337" s="910"/>
      <c r="M337" s="910"/>
      <c r="N337" s="910"/>
      <c r="O337" s="910"/>
      <c r="P337" s="909"/>
      <c r="Q337" s="910"/>
      <c r="R337" s="910"/>
      <c r="S337" s="910"/>
      <c r="T337" s="910"/>
      <c r="U337" s="909"/>
      <c r="V337" s="910"/>
      <c r="W337" s="910"/>
      <c r="X337" s="910"/>
      <c r="Y337" s="911"/>
      <c r="Z337" s="912"/>
      <c r="AA337" s="911"/>
      <c r="AB337" s="910"/>
      <c r="AC337" s="910"/>
      <c r="AD337" s="911"/>
      <c r="AE337" s="912"/>
      <c r="AF337" s="911"/>
      <c r="AG337" s="910"/>
      <c r="AH337" s="910"/>
      <c r="AI337" s="911"/>
      <c r="AJ337" s="912"/>
      <c r="AK337" s="911"/>
      <c r="AL337" s="910"/>
      <c r="AM337" s="913"/>
      <c r="AN337" s="914">
        <v>0</v>
      </c>
      <c r="AO337" s="912">
        <f>SUM(AK337,AL337,AM337,AN337)</f>
        <v>0</v>
      </c>
      <c r="AP337" s="914">
        <v>0</v>
      </c>
      <c r="AQ337" s="914">
        <v>0</v>
      </c>
      <c r="AR337" s="914">
        <v>0</v>
      </c>
      <c r="AS337" s="914">
        <v>0</v>
      </c>
      <c r="AT337" s="912">
        <f>SUM(AP337,AQ337,AR337,AS337)</f>
        <v>0</v>
      </c>
      <c r="AU337" s="915">
        <v>0</v>
      </c>
      <c r="AV337" s="915">
        <v>0</v>
      </c>
      <c r="AW337" s="915">
        <v>0</v>
      </c>
      <c r="AX337" s="793"/>
    </row>
    <row r="338" spans="1:50" s="7" customFormat="1" x14ac:dyDescent="0.45">
      <c r="A338" s="112" t="s">
        <v>78</v>
      </c>
      <c r="B338" s="151"/>
      <c r="C338" s="873">
        <f t="shared" ref="C338:AW338" si="303">C336-C337</f>
        <v>48.379000000000019</v>
      </c>
      <c r="D338" s="873">
        <f t="shared" si="303"/>
        <v>61.606000000000009</v>
      </c>
      <c r="E338" s="873">
        <f t="shared" si="303"/>
        <v>75.657000000000011</v>
      </c>
      <c r="F338" s="873">
        <f t="shared" si="303"/>
        <v>42.723999999999926</v>
      </c>
      <c r="G338" s="871">
        <f t="shared" si="303"/>
        <v>12.944999999999988</v>
      </c>
      <c r="H338" s="871">
        <f t="shared" si="303"/>
        <v>10.121</v>
      </c>
      <c r="I338" s="871">
        <f t="shared" si="303"/>
        <v>-12.587000000000005</v>
      </c>
      <c r="J338" s="871">
        <f t="shared" si="303"/>
        <v>5.2010000000000058</v>
      </c>
      <c r="K338" s="873">
        <f t="shared" si="303"/>
        <v>15.680000000000016</v>
      </c>
      <c r="L338" s="871">
        <f t="shared" si="303"/>
        <v>5.1630000000000091</v>
      </c>
      <c r="M338" s="871">
        <f t="shared" si="303"/>
        <v>4.7499999999999911</v>
      </c>
      <c r="N338" s="871">
        <f t="shared" si="303"/>
        <v>6.6759999999999984</v>
      </c>
      <c r="O338" s="871">
        <f t="shared" si="303"/>
        <v>10.742999999999991</v>
      </c>
      <c r="P338" s="873">
        <f t="shared" si="303"/>
        <v>27.331999999999958</v>
      </c>
      <c r="Q338" s="871">
        <f t="shared" si="303"/>
        <v>6.3620000000000108</v>
      </c>
      <c r="R338" s="871">
        <f t="shared" si="303"/>
        <v>8.3159999999999954</v>
      </c>
      <c r="S338" s="871">
        <f t="shared" si="303"/>
        <v>7.3010000000000144</v>
      </c>
      <c r="T338" s="871">
        <f t="shared" si="303"/>
        <v>-16.322999999999986</v>
      </c>
      <c r="U338" s="873">
        <f t="shared" si="303"/>
        <v>5.6559999999999899</v>
      </c>
      <c r="V338" s="871">
        <f t="shared" si="303"/>
        <v>-0.64700000000000868</v>
      </c>
      <c r="W338" s="871">
        <f t="shared" si="303"/>
        <v>3.9869999999999841</v>
      </c>
      <c r="X338" s="871">
        <f t="shared" si="303"/>
        <v>10.485999999999988</v>
      </c>
      <c r="Y338" s="870">
        <f t="shared" si="303"/>
        <v>4.4149999999999796</v>
      </c>
      <c r="Z338" s="869">
        <f t="shared" si="303"/>
        <v>18.241000000000071</v>
      </c>
      <c r="AA338" s="870">
        <f t="shared" si="303"/>
        <v>3.8959999999999999</v>
      </c>
      <c r="AB338" s="871">
        <f t="shared" si="303"/>
        <v>8.0300000000000011</v>
      </c>
      <c r="AC338" s="871">
        <f t="shared" si="303"/>
        <v>1.5410000000000044</v>
      </c>
      <c r="AD338" s="870">
        <f t="shared" si="303"/>
        <v>-11.046999999999988</v>
      </c>
      <c r="AE338" s="869">
        <f t="shared" si="303"/>
        <v>2.4199999999999484</v>
      </c>
      <c r="AF338" s="870">
        <f t="shared" si="303"/>
        <v>2.6480000000000192</v>
      </c>
      <c r="AG338" s="871">
        <f t="shared" si="303"/>
        <v>13.094000000000008</v>
      </c>
      <c r="AH338" s="871">
        <f t="shared" si="303"/>
        <v>4.8229999999999844</v>
      </c>
      <c r="AI338" s="870">
        <f t="shared" si="303"/>
        <v>3.9289999999999932</v>
      </c>
      <c r="AJ338" s="869">
        <f t="shared" si="303"/>
        <v>24.494000000000042</v>
      </c>
      <c r="AK338" s="870">
        <f t="shared" si="303"/>
        <v>1.2439999999999758</v>
      </c>
      <c r="AL338" s="871">
        <f t="shared" si="303"/>
        <v>6.0819999999999919</v>
      </c>
      <c r="AM338" s="872">
        <f t="shared" si="303"/>
        <v>4.4150000000000151</v>
      </c>
      <c r="AN338" s="871">
        <f t="shared" si="303"/>
        <v>4.5450287671202378</v>
      </c>
      <c r="AO338" s="869">
        <f t="shared" si="303"/>
        <v>16.28602876712019</v>
      </c>
      <c r="AP338" s="871">
        <f t="shared" ca="1" si="303"/>
        <v>2.5545627679120373</v>
      </c>
      <c r="AQ338" s="871">
        <f t="shared" ca="1" si="303"/>
        <v>5.8067519130924889</v>
      </c>
      <c r="AR338" s="871">
        <f t="shared" ca="1" si="303"/>
        <v>5.7473868083270743</v>
      </c>
      <c r="AS338" s="871">
        <f t="shared" ca="1" si="303"/>
        <v>4.8489250526200891</v>
      </c>
      <c r="AT338" s="869">
        <f t="shared" ca="1" si="303"/>
        <v>18.957626541951726</v>
      </c>
      <c r="AU338" s="873">
        <f t="shared" ca="1" si="303"/>
        <v>23.017739272545185</v>
      </c>
      <c r="AV338" s="873">
        <f t="shared" ca="1" si="303"/>
        <v>25.410640692377967</v>
      </c>
      <c r="AW338" s="873">
        <f t="shared" ca="1" si="303"/>
        <v>28.415319194709319</v>
      </c>
      <c r="AX338" s="795"/>
    </row>
    <row r="339" spans="1:50" s="29" customFormat="1" x14ac:dyDescent="0.45">
      <c r="A339" s="494" t="s">
        <v>79</v>
      </c>
      <c r="B339" s="563"/>
      <c r="C339" s="856">
        <f t="shared" ref="C339:AM339" si="304">-SUM(C269:C279)+C281</f>
        <v>0</v>
      </c>
      <c r="D339" s="856">
        <f t="shared" si="304"/>
        <v>0</v>
      </c>
      <c r="E339" s="856">
        <f t="shared" si="304"/>
        <v>0</v>
      </c>
      <c r="F339" s="856">
        <f t="shared" si="304"/>
        <v>1.2680000000000042</v>
      </c>
      <c r="G339" s="857">
        <f t="shared" si="304"/>
        <v>4.7439999999999998</v>
      </c>
      <c r="H339" s="857">
        <f t="shared" si="304"/>
        <v>2.2300000000000004</v>
      </c>
      <c r="I339" s="857">
        <f t="shared" si="304"/>
        <v>-25.923999999999999</v>
      </c>
      <c r="J339" s="857">
        <f t="shared" si="304"/>
        <v>-0.17599999999999971</v>
      </c>
      <c r="K339" s="856">
        <f t="shared" si="304"/>
        <v>-18.994999999999997</v>
      </c>
      <c r="L339" s="857">
        <f t="shared" si="304"/>
        <v>2.8999999999999915E-2</v>
      </c>
      <c r="M339" s="857">
        <f t="shared" si="304"/>
        <v>-0.41999999999999993</v>
      </c>
      <c r="N339" s="857">
        <f t="shared" si="304"/>
        <v>-1.5680000000000005</v>
      </c>
      <c r="O339" s="857">
        <f t="shared" si="304"/>
        <v>-0.10800000000000054</v>
      </c>
      <c r="P339" s="856">
        <f t="shared" si="304"/>
        <v>-2.0680000000000014</v>
      </c>
      <c r="Q339" s="857">
        <f t="shared" si="304"/>
        <v>-0.25899999999999945</v>
      </c>
      <c r="R339" s="857">
        <f t="shared" si="304"/>
        <v>-0.49000000000000021</v>
      </c>
      <c r="S339" s="857">
        <f t="shared" si="304"/>
        <v>-1.5999999999999996</v>
      </c>
      <c r="T339" s="857">
        <f t="shared" si="304"/>
        <v>-35.431999999999995</v>
      </c>
      <c r="U339" s="856">
        <f t="shared" si="304"/>
        <v>-37.801000000000002</v>
      </c>
      <c r="V339" s="857">
        <f t="shared" si="304"/>
        <v>-10.310000000000002</v>
      </c>
      <c r="W339" s="857">
        <f t="shared" si="304"/>
        <v>-8.4559999999999995</v>
      </c>
      <c r="X339" s="857">
        <f t="shared" si="304"/>
        <v>-1.5320000000000009</v>
      </c>
      <c r="Y339" s="857">
        <f t="shared" si="304"/>
        <v>-6.8629999999999987</v>
      </c>
      <c r="Z339" s="856">
        <f t="shared" si="304"/>
        <v>-27.161000000000001</v>
      </c>
      <c r="AA339" s="857">
        <f t="shared" si="304"/>
        <v>-4.4210000000000003</v>
      </c>
      <c r="AB339" s="857">
        <f t="shared" si="304"/>
        <v>-3.6920000000000011</v>
      </c>
      <c r="AC339" s="857">
        <f t="shared" si="304"/>
        <v>-6.3559999999999999</v>
      </c>
      <c r="AD339" s="857">
        <f t="shared" si="304"/>
        <v>-30.430999999999997</v>
      </c>
      <c r="AE339" s="856">
        <f t="shared" si="304"/>
        <v>-44.900000000000013</v>
      </c>
      <c r="AF339" s="857">
        <f t="shared" si="304"/>
        <v>-9.1559999999999988</v>
      </c>
      <c r="AG339" s="857">
        <f t="shared" si="304"/>
        <v>-0.6120000000000001</v>
      </c>
      <c r="AH339" s="857">
        <f t="shared" si="304"/>
        <v>-7.9389999999999992</v>
      </c>
      <c r="AI339" s="857">
        <f t="shared" si="304"/>
        <v>-8.83</v>
      </c>
      <c r="AJ339" s="856">
        <f t="shared" si="304"/>
        <v>-26.537000000000013</v>
      </c>
      <c r="AK339" s="857">
        <f t="shared" si="304"/>
        <v>-9.5939999999999976</v>
      </c>
      <c r="AL339" s="857">
        <f t="shared" si="304"/>
        <v>-9.1820000000000004</v>
      </c>
      <c r="AM339" s="858">
        <f t="shared" si="304"/>
        <v>-11.887</v>
      </c>
      <c r="AN339" s="857">
        <f>AN328-AN341</f>
        <v>-6.4562957863715802</v>
      </c>
      <c r="AO339" s="856">
        <f>SUM(AK339,AL339,AM339,AN339)</f>
        <v>-37.11929578637158</v>
      </c>
      <c r="AP339" s="857">
        <f t="shared" ref="AP339:AS339" ca="1" si="305">AP328-AP341</f>
        <v>-7.0106027734928507</v>
      </c>
      <c r="AQ339" s="857">
        <f t="shared" ca="1" si="305"/>
        <v>-6.1049298469868996</v>
      </c>
      <c r="AR339" s="857">
        <f t="shared" ca="1" si="305"/>
        <v>-6.1214619014785363</v>
      </c>
      <c r="AS339" s="857">
        <f t="shared" ca="1" si="305"/>
        <v>-6.3716664410425059</v>
      </c>
      <c r="AT339" s="856">
        <f ca="1">SUM(AP339,AQ339,AR339,AS339)</f>
        <v>-25.608660963000794</v>
      </c>
      <c r="AU339" s="856">
        <f t="shared" ref="AU339:AW339" ca="1" si="306">AU328-AU341</f>
        <v>-24.477996658278549</v>
      </c>
      <c r="AV339" s="856">
        <f t="shared" ca="1" si="306"/>
        <v>-23.811619047692218</v>
      </c>
      <c r="AW339" s="856">
        <f t="shared" ca="1" si="306"/>
        <v>-22.974873135650569</v>
      </c>
      <c r="AX339" s="793"/>
    </row>
    <row r="340" spans="1:50" s="29" customFormat="1" x14ac:dyDescent="0.45">
      <c r="A340" s="219" t="s">
        <v>80</v>
      </c>
      <c r="B340" s="501"/>
      <c r="C340" s="865"/>
      <c r="D340" s="865"/>
      <c r="E340" s="865"/>
      <c r="F340" s="865"/>
      <c r="G340" s="864"/>
      <c r="H340" s="864"/>
      <c r="I340" s="864"/>
      <c r="J340" s="864"/>
      <c r="K340" s="865"/>
      <c r="L340" s="864"/>
      <c r="M340" s="864"/>
      <c r="N340" s="864"/>
      <c r="O340" s="864"/>
      <c r="P340" s="865"/>
      <c r="Q340" s="864"/>
      <c r="R340" s="864"/>
      <c r="S340" s="864"/>
      <c r="T340" s="864"/>
      <c r="U340" s="865"/>
      <c r="V340" s="864"/>
      <c r="W340" s="864"/>
      <c r="X340" s="864"/>
      <c r="Y340" s="849"/>
      <c r="Z340" s="848"/>
      <c r="AA340" s="849"/>
      <c r="AB340" s="864"/>
      <c r="AC340" s="864"/>
      <c r="AD340" s="849"/>
      <c r="AE340" s="848"/>
      <c r="AF340" s="849"/>
      <c r="AG340" s="864"/>
      <c r="AH340" s="864"/>
      <c r="AI340" s="849"/>
      <c r="AJ340" s="848"/>
      <c r="AK340" s="849"/>
      <c r="AL340" s="864"/>
      <c r="AM340" s="850"/>
      <c r="AN340" s="904"/>
      <c r="AO340" s="848">
        <f>SUM(AK340,AL340,AM340,AN340)</f>
        <v>0</v>
      </c>
      <c r="AP340" s="904"/>
      <c r="AQ340" s="904"/>
      <c r="AR340" s="904"/>
      <c r="AS340" s="904"/>
      <c r="AT340" s="848">
        <f>SUM(AP340,AQ340,AR340,AS340)</f>
        <v>0</v>
      </c>
      <c r="AU340" s="905"/>
      <c r="AV340" s="905"/>
      <c r="AW340" s="905"/>
      <c r="AX340" s="793"/>
    </row>
    <row r="341" spans="1:50" s="7" customFormat="1" x14ac:dyDescent="0.45">
      <c r="A341" s="112" t="s">
        <v>81</v>
      </c>
      <c r="B341" s="151"/>
      <c r="C341" s="873">
        <f t="shared" ref="C341:D341" si="307">C338-SUM(C339:C340)</f>
        <v>48.379000000000019</v>
      </c>
      <c r="D341" s="873">
        <f t="shared" si="307"/>
        <v>61.606000000000009</v>
      </c>
      <c r="E341" s="873">
        <f>E338-SUM(E339:E340)</f>
        <v>75.657000000000011</v>
      </c>
      <c r="F341" s="873">
        <f t="shared" ref="F341:AL341" si="308">F328-SUM(F339:F340)</f>
        <v>67.64599999999993</v>
      </c>
      <c r="G341" s="871">
        <f t="shared" si="308"/>
        <v>14.585999999999988</v>
      </c>
      <c r="H341" s="871">
        <f t="shared" si="308"/>
        <v>13.356</v>
      </c>
      <c r="I341" s="871">
        <f t="shared" si="308"/>
        <v>6.7309999999999945</v>
      </c>
      <c r="J341" s="871">
        <f t="shared" si="308"/>
        <v>7.454000000000006</v>
      </c>
      <c r="K341" s="873">
        <f t="shared" si="308"/>
        <v>41.996000000000009</v>
      </c>
      <c r="L341" s="871">
        <f t="shared" si="308"/>
        <v>7.7890000000000095</v>
      </c>
      <c r="M341" s="871">
        <f t="shared" si="308"/>
        <v>7.7219999999999915</v>
      </c>
      <c r="N341" s="871">
        <f t="shared" si="308"/>
        <v>9.695999999999998</v>
      </c>
      <c r="O341" s="871">
        <f t="shared" si="308"/>
        <v>12.523999999999992</v>
      </c>
      <c r="P341" s="873">
        <f t="shared" si="308"/>
        <v>37.731999999999957</v>
      </c>
      <c r="Q341" s="871">
        <f t="shared" si="308"/>
        <v>9.5450000000000088</v>
      </c>
      <c r="R341" s="871">
        <f t="shared" si="308"/>
        <v>12.973999999999995</v>
      </c>
      <c r="S341" s="871">
        <f t="shared" si="308"/>
        <v>10.042000000000014</v>
      </c>
      <c r="T341" s="871">
        <f t="shared" si="308"/>
        <v>11.539000000000009</v>
      </c>
      <c r="U341" s="873">
        <f t="shared" si="308"/>
        <v>44.11999999999999</v>
      </c>
      <c r="V341" s="871">
        <f t="shared" si="308"/>
        <v>9.345999999999993</v>
      </c>
      <c r="W341" s="871">
        <f t="shared" si="308"/>
        <v>14.367999999999984</v>
      </c>
      <c r="X341" s="871">
        <f t="shared" si="308"/>
        <v>14.359999999999989</v>
      </c>
      <c r="Y341" s="870">
        <f t="shared" si="308"/>
        <v>12.695999999999978</v>
      </c>
      <c r="Z341" s="869">
        <f t="shared" si="308"/>
        <v>50.770000000000067</v>
      </c>
      <c r="AA341" s="870">
        <f t="shared" si="308"/>
        <v>10.471</v>
      </c>
      <c r="AB341" s="871">
        <f t="shared" si="308"/>
        <v>14.215000000000003</v>
      </c>
      <c r="AC341" s="871">
        <f t="shared" si="308"/>
        <v>9.3840000000000039</v>
      </c>
      <c r="AD341" s="870">
        <f t="shared" si="308"/>
        <v>10.420000000000009</v>
      </c>
      <c r="AE341" s="869">
        <f t="shared" si="308"/>
        <v>44.489999999999959</v>
      </c>
      <c r="AF341" s="870">
        <f t="shared" si="308"/>
        <v>12.246000000000018</v>
      </c>
      <c r="AG341" s="871">
        <f t="shared" si="308"/>
        <v>15.602000000000009</v>
      </c>
      <c r="AH341" s="871">
        <f t="shared" si="308"/>
        <v>13.217999999999984</v>
      </c>
      <c r="AI341" s="870">
        <f t="shared" si="308"/>
        <v>14.758999999999993</v>
      </c>
      <c r="AJ341" s="869">
        <f t="shared" si="308"/>
        <v>55.82500000000006</v>
      </c>
      <c r="AK341" s="870">
        <f t="shared" si="308"/>
        <v>10.457999999999974</v>
      </c>
      <c r="AL341" s="871">
        <f t="shared" si="308"/>
        <v>15.772999999999993</v>
      </c>
      <c r="AM341" s="872">
        <f>AM328-SUM(AM339:AM340)</f>
        <v>14.899000000000015</v>
      </c>
      <c r="AN341" s="871">
        <f>AN282</f>
        <v>12.209496757409855</v>
      </c>
      <c r="AO341" s="869">
        <f t="shared" ref="AO341:AT341" si="309">AO328-SUM(AO339:AO340)</f>
        <v>53.339496757409805</v>
      </c>
      <c r="AP341" s="871">
        <f t="shared" ref="AP341:AS341" ca="1" si="310">AP282</f>
        <v>10.24422653034353</v>
      </c>
      <c r="AQ341" s="871">
        <f t="shared" ca="1" si="310"/>
        <v>13.455248724319164</v>
      </c>
      <c r="AR341" s="871">
        <f t="shared" ca="1" si="310"/>
        <v>13.396635076576098</v>
      </c>
      <c r="AS341" s="871">
        <f t="shared" ca="1" si="310"/>
        <v>12.509546254485656</v>
      </c>
      <c r="AT341" s="869">
        <f t="shared" ca="1" si="309"/>
        <v>49.605656585724489</v>
      </c>
      <c r="AU341" s="873">
        <f t="shared" ref="AU341:AW341" ca="1" si="311">AU282</f>
        <v>53.614375484285112</v>
      </c>
      <c r="AV341" s="873">
        <f t="shared" ca="1" si="311"/>
        <v>55.976987012727619</v>
      </c>
      <c r="AW341" s="873">
        <f t="shared" ca="1" si="311"/>
        <v>58.943631609966161</v>
      </c>
      <c r="AX341" s="795"/>
    </row>
    <row r="342" spans="1:50" s="34" customFormat="1" x14ac:dyDescent="0.45">
      <c r="A342" s="503"/>
      <c r="B342" s="504"/>
      <c r="C342" s="916"/>
      <c r="D342" s="916"/>
      <c r="E342" s="916"/>
      <c r="F342" s="916"/>
      <c r="G342" s="917"/>
      <c r="H342" s="917"/>
      <c r="I342" s="917"/>
      <c r="J342" s="917"/>
      <c r="K342" s="916"/>
      <c r="L342" s="917"/>
      <c r="M342" s="917"/>
      <c r="N342" s="917"/>
      <c r="O342" s="917"/>
      <c r="P342" s="916"/>
      <c r="Q342" s="917"/>
      <c r="R342" s="917"/>
      <c r="S342" s="917"/>
      <c r="T342" s="917"/>
      <c r="U342" s="916"/>
      <c r="V342" s="917"/>
      <c r="W342" s="917"/>
      <c r="X342" s="917"/>
      <c r="Y342" s="918"/>
      <c r="Z342" s="919"/>
      <c r="AA342" s="918"/>
      <c r="AB342" s="917"/>
      <c r="AC342" s="917"/>
      <c r="AD342" s="918"/>
      <c r="AE342" s="919"/>
      <c r="AF342" s="918"/>
      <c r="AG342" s="917"/>
      <c r="AH342" s="917"/>
      <c r="AI342" s="918"/>
      <c r="AJ342" s="919"/>
      <c r="AK342" s="918"/>
      <c r="AL342" s="917"/>
      <c r="AM342" s="920"/>
      <c r="AN342" s="921"/>
      <c r="AO342" s="919"/>
      <c r="AP342" s="921"/>
      <c r="AQ342" s="921"/>
      <c r="AR342" s="921"/>
      <c r="AS342" s="921"/>
      <c r="AT342" s="919"/>
      <c r="AU342" s="922"/>
      <c r="AV342" s="922"/>
      <c r="AW342" s="922"/>
      <c r="AX342" s="125"/>
    </row>
    <row r="343" spans="1:50" s="33" customFormat="1" x14ac:dyDescent="0.45">
      <c r="A343" s="113" t="s">
        <v>82</v>
      </c>
      <c r="B343" s="193"/>
      <c r="C343" s="440">
        <f t="shared" ref="C343:AM343" si="312">C330/C328</f>
        <v>0.37556745125823288</v>
      </c>
      <c r="D343" s="440">
        <f t="shared" si="312"/>
        <v>0.3919250974411117</v>
      </c>
      <c r="E343" s="440">
        <f t="shared" si="312"/>
        <v>0.41850447522505091</v>
      </c>
      <c r="F343" s="440">
        <f t="shared" si="312"/>
        <v>0.518835069797139</v>
      </c>
      <c r="G343" s="379">
        <f t="shared" si="312"/>
        <v>0.30356958096223502</v>
      </c>
      <c r="H343" s="379">
        <f t="shared" si="312"/>
        <v>0.33080970101373025</v>
      </c>
      <c r="I343" s="379">
        <f t="shared" si="312"/>
        <v>0.34783514823112582</v>
      </c>
      <c r="J343" s="379">
        <f t="shared" si="312"/>
        <v>0.95589447650453341</v>
      </c>
      <c r="K343" s="440">
        <f t="shared" si="312"/>
        <v>0.49150036954914972</v>
      </c>
      <c r="L343" s="379">
        <f t="shared" si="312"/>
        <v>0.33755436172934211</v>
      </c>
      <c r="M343" s="379">
        <f t="shared" si="312"/>
        <v>0.34743905779238604</v>
      </c>
      <c r="N343" s="379">
        <f t="shared" si="312"/>
        <v>0.1849163385826772</v>
      </c>
      <c r="O343" s="379">
        <f t="shared" si="312"/>
        <v>1.1045425257731967</v>
      </c>
      <c r="P343" s="440">
        <f t="shared" si="312"/>
        <v>0.57180910722297063</v>
      </c>
      <c r="Q343" s="379">
        <f t="shared" si="312"/>
        <v>0.3061598104673699</v>
      </c>
      <c r="R343" s="379">
        <f t="shared" si="312"/>
        <v>0.3028676706183917</v>
      </c>
      <c r="S343" s="379">
        <f t="shared" si="312"/>
        <v>0.10281923714759519</v>
      </c>
      <c r="T343" s="379">
        <f t="shared" si="312"/>
        <v>0.70560415184363667</v>
      </c>
      <c r="U343" s="440">
        <f t="shared" si="312"/>
        <v>-1.4823548029751565</v>
      </c>
      <c r="V343" s="379">
        <f t="shared" si="312"/>
        <v>0.37033195020746557</v>
      </c>
      <c r="W343" s="379">
        <f t="shared" si="312"/>
        <v>0.30192828146143519</v>
      </c>
      <c r="X343" s="379">
        <f t="shared" si="312"/>
        <v>9.0037418147801765E-2</v>
      </c>
      <c r="Y343" s="413">
        <f t="shared" si="312"/>
        <v>0.49957140408023482</v>
      </c>
      <c r="Z343" s="414">
        <f t="shared" si="312"/>
        <v>0.23283493582955583</v>
      </c>
      <c r="AA343" s="413">
        <f t="shared" si="312"/>
        <v>0.35603305785123968</v>
      </c>
      <c r="AB343" s="379">
        <f t="shared" si="312"/>
        <v>0.23519908771262946</v>
      </c>
      <c r="AC343" s="379">
        <f t="shared" si="312"/>
        <v>-0.53005284015851972</v>
      </c>
      <c r="AD343" s="413">
        <f t="shared" si="312"/>
        <v>0.308130528209485</v>
      </c>
      <c r="AE343" s="414">
        <f t="shared" si="312"/>
        <v>7.6634146341453757</v>
      </c>
      <c r="AF343" s="413">
        <f t="shared" si="312"/>
        <v>0.11521035598705429</v>
      </c>
      <c r="AG343" s="379">
        <f t="shared" si="312"/>
        <v>0.12054703135423608</v>
      </c>
      <c r="AH343" s="379">
        <f t="shared" si="312"/>
        <v>0.11536275809812498</v>
      </c>
      <c r="AI343" s="413">
        <f t="shared" si="312"/>
        <v>0.29971327373924811</v>
      </c>
      <c r="AJ343" s="414">
        <f t="shared" si="312"/>
        <v>0.1553195848128924</v>
      </c>
      <c r="AK343" s="413">
        <f t="shared" si="312"/>
        <v>-0.42476851851853048</v>
      </c>
      <c r="AL343" s="379">
        <f t="shared" si="312"/>
        <v>7.1005917159763399E-2</v>
      </c>
      <c r="AM343" s="603">
        <f t="shared" si="312"/>
        <v>-0.4691235059760932</v>
      </c>
      <c r="AN343" s="200">
        <v>0.21</v>
      </c>
      <c r="AO343" s="129">
        <f>AO330/AO328</f>
        <v>-6.4011411614042658E-3</v>
      </c>
      <c r="AP343" s="200">
        <v>0.21</v>
      </c>
      <c r="AQ343" s="200">
        <v>0.21</v>
      </c>
      <c r="AR343" s="200">
        <v>0.21</v>
      </c>
      <c r="AS343" s="200">
        <v>0.21</v>
      </c>
      <c r="AT343" s="129">
        <f ca="1">AT330/AT328</f>
        <v>0.20999999999999969</v>
      </c>
      <c r="AU343" s="31">
        <v>0.21</v>
      </c>
      <c r="AV343" s="31">
        <v>0.21</v>
      </c>
      <c r="AW343" s="31">
        <v>0.21</v>
      </c>
      <c r="AX343" s="126"/>
    </row>
    <row r="344" spans="1:50" s="33" customFormat="1" x14ac:dyDescent="0.45">
      <c r="A344" s="113" t="s">
        <v>83</v>
      </c>
      <c r="B344" s="193"/>
      <c r="C344" s="440">
        <f t="shared" ref="C344:AM344" si="313">C331/C328</f>
        <v>-1.0312524600488072E-2</v>
      </c>
      <c r="D344" s="440">
        <f t="shared" si="313"/>
        <v>-4.4420437214031515E-2</v>
      </c>
      <c r="E344" s="440">
        <f t="shared" si="313"/>
        <v>-6.8998426577935978E-2</v>
      </c>
      <c r="F344" s="440">
        <f t="shared" si="313"/>
        <v>-0.13879618074701816</v>
      </c>
      <c r="G344" s="379">
        <f t="shared" si="313"/>
        <v>2.674599068804968E-2</v>
      </c>
      <c r="H344" s="379">
        <f t="shared" si="313"/>
        <v>1.9825484409085072E-2</v>
      </c>
      <c r="I344" s="379">
        <f t="shared" si="313"/>
        <v>-3.6471630281873623E-3</v>
      </c>
      <c r="J344" s="379">
        <f t="shared" si="313"/>
        <v>-0.67051387743885627</v>
      </c>
      <c r="K344" s="440">
        <f t="shared" si="313"/>
        <v>-0.17320986044085029</v>
      </c>
      <c r="L344" s="379">
        <f t="shared" si="313"/>
        <v>2.046559222307493E-3</v>
      </c>
      <c r="M344" s="379">
        <f t="shared" si="313"/>
        <v>2.054231717337718E-3</v>
      </c>
      <c r="N344" s="379">
        <f t="shared" si="313"/>
        <v>-6.2746062992126003E-3</v>
      </c>
      <c r="O344" s="379">
        <f t="shared" si="313"/>
        <v>-0.96979703608247492</v>
      </c>
      <c r="P344" s="440">
        <f t="shared" si="313"/>
        <v>-0.33818416330192952</v>
      </c>
      <c r="Q344" s="379">
        <f t="shared" si="313"/>
        <v>8.7228085289683295E-3</v>
      </c>
      <c r="R344" s="379">
        <f t="shared" si="313"/>
        <v>3.0999679589875054E-2</v>
      </c>
      <c r="S344" s="379">
        <f t="shared" si="313"/>
        <v>3.2338308457711386E-2</v>
      </c>
      <c r="T344" s="379">
        <f t="shared" si="313"/>
        <v>-0.38877495500774306</v>
      </c>
      <c r="U344" s="440">
        <f t="shared" si="313"/>
        <v>1.5872764677955395</v>
      </c>
      <c r="V344" s="379">
        <f t="shared" si="313"/>
        <v>-4.1493775933609589E-2</v>
      </c>
      <c r="W344" s="379">
        <f t="shared" si="313"/>
        <v>2.3680649526387071E-2</v>
      </c>
      <c r="X344" s="379">
        <f t="shared" si="313"/>
        <v>9.2531961334580692E-2</v>
      </c>
      <c r="Y344" s="413">
        <f t="shared" si="313"/>
        <v>-0.25647179838848022</v>
      </c>
      <c r="Z344" s="414">
        <f t="shared" si="313"/>
        <v>-5.4640179592528116E-3</v>
      </c>
      <c r="AA344" s="413">
        <f t="shared" si="313"/>
        <v>0</v>
      </c>
      <c r="AB344" s="379">
        <f t="shared" si="313"/>
        <v>1.7105388197282141E-3</v>
      </c>
      <c r="AC344" s="379">
        <f t="shared" si="313"/>
        <v>1.0211360634081887</v>
      </c>
      <c r="AD344" s="413">
        <f t="shared" si="313"/>
        <v>0.13982309729648701</v>
      </c>
      <c r="AE344" s="414">
        <f t="shared" si="313"/>
        <v>-0.76097560975600165</v>
      </c>
      <c r="AF344" s="413">
        <f t="shared" si="313"/>
        <v>2.7831715210355809E-2</v>
      </c>
      <c r="AG344" s="379">
        <f t="shared" si="313"/>
        <v>5.9372915276851195E-3</v>
      </c>
      <c r="AH344" s="379">
        <f t="shared" si="313"/>
        <v>-2.8982761886721053E-2</v>
      </c>
      <c r="AI344" s="413">
        <f t="shared" si="313"/>
        <v>3.761173891044025E-2</v>
      </c>
      <c r="AJ344" s="414">
        <f t="shared" si="313"/>
        <v>8.3652007648183438E-3</v>
      </c>
      <c r="AK344" s="413">
        <f t="shared" si="313"/>
        <v>-1.5046296296296719E-2</v>
      </c>
      <c r="AL344" s="379">
        <f t="shared" si="313"/>
        <v>6.2206038537399562E-3</v>
      </c>
      <c r="AM344" s="603">
        <f t="shared" si="313"/>
        <v>3.3200531208499159E-3</v>
      </c>
      <c r="AN344" s="200">
        <v>0</v>
      </c>
      <c r="AO344" s="129">
        <f>AO331/AO328</f>
        <v>2.342757655583332E-3</v>
      </c>
      <c r="AP344" s="200">
        <v>0</v>
      </c>
      <c r="AQ344" s="200">
        <v>0</v>
      </c>
      <c r="AR344" s="200">
        <v>0</v>
      </c>
      <c r="AS344" s="200">
        <v>0</v>
      </c>
      <c r="AT344" s="129">
        <f ca="1">AT331/AT328</f>
        <v>0</v>
      </c>
      <c r="AU344" s="31">
        <v>0</v>
      </c>
      <c r="AV344" s="31">
        <v>0</v>
      </c>
      <c r="AW344" s="31">
        <v>0</v>
      </c>
      <c r="AX344" s="126"/>
    </row>
    <row r="345" spans="1:50" s="29" customFormat="1" x14ac:dyDescent="0.45">
      <c r="A345" s="797"/>
      <c r="B345" s="149"/>
      <c r="C345" s="882"/>
      <c r="D345" s="882"/>
      <c r="E345" s="882"/>
      <c r="F345" s="882"/>
      <c r="G345" s="861"/>
      <c r="H345" s="861"/>
      <c r="I345" s="861"/>
      <c r="J345" s="861"/>
      <c r="K345" s="882"/>
      <c r="L345" s="861"/>
      <c r="M345" s="861"/>
      <c r="N345" s="861"/>
      <c r="O345" s="861"/>
      <c r="P345" s="882"/>
      <c r="Q345" s="861"/>
      <c r="R345" s="861"/>
      <c r="S345" s="861"/>
      <c r="T345" s="861"/>
      <c r="U345" s="882"/>
      <c r="V345" s="861"/>
      <c r="W345" s="861"/>
      <c r="X345" s="861"/>
      <c r="Y345" s="841"/>
      <c r="Z345" s="840"/>
      <c r="AA345" s="841"/>
      <c r="AB345" s="861"/>
      <c r="AC345" s="861"/>
      <c r="AD345" s="841"/>
      <c r="AE345" s="840"/>
      <c r="AF345" s="841"/>
      <c r="AG345" s="861"/>
      <c r="AH345" s="861"/>
      <c r="AI345" s="841"/>
      <c r="AJ345" s="840"/>
      <c r="AK345" s="841"/>
      <c r="AL345" s="861"/>
      <c r="AM345" s="842"/>
      <c r="AN345" s="874"/>
      <c r="AO345" s="844"/>
      <c r="AP345" s="874"/>
      <c r="AQ345" s="874"/>
      <c r="AR345" s="874"/>
      <c r="AS345" s="874"/>
      <c r="AT345" s="844"/>
      <c r="AU345" s="875"/>
      <c r="AV345" s="875"/>
      <c r="AW345" s="875"/>
      <c r="AX345" s="793"/>
    </row>
    <row r="346" spans="1:50" s="35" customFormat="1" x14ac:dyDescent="0.45">
      <c r="A346" s="114" t="s">
        <v>84</v>
      </c>
      <c r="B346" s="194"/>
      <c r="C346" s="704">
        <f t="shared" ref="C346:AM346" si="314">C$336/C351</f>
        <v>0.84475292474244834</v>
      </c>
      <c r="D346" s="704">
        <f t="shared" si="314"/>
        <v>1.0641171796731961</v>
      </c>
      <c r="E346" s="704">
        <f t="shared" si="314"/>
        <v>1.2882392003950349</v>
      </c>
      <c r="F346" s="704">
        <f t="shared" si="314"/>
        <v>0.719356142241378</v>
      </c>
      <c r="G346" s="702">
        <f t="shared" si="314"/>
        <v>0.21734750415554305</v>
      </c>
      <c r="H346" s="702">
        <f t="shared" si="314"/>
        <v>0.16943449291860582</v>
      </c>
      <c r="I346" s="702">
        <f t="shared" si="314"/>
        <v>-0.20918019709836647</v>
      </c>
      <c r="J346" s="702">
        <f t="shared" si="314"/>
        <v>8.6383869253255474E-2</v>
      </c>
      <c r="K346" s="704">
        <f t="shared" si="314"/>
        <v>0.26169097766948191</v>
      </c>
      <c r="L346" s="702">
        <f t="shared" si="314"/>
        <v>8.5721401295035859E-2</v>
      </c>
      <c r="M346" s="702">
        <f t="shared" si="314"/>
        <v>7.8842100021577696E-2</v>
      </c>
      <c r="N346" s="702">
        <f t="shared" si="314"/>
        <v>0.11076453411202546</v>
      </c>
      <c r="O346" s="702">
        <f t="shared" si="314"/>
        <v>0.17819466560509542</v>
      </c>
      <c r="P346" s="704">
        <f t="shared" si="314"/>
        <v>0.4535753995253814</v>
      </c>
      <c r="Q346" s="702">
        <f t="shared" si="314"/>
        <v>0.10548481230932502</v>
      </c>
      <c r="R346" s="702">
        <f t="shared" si="314"/>
        <v>0.1375432096723507</v>
      </c>
      <c r="S346" s="702">
        <f t="shared" si="314"/>
        <v>0.11995005503803399</v>
      </c>
      <c r="T346" s="702">
        <f t="shared" si="314"/>
        <v>-0.26803395786466094</v>
      </c>
      <c r="U346" s="704">
        <f t="shared" si="314"/>
        <v>9.3279459058299499E-2</v>
      </c>
      <c r="V346" s="702">
        <f t="shared" si="314"/>
        <v>-1.0575524281207746E-2</v>
      </c>
      <c r="W346" s="702">
        <f t="shared" si="314"/>
        <v>6.4663141846962022E-2</v>
      </c>
      <c r="X346" s="702">
        <f t="shared" si="314"/>
        <v>0.16887571868004425</v>
      </c>
      <c r="Y346" s="701">
        <f t="shared" si="314"/>
        <v>7.0815622744405796E-2</v>
      </c>
      <c r="Z346" s="703">
        <f t="shared" si="314"/>
        <v>0.29507586787020079</v>
      </c>
      <c r="AA346" s="701">
        <f t="shared" si="314"/>
        <v>6.2200651382591475E-2</v>
      </c>
      <c r="AB346" s="702">
        <f t="shared" si="314"/>
        <v>0.12643080944058699</v>
      </c>
      <c r="AC346" s="702">
        <f t="shared" si="314"/>
        <v>2.418924434119242E-2</v>
      </c>
      <c r="AD346" s="701">
        <f t="shared" si="314"/>
        <v>-0.17291197094916086</v>
      </c>
      <c r="AE346" s="703">
        <f t="shared" si="314"/>
        <v>3.8149286671395104E-2</v>
      </c>
      <c r="AF346" s="701">
        <f t="shared" si="314"/>
        <v>4.1362720442368967E-2</v>
      </c>
      <c r="AG346" s="702">
        <f t="shared" si="314"/>
        <v>0.20375009725355961</v>
      </c>
      <c r="AH346" s="702">
        <f t="shared" si="314"/>
        <v>7.4616705602054315E-2</v>
      </c>
      <c r="AI346" s="701">
        <f t="shared" si="314"/>
        <v>6.0680473829711555E-2</v>
      </c>
      <c r="AJ346" s="703">
        <f t="shared" si="314"/>
        <v>0.3802412406662844</v>
      </c>
      <c r="AK346" s="701">
        <f t="shared" si="314"/>
        <v>1.9134045989386693E-2</v>
      </c>
      <c r="AL346" s="702">
        <f t="shared" si="314"/>
        <v>9.2995519946178079E-2</v>
      </c>
      <c r="AM346" s="773">
        <f t="shared" si="314"/>
        <v>6.7411784465515628E-2</v>
      </c>
      <c r="AN346" s="115">
        <f t="shared" ref="AN346:AW346" ca="1" si="315">AN336/AN351</f>
        <v>6.9397168661081921E-2</v>
      </c>
      <c r="AO346" s="130">
        <f t="shared" ca="1" si="315"/>
        <v>0.24921046919488282</v>
      </c>
      <c r="AP346" s="115">
        <f t="shared" ca="1" si="315"/>
        <v>3.9005126775564371E-2</v>
      </c>
      <c r="AQ346" s="115">
        <f t="shared" ca="1" si="315"/>
        <v>8.8662176310330715E-2</v>
      </c>
      <c r="AR346" s="115">
        <f t="shared" ca="1" si="315"/>
        <v>8.7755741962149761E-2</v>
      </c>
      <c r="AS346" s="115">
        <f t="shared" ca="1" si="315"/>
        <v>7.4037302499810512E-2</v>
      </c>
      <c r="AT346" s="130">
        <f t="shared" ca="1" si="315"/>
        <v>0.28946034754785593</v>
      </c>
      <c r="AU346" s="83">
        <f t="shared" ca="1" si="315"/>
        <v>0.35145342666460822</v>
      </c>
      <c r="AV346" s="83">
        <f t="shared" ca="1" si="315"/>
        <v>0.38799017745985021</v>
      </c>
      <c r="AW346" s="83">
        <f t="shared" ca="1" si="315"/>
        <v>0.43386803467102319</v>
      </c>
      <c r="AX346" s="134"/>
    </row>
    <row r="347" spans="1:50" s="35" customFormat="1" x14ac:dyDescent="0.45">
      <c r="A347" s="114" t="s">
        <v>85</v>
      </c>
      <c r="B347" s="194"/>
      <c r="C347" s="704">
        <f t="shared" ref="C347:AW347" si="316">C338/C352</f>
        <v>0.84002986525906409</v>
      </c>
      <c r="D347" s="704">
        <f t="shared" si="316"/>
        <v>1.0578679854385606</v>
      </c>
      <c r="E347" s="704">
        <f t="shared" si="316"/>
        <v>1.2812579383224103</v>
      </c>
      <c r="F347" s="704">
        <f t="shared" si="316"/>
        <v>0.71850930005717806</v>
      </c>
      <c r="G347" s="702">
        <f t="shared" si="316"/>
        <v>0.21730007386020256</v>
      </c>
      <c r="H347" s="702">
        <f t="shared" si="316"/>
        <v>0.16938628642198458</v>
      </c>
      <c r="I347" s="702">
        <f t="shared" si="316"/>
        <v>-0.20918019709836647</v>
      </c>
      <c r="J347" s="702">
        <f t="shared" si="316"/>
        <v>8.5836414048059251E-2</v>
      </c>
      <c r="K347" s="704">
        <f t="shared" si="316"/>
        <v>0.26075098945687991</v>
      </c>
      <c r="L347" s="702">
        <f t="shared" si="316"/>
        <v>8.4959684054632362E-2</v>
      </c>
      <c r="M347" s="702">
        <f t="shared" si="316"/>
        <v>7.8140422451799557E-2</v>
      </c>
      <c r="N347" s="702">
        <f t="shared" si="316"/>
        <v>0.10970339331197106</v>
      </c>
      <c r="O347" s="702">
        <f t="shared" si="316"/>
        <v>0.17624187938841115</v>
      </c>
      <c r="P347" s="704">
        <f t="shared" si="316"/>
        <v>0.44917747210307418</v>
      </c>
      <c r="Q347" s="702">
        <f t="shared" si="316"/>
        <v>0.10418577230446761</v>
      </c>
      <c r="R347" s="702">
        <f t="shared" si="316"/>
        <v>0.13589567604667116</v>
      </c>
      <c r="S347" s="702">
        <f t="shared" si="316"/>
        <v>0.11914358915778675</v>
      </c>
      <c r="T347" s="702">
        <f t="shared" si="316"/>
        <v>-0.26803395786466094</v>
      </c>
      <c r="U347" s="704">
        <f t="shared" si="316"/>
        <v>9.2368494112651509E-2</v>
      </c>
      <c r="V347" s="702">
        <f t="shared" si="316"/>
        <v>-1.0575524281207746E-2</v>
      </c>
      <c r="W347" s="702">
        <f t="shared" si="316"/>
        <v>6.4252562367046739E-2</v>
      </c>
      <c r="X347" s="702">
        <f t="shared" si="316"/>
        <v>0.16887571868004425</v>
      </c>
      <c r="Y347" s="701">
        <f t="shared" si="316"/>
        <v>7.0812215307627824E-2</v>
      </c>
      <c r="Z347" s="703">
        <f t="shared" si="316"/>
        <v>0.2941622318980821</v>
      </c>
      <c r="AA347" s="701">
        <f t="shared" si="316"/>
        <v>6.2193700812540907E-2</v>
      </c>
      <c r="AB347" s="702">
        <f t="shared" si="316"/>
        <v>0.12639697780576106</v>
      </c>
      <c r="AC347" s="702">
        <f t="shared" si="316"/>
        <v>2.4188484962642122E-2</v>
      </c>
      <c r="AD347" s="701">
        <f t="shared" si="316"/>
        <v>-0.17291197094916086</v>
      </c>
      <c r="AE347" s="703">
        <f t="shared" si="316"/>
        <v>3.8146279949557826E-2</v>
      </c>
      <c r="AF347" s="701">
        <f t="shared" si="316"/>
        <v>4.1340119274362555E-2</v>
      </c>
      <c r="AG347" s="702">
        <f t="shared" si="316"/>
        <v>0.20189031253372819</v>
      </c>
      <c r="AH347" s="702">
        <f t="shared" si="316"/>
        <v>7.4456588860071393E-2</v>
      </c>
      <c r="AI347" s="701">
        <f t="shared" si="316"/>
        <v>6.0523437620345871E-2</v>
      </c>
      <c r="AJ347" s="703">
        <f t="shared" si="316"/>
        <v>0.37916408668730717</v>
      </c>
      <c r="AK347" s="701">
        <f t="shared" si="316"/>
        <v>1.9035086377059598E-2</v>
      </c>
      <c r="AL347" s="702">
        <f t="shared" si="316"/>
        <v>9.2769981696156065E-2</v>
      </c>
      <c r="AM347" s="773">
        <f t="shared" si="316"/>
        <v>6.7236232943470017E-2</v>
      </c>
      <c r="AN347" s="115">
        <f t="shared" ca="1" si="316"/>
        <v>6.9216446867693682E-2</v>
      </c>
      <c r="AO347" s="130">
        <f t="shared" ca="1" si="316"/>
        <v>0.24841315838667777</v>
      </c>
      <c r="AP347" s="115">
        <f t="shared" ca="1" si="316"/>
        <v>3.890355092458634E-2</v>
      </c>
      <c r="AQ347" s="115">
        <f t="shared" ca="1" si="316"/>
        <v>8.8431285226189218E-2</v>
      </c>
      <c r="AR347" s="115">
        <f t="shared" ca="1" si="316"/>
        <v>8.7527211384123324E-2</v>
      </c>
      <c r="AS347" s="115">
        <f t="shared" ca="1" si="316"/>
        <v>7.3844497024550579E-2</v>
      </c>
      <c r="AT347" s="130">
        <f t="shared" ca="1" si="316"/>
        <v>0.28870654455945</v>
      </c>
      <c r="AU347" s="83">
        <f t="shared" ca="1" si="316"/>
        <v>0.35053818336600245</v>
      </c>
      <c r="AV347" s="83">
        <f t="shared" ca="1" si="316"/>
        <v>0.38697978637271513</v>
      </c>
      <c r="AW347" s="83">
        <f t="shared" ca="1" si="316"/>
        <v>0.43273816999740067</v>
      </c>
      <c r="AX347" s="134"/>
    </row>
    <row r="348" spans="1:50" s="35" customFormat="1" x14ac:dyDescent="0.45">
      <c r="A348" s="114" t="s">
        <v>86</v>
      </c>
      <c r="B348" s="194"/>
      <c r="C348" s="704">
        <f t="shared" ref="C348:AW348" si="317">C341/C353</f>
        <v>0.84002986525906409</v>
      </c>
      <c r="D348" s="704">
        <f t="shared" si="317"/>
        <v>1.0578679854385606</v>
      </c>
      <c r="E348" s="704">
        <f t="shared" si="317"/>
        <v>1.2812579383224103</v>
      </c>
      <c r="F348" s="704">
        <f t="shared" si="317"/>
        <v>1.1376341192694481</v>
      </c>
      <c r="G348" s="702">
        <f t="shared" si="317"/>
        <v>0.24484657221513442</v>
      </c>
      <c r="H348" s="702">
        <f t="shared" si="317"/>
        <v>0.22352763970477482</v>
      </c>
      <c r="I348" s="702">
        <f t="shared" si="317"/>
        <v>0.11117167112608586</v>
      </c>
      <c r="J348" s="702">
        <f t="shared" si="317"/>
        <v>0.12301954053340385</v>
      </c>
      <c r="K348" s="704">
        <f t="shared" si="317"/>
        <v>0.69837363222137239</v>
      </c>
      <c r="L348" s="702">
        <f t="shared" si="317"/>
        <v>0.1281717952937306</v>
      </c>
      <c r="M348" s="702">
        <f t="shared" si="317"/>
        <v>0.12703165098374666</v>
      </c>
      <c r="N348" s="702">
        <f t="shared" si="317"/>
        <v>0.15932955385753017</v>
      </c>
      <c r="O348" s="702">
        <f t="shared" si="317"/>
        <v>0.20545967583174735</v>
      </c>
      <c r="P348" s="704">
        <f t="shared" si="317"/>
        <v>0.62009235977583788</v>
      </c>
      <c r="Q348" s="702">
        <f t="shared" si="317"/>
        <v>0.15631141097864551</v>
      </c>
      <c r="R348" s="702">
        <f t="shared" si="317"/>
        <v>0.21201424976304858</v>
      </c>
      <c r="S348" s="702">
        <f t="shared" si="317"/>
        <v>0.16387343135495053</v>
      </c>
      <c r="T348" s="702">
        <f t="shared" si="317"/>
        <v>0.18800814663951135</v>
      </c>
      <c r="U348" s="704">
        <f t="shared" si="317"/>
        <v>0.7205265134812926</v>
      </c>
      <c r="V348" s="702">
        <f t="shared" si="317"/>
        <v>0.15153382190803541</v>
      </c>
      <c r="W348" s="702">
        <f t="shared" si="317"/>
        <v>0.23154773415844751</v>
      </c>
      <c r="X348" s="702">
        <f t="shared" si="317"/>
        <v>0.23126600421947704</v>
      </c>
      <c r="Y348" s="701">
        <f t="shared" si="317"/>
        <v>0.20363123115416659</v>
      </c>
      <c r="Z348" s="703">
        <f t="shared" si="317"/>
        <v>0.81873891307853686</v>
      </c>
      <c r="AA348" s="701">
        <f t="shared" si="317"/>
        <v>0.16715355267148763</v>
      </c>
      <c r="AB348" s="702">
        <f t="shared" si="317"/>
        <v>0.22375255784668666</v>
      </c>
      <c r="AC348" s="702">
        <f t="shared" si="317"/>
        <v>0.14729704275758154</v>
      </c>
      <c r="AD348" s="701">
        <f t="shared" si="317"/>
        <v>0.16309792136238432</v>
      </c>
      <c r="AE348" s="703">
        <f t="shared" si="317"/>
        <v>0.70129255989911665</v>
      </c>
      <c r="AF348" s="701">
        <f t="shared" si="317"/>
        <v>0.19118243981640518</v>
      </c>
      <c r="AG348" s="702">
        <f t="shared" si="317"/>
        <v>0.24056000123348303</v>
      </c>
      <c r="AH348" s="702">
        <f t="shared" si="317"/>
        <v>0.20405705816969225</v>
      </c>
      <c r="AI348" s="701">
        <f t="shared" si="317"/>
        <v>0.22735184928447083</v>
      </c>
      <c r="AJ348" s="703">
        <f t="shared" si="317"/>
        <v>0.86416408668730749</v>
      </c>
      <c r="AK348" s="701">
        <f t="shared" si="317"/>
        <v>0.16002325830489764</v>
      </c>
      <c r="AL348" s="702">
        <f t="shared" si="317"/>
        <v>0.24058877364246481</v>
      </c>
      <c r="AM348" s="773">
        <f t="shared" si="317"/>
        <v>0.22689753898635501</v>
      </c>
      <c r="AN348" s="115">
        <f t="shared" ca="1" si="317"/>
        <v>0.18593897352293273</v>
      </c>
      <c r="AO348" s="130">
        <f t="shared" ca="1" si="317"/>
        <v>0.81359507868578607</v>
      </c>
      <c r="AP348" s="115">
        <f t="shared" ca="1" si="317"/>
        <v>0.15600978512340902</v>
      </c>
      <c r="AQ348" s="115">
        <f t="shared" ca="1" si="317"/>
        <v>0.20491058607942195</v>
      </c>
      <c r="AR348" s="115">
        <f t="shared" ca="1" si="317"/>
        <v>0.20401795621004049</v>
      </c>
      <c r="AS348" s="115">
        <f t="shared" ca="1" si="317"/>
        <v>0.19050844076641166</v>
      </c>
      <c r="AT348" s="130">
        <f t="shared" ca="1" si="317"/>
        <v>0.7554467681792838</v>
      </c>
      <c r="AU348" s="83">
        <f t="shared" ca="1" si="317"/>
        <v>0.81649572801360126</v>
      </c>
      <c r="AV348" s="83">
        <f t="shared" ca="1" si="317"/>
        <v>0.85247604490630513</v>
      </c>
      <c r="AW348" s="83">
        <f t="shared" ca="1" si="317"/>
        <v>0.89765520848510838</v>
      </c>
      <c r="AX348" s="134"/>
    </row>
    <row r="349" spans="1:50" s="137" customFormat="1" x14ac:dyDescent="0.45">
      <c r="A349" s="109" t="str">
        <f>"Consensus Estimates - "&amp;$A$348</f>
        <v>Consensus Estimates - Adjusted Earnings Per Share - WAD</v>
      </c>
      <c r="B349" s="192"/>
      <c r="C349" s="461"/>
      <c r="D349" s="461"/>
      <c r="E349" s="461"/>
      <c r="F349" s="461"/>
      <c r="G349" s="462"/>
      <c r="H349" s="462"/>
      <c r="I349" s="462"/>
      <c r="J349" s="462"/>
      <c r="K349" s="461"/>
      <c r="L349" s="462"/>
      <c r="M349" s="462"/>
      <c r="N349" s="462"/>
      <c r="O349" s="462"/>
      <c r="P349" s="461"/>
      <c r="Q349" s="462"/>
      <c r="R349" s="462"/>
      <c r="S349" s="462"/>
      <c r="T349" s="462"/>
      <c r="U349" s="461"/>
      <c r="V349" s="462"/>
      <c r="W349" s="462"/>
      <c r="X349" s="378"/>
      <c r="Y349" s="378"/>
      <c r="Z349" s="463"/>
      <c r="AA349" s="412"/>
      <c r="AB349" s="462"/>
      <c r="AC349" s="378"/>
      <c r="AD349" s="412"/>
      <c r="AE349" s="415"/>
      <c r="AF349" s="412"/>
      <c r="AG349" s="462"/>
      <c r="AH349" s="378"/>
      <c r="AI349" s="412"/>
      <c r="AJ349" s="415"/>
      <c r="AK349" s="412"/>
      <c r="AL349" s="462"/>
      <c r="AM349" s="602"/>
      <c r="AN349" s="629" t="str">
        <f t="shared" ref="AN349:AW349" ca="1" si="318">IFERROR(VLOOKUP($A349,tb_ConsensusEstimate,MATCH(AN$5,OFFSET(tb_ConsensusEstimate,0,0,1,COLUMNS(tb_ConsensusEstimate)),0),FALSE),"-")</f>
        <v>N/A</v>
      </c>
      <c r="AO349" s="630" t="str">
        <f t="shared" ca="1" si="318"/>
        <v>N/A</v>
      </c>
      <c r="AP349" s="629" t="str">
        <f t="shared" ca="1" si="318"/>
        <v>N/A</v>
      </c>
      <c r="AQ349" s="629" t="str">
        <f t="shared" ca="1" si="318"/>
        <v>N/A</v>
      </c>
      <c r="AR349" s="629" t="str">
        <f t="shared" ca="1" si="318"/>
        <v>N/A</v>
      </c>
      <c r="AS349" s="629" t="str">
        <f t="shared" ca="1" si="318"/>
        <v>N/A</v>
      </c>
      <c r="AT349" s="630" t="str">
        <f t="shared" ca="1" si="318"/>
        <v>N/A</v>
      </c>
      <c r="AU349" s="631" t="str">
        <f t="shared" ca="1" si="318"/>
        <v>N/A</v>
      </c>
      <c r="AV349" s="631" t="str">
        <f t="shared" ca="1" si="318"/>
        <v>N/A</v>
      </c>
      <c r="AW349" s="631" t="str">
        <f t="shared" ca="1" si="318"/>
        <v>N/A</v>
      </c>
      <c r="AX349" s="110"/>
    </row>
    <row r="350" spans="1:50" s="7" customFormat="1" x14ac:dyDescent="0.45">
      <c r="A350" s="634"/>
      <c r="B350" s="635"/>
      <c r="C350" s="851"/>
      <c r="D350" s="851"/>
      <c r="E350" s="851"/>
      <c r="F350" s="851"/>
      <c r="G350" s="852"/>
      <c r="H350" s="852"/>
      <c r="I350" s="852"/>
      <c r="J350" s="852"/>
      <c r="K350" s="851"/>
      <c r="L350" s="852"/>
      <c r="M350" s="852"/>
      <c r="N350" s="852"/>
      <c r="O350" s="852"/>
      <c r="P350" s="851"/>
      <c r="Q350" s="852"/>
      <c r="R350" s="852"/>
      <c r="S350" s="852"/>
      <c r="T350" s="852"/>
      <c r="U350" s="851"/>
      <c r="V350" s="852"/>
      <c r="W350" s="852"/>
      <c r="X350" s="866"/>
      <c r="Y350" s="852"/>
      <c r="Z350" s="851"/>
      <c r="AA350" s="852"/>
      <c r="AB350" s="852"/>
      <c r="AC350" s="866"/>
      <c r="AD350" s="852"/>
      <c r="AE350" s="851"/>
      <c r="AF350" s="852"/>
      <c r="AG350" s="852"/>
      <c r="AH350" s="866"/>
      <c r="AI350" s="852"/>
      <c r="AJ350" s="851"/>
      <c r="AK350" s="852"/>
      <c r="AL350" s="852"/>
      <c r="AM350" s="853"/>
      <c r="AN350" s="866"/>
      <c r="AO350" s="851"/>
      <c r="AP350" s="866"/>
      <c r="AQ350" s="866"/>
      <c r="AR350" s="866"/>
      <c r="AS350" s="866"/>
      <c r="AT350" s="851"/>
      <c r="AU350" s="881"/>
      <c r="AV350" s="881"/>
      <c r="AW350" s="881"/>
      <c r="AX350" s="795"/>
    </row>
    <row r="351" spans="1:50" s="29" customFormat="1" x14ac:dyDescent="0.45">
      <c r="A351" s="797" t="s">
        <v>87</v>
      </c>
      <c r="B351" s="149"/>
      <c r="C351" s="882">
        <f>28.635*2</f>
        <v>57.27</v>
      </c>
      <c r="D351" s="882">
        <v>57.893999999999998</v>
      </c>
      <c r="E351" s="882">
        <v>58.728999999999999</v>
      </c>
      <c r="F351" s="882">
        <v>59.392000000000003</v>
      </c>
      <c r="G351" s="861">
        <v>59.558999999999997</v>
      </c>
      <c r="H351" s="861">
        <v>59.734000000000002</v>
      </c>
      <c r="I351" s="861">
        <v>60.173000000000002</v>
      </c>
      <c r="J351" s="861">
        <v>60.207999999999998</v>
      </c>
      <c r="K351" s="882">
        <v>59.917999999999999</v>
      </c>
      <c r="L351" s="861">
        <v>60.23</v>
      </c>
      <c r="M351" s="861">
        <v>60.247</v>
      </c>
      <c r="N351" s="861">
        <v>60.271999999999998</v>
      </c>
      <c r="O351" s="861">
        <v>60.287999999999997</v>
      </c>
      <c r="P351" s="882">
        <v>60.259</v>
      </c>
      <c r="Q351" s="861">
        <v>60.311999999999998</v>
      </c>
      <c r="R351" s="861">
        <v>60.460999999999999</v>
      </c>
      <c r="S351" s="861">
        <v>60.866999999999997</v>
      </c>
      <c r="T351" s="861">
        <v>60.899000000000001</v>
      </c>
      <c r="U351" s="882">
        <v>60.634999999999998</v>
      </c>
      <c r="V351" s="861">
        <v>61.179000000000002</v>
      </c>
      <c r="W351" s="861">
        <v>61.658000000000001</v>
      </c>
      <c r="X351" s="861">
        <v>62.093000000000004</v>
      </c>
      <c r="Y351" s="841">
        <v>62.344999999999999</v>
      </c>
      <c r="Z351" s="840">
        <v>61.817999999999998</v>
      </c>
      <c r="AA351" s="841">
        <v>62.636000000000003</v>
      </c>
      <c r="AB351" s="861">
        <v>63.512999999999998</v>
      </c>
      <c r="AC351" s="861">
        <v>63.706000000000003</v>
      </c>
      <c r="AD351" s="841">
        <v>63.887999999999998</v>
      </c>
      <c r="AE351" s="840">
        <v>63.435000000000002</v>
      </c>
      <c r="AF351" s="841">
        <v>64.019000000000005</v>
      </c>
      <c r="AG351" s="861">
        <v>64.265000000000001</v>
      </c>
      <c r="AH351" s="861">
        <v>64.637</v>
      </c>
      <c r="AI351" s="841">
        <v>64.748999999999995</v>
      </c>
      <c r="AJ351" s="840">
        <v>64.417000000000002</v>
      </c>
      <c r="AK351" s="841">
        <v>65.015000000000001</v>
      </c>
      <c r="AL351" s="861">
        <v>65.400999999999996</v>
      </c>
      <c r="AM351" s="842">
        <v>65.492999999999995</v>
      </c>
      <c r="AN351" s="862">
        <f ca="1">AM351+AN368/(AN369/AN410)</f>
        <v>65.492999999999995</v>
      </c>
      <c r="AO351" s="844">
        <f ca="1">AVERAGE(AK351,AL351,AM351,AN351)</f>
        <v>65.350499999999997</v>
      </c>
      <c r="AP351" s="862">
        <f ca="1">AN351+AP368/(AP369/AP410)</f>
        <v>65.492999999999995</v>
      </c>
      <c r="AQ351" s="862">
        <f ca="1">AP351+AQ368/(AQ369/AQ410)</f>
        <v>65.492999999999995</v>
      </c>
      <c r="AR351" s="862">
        <f ca="1">AQ351+AR368/(AR369/AR410)</f>
        <v>65.492999999999995</v>
      </c>
      <c r="AS351" s="862">
        <f ca="1">AR351+AS368/(AS369/AS410)</f>
        <v>65.492999999999995</v>
      </c>
      <c r="AT351" s="844">
        <f ca="1">AVERAGE(AP351,AQ351,AR351,AS351)</f>
        <v>65.492999999999995</v>
      </c>
      <c r="AU351" s="863">
        <f ca="1">AS351+AU368/(AU369/AU410)</f>
        <v>65.492999999999995</v>
      </c>
      <c r="AV351" s="863">
        <f ca="1">AU351+AV368/(AV369/AV410)</f>
        <v>65.492999999999995</v>
      </c>
      <c r="AW351" s="863">
        <f ca="1">AV351+AW368/(AW369/AW410)</f>
        <v>65.492999999999995</v>
      </c>
      <c r="AX351" s="793"/>
    </row>
    <row r="352" spans="1:50" s="29" customFormat="1" x14ac:dyDescent="0.45">
      <c r="A352" s="797" t="s">
        <v>88</v>
      </c>
      <c r="B352" s="149"/>
      <c r="C352" s="882">
        <f>28.796*2</f>
        <v>57.591999999999999</v>
      </c>
      <c r="D352" s="882">
        <v>58.235999999999997</v>
      </c>
      <c r="E352" s="882">
        <v>59.048999999999999</v>
      </c>
      <c r="F352" s="882">
        <v>59.462000000000003</v>
      </c>
      <c r="G352" s="861">
        <v>59.572000000000003</v>
      </c>
      <c r="H352" s="861">
        <v>59.750999999999998</v>
      </c>
      <c r="I352" s="861">
        <v>60.173000000000002</v>
      </c>
      <c r="J352" s="861">
        <v>60.591999999999999</v>
      </c>
      <c r="K352" s="882">
        <v>60.134</v>
      </c>
      <c r="L352" s="861">
        <v>60.77</v>
      </c>
      <c r="M352" s="861">
        <v>60.787999999999997</v>
      </c>
      <c r="N352" s="861">
        <v>60.854999999999997</v>
      </c>
      <c r="O352" s="861">
        <v>60.956000000000003</v>
      </c>
      <c r="P352" s="882">
        <v>60.848999999999997</v>
      </c>
      <c r="Q352" s="861">
        <v>61.064</v>
      </c>
      <c r="R352" s="861">
        <v>61.194000000000003</v>
      </c>
      <c r="S352" s="861">
        <v>61.279000000000003</v>
      </c>
      <c r="T352" s="861">
        <v>60.899000000000001</v>
      </c>
      <c r="U352" s="882">
        <v>61.232999999999997</v>
      </c>
      <c r="V352" s="861">
        <v>61.179000000000002</v>
      </c>
      <c r="W352" s="861">
        <v>62.052</v>
      </c>
      <c r="X352" s="861">
        <v>62.093000000000004</v>
      </c>
      <c r="Y352" s="841">
        <v>62.347999999999999</v>
      </c>
      <c r="Z352" s="840">
        <v>62.01</v>
      </c>
      <c r="AA352" s="841">
        <v>62.643000000000001</v>
      </c>
      <c r="AB352" s="861">
        <v>63.53</v>
      </c>
      <c r="AC352" s="861">
        <v>63.707999999999998</v>
      </c>
      <c r="AD352" s="841">
        <v>63.887999999999998</v>
      </c>
      <c r="AE352" s="840">
        <v>63.44</v>
      </c>
      <c r="AF352" s="841">
        <v>64.054000000000002</v>
      </c>
      <c r="AG352" s="861">
        <v>64.856999999999999</v>
      </c>
      <c r="AH352" s="861">
        <v>64.775999999999996</v>
      </c>
      <c r="AI352" s="841">
        <v>64.917000000000002</v>
      </c>
      <c r="AJ352" s="840">
        <v>64.599999999999994</v>
      </c>
      <c r="AK352" s="841">
        <v>65.352999999999994</v>
      </c>
      <c r="AL352" s="861">
        <v>65.56</v>
      </c>
      <c r="AM352" s="842">
        <v>65.664000000000001</v>
      </c>
      <c r="AN352" s="862">
        <f ca="1">AM352+AN368/(AN369/AN410)</f>
        <v>65.664000000000001</v>
      </c>
      <c r="AO352" s="844">
        <f ca="1">AVERAGE(AK352,AL352,AM352,AN352)</f>
        <v>65.560249999999996</v>
      </c>
      <c r="AP352" s="862">
        <f ca="1">AN352+AP368/(AP369/AP410)</f>
        <v>65.664000000000001</v>
      </c>
      <c r="AQ352" s="862">
        <f ca="1">AP352+AQ368/(AQ369/AQ410)</f>
        <v>65.664000000000001</v>
      </c>
      <c r="AR352" s="862">
        <f ca="1">AQ352+AR368/(AR369/AR410)</f>
        <v>65.664000000000001</v>
      </c>
      <c r="AS352" s="862">
        <f ca="1">AR352+AS368/(AS369/AS410)</f>
        <v>65.664000000000001</v>
      </c>
      <c r="AT352" s="844">
        <f ca="1">AVERAGE(AP352,AQ352,AR352,AS352)</f>
        <v>65.664000000000001</v>
      </c>
      <c r="AU352" s="863">
        <f ca="1">AS352+AU368/(AU369/AU410)</f>
        <v>65.664000000000001</v>
      </c>
      <c r="AV352" s="863">
        <f ca="1">AU352+AV368/(AV369/AV410)</f>
        <v>65.664000000000001</v>
      </c>
      <c r="AW352" s="863">
        <f ca="1">AV352+AW368/(AW369/AW410)</f>
        <v>65.664000000000001</v>
      </c>
      <c r="AX352" s="793"/>
    </row>
    <row r="353" spans="1:50" s="29" customFormat="1" x14ac:dyDescent="0.45">
      <c r="A353" s="797" t="s">
        <v>89</v>
      </c>
      <c r="B353" s="149"/>
      <c r="C353" s="882">
        <f>28.796*2</f>
        <v>57.591999999999999</v>
      </c>
      <c r="D353" s="882">
        <v>58.235999999999997</v>
      </c>
      <c r="E353" s="882">
        <v>59.048999999999999</v>
      </c>
      <c r="F353" s="882">
        <v>59.462000000000003</v>
      </c>
      <c r="G353" s="861">
        <v>59.572000000000003</v>
      </c>
      <c r="H353" s="861">
        <v>59.750999999999998</v>
      </c>
      <c r="I353" s="861">
        <v>60.545999999999999</v>
      </c>
      <c r="J353" s="861">
        <v>60.591999999999999</v>
      </c>
      <c r="K353" s="882">
        <v>60.134</v>
      </c>
      <c r="L353" s="861">
        <v>60.77</v>
      </c>
      <c r="M353" s="861">
        <v>60.787999999999997</v>
      </c>
      <c r="N353" s="861">
        <v>60.854999999999997</v>
      </c>
      <c r="O353" s="861">
        <v>60.956000000000003</v>
      </c>
      <c r="P353" s="882">
        <v>60.848999999999997</v>
      </c>
      <c r="Q353" s="861">
        <v>61.064</v>
      </c>
      <c r="R353" s="861">
        <v>61.194000000000003</v>
      </c>
      <c r="S353" s="861">
        <v>61.279000000000003</v>
      </c>
      <c r="T353" s="861">
        <v>61.375</v>
      </c>
      <c r="U353" s="882">
        <v>61.232999999999997</v>
      </c>
      <c r="V353" s="861">
        <v>61.676000000000002</v>
      </c>
      <c r="W353" s="861">
        <v>62.052</v>
      </c>
      <c r="X353" s="861">
        <v>62.093000000000004</v>
      </c>
      <c r="Y353" s="841">
        <v>62.347999999999999</v>
      </c>
      <c r="Z353" s="840">
        <v>62.01</v>
      </c>
      <c r="AA353" s="841">
        <v>62.643000000000001</v>
      </c>
      <c r="AB353" s="861">
        <v>63.53</v>
      </c>
      <c r="AC353" s="861">
        <v>63.707999999999998</v>
      </c>
      <c r="AD353" s="841">
        <v>63.887999999999998</v>
      </c>
      <c r="AE353" s="840">
        <v>63.44</v>
      </c>
      <c r="AF353" s="841">
        <v>64.054000000000002</v>
      </c>
      <c r="AG353" s="861">
        <v>64.856999999999999</v>
      </c>
      <c r="AH353" s="861">
        <v>64.775999999999996</v>
      </c>
      <c r="AI353" s="841">
        <v>64.917000000000002</v>
      </c>
      <c r="AJ353" s="840">
        <v>64.599999999999994</v>
      </c>
      <c r="AK353" s="841">
        <v>65.352999999999994</v>
      </c>
      <c r="AL353" s="861">
        <v>65.56</v>
      </c>
      <c r="AM353" s="842">
        <v>65.664000000000001</v>
      </c>
      <c r="AN353" s="862">
        <f ca="1">AM353+AN368/(AN369/AN410)</f>
        <v>65.664000000000001</v>
      </c>
      <c r="AO353" s="844">
        <f ca="1">AVERAGE(AK353,AL353,AM353,AN353)</f>
        <v>65.560249999999996</v>
      </c>
      <c r="AP353" s="862">
        <f ca="1">AN353+AP368/(AP369/AP410)</f>
        <v>65.664000000000001</v>
      </c>
      <c r="AQ353" s="862">
        <f ca="1">AP353+AQ368/(AQ369/AQ410)</f>
        <v>65.664000000000001</v>
      </c>
      <c r="AR353" s="862">
        <f ca="1">AQ353+AR368/(AR369/AR410)</f>
        <v>65.664000000000001</v>
      </c>
      <c r="AS353" s="862">
        <f ca="1">AR353+AS368/(AS369/AS410)</f>
        <v>65.664000000000001</v>
      </c>
      <c r="AT353" s="844">
        <f ca="1">AVERAGE(AP353,AQ353,AR353,AS353)</f>
        <v>65.664000000000001</v>
      </c>
      <c r="AU353" s="863">
        <f ca="1">AS353+AU368/(AU369/AU410)</f>
        <v>65.664000000000001</v>
      </c>
      <c r="AV353" s="863">
        <f ca="1">AU353+AV368/(AV369/AV410)</f>
        <v>65.664000000000001</v>
      </c>
      <c r="AW353" s="863">
        <f ca="1">AV353+AW368/(AW369/AW410)</f>
        <v>65.664000000000001</v>
      </c>
      <c r="AX353" s="793"/>
    </row>
    <row r="354" spans="1:50" s="29" customFormat="1" x14ac:dyDescent="0.45">
      <c r="A354" s="797"/>
      <c r="B354" s="149"/>
      <c r="C354" s="882"/>
      <c r="D354" s="882"/>
      <c r="E354" s="882"/>
      <c r="F354" s="882"/>
      <c r="G354" s="861"/>
      <c r="H354" s="861"/>
      <c r="I354" s="861"/>
      <c r="J354" s="861"/>
      <c r="K354" s="882"/>
      <c r="L354" s="861"/>
      <c r="M354" s="861"/>
      <c r="N354" s="861"/>
      <c r="O354" s="861"/>
      <c r="P354" s="882"/>
      <c r="Q354" s="861"/>
      <c r="R354" s="861"/>
      <c r="S354" s="861"/>
      <c r="T354" s="861"/>
      <c r="U354" s="882"/>
      <c r="V354" s="861"/>
      <c r="W354" s="861"/>
      <c r="X354" s="861"/>
      <c r="Y354" s="841"/>
      <c r="Z354" s="840"/>
      <c r="AA354" s="841"/>
      <c r="AB354" s="861"/>
      <c r="AC354" s="861"/>
      <c r="AD354" s="841"/>
      <c r="AE354" s="840"/>
      <c r="AF354" s="841"/>
      <c r="AG354" s="861"/>
      <c r="AH354" s="861"/>
      <c r="AI354" s="841"/>
      <c r="AJ354" s="840"/>
      <c r="AK354" s="841"/>
      <c r="AL354" s="861"/>
      <c r="AM354" s="842"/>
      <c r="AN354" s="862"/>
      <c r="AO354" s="844"/>
      <c r="AP354" s="862"/>
      <c r="AQ354" s="862"/>
      <c r="AR354" s="862"/>
      <c r="AS354" s="862"/>
      <c r="AT354" s="844"/>
      <c r="AU354" s="863"/>
      <c r="AV354" s="863"/>
      <c r="AW354" s="863"/>
      <c r="AX354" s="793"/>
    </row>
    <row r="355" spans="1:50" s="7" customFormat="1" x14ac:dyDescent="0.45">
      <c r="A355" s="790" t="s">
        <v>90</v>
      </c>
      <c r="B355" s="790"/>
      <c r="C355" s="812"/>
      <c r="D355" s="812"/>
      <c r="E355" s="812"/>
      <c r="F355" s="812"/>
      <c r="G355" s="812"/>
      <c r="H355" s="812"/>
      <c r="I355" s="812"/>
      <c r="J355" s="812"/>
      <c r="K355" s="812"/>
      <c r="L355" s="812"/>
      <c r="M355" s="812"/>
      <c r="N355" s="812"/>
      <c r="O355" s="812"/>
      <c r="P355" s="812"/>
      <c r="Q355" s="812"/>
      <c r="R355" s="812"/>
      <c r="S355" s="812"/>
      <c r="T355" s="812"/>
      <c r="U355" s="812"/>
      <c r="V355" s="812"/>
      <c r="W355" s="812"/>
      <c r="X355" s="812"/>
      <c r="Y355" s="812"/>
      <c r="Z355" s="812"/>
      <c r="AA355" s="812"/>
      <c r="AB355" s="812"/>
      <c r="AC355" s="812"/>
      <c r="AD355" s="812"/>
      <c r="AE355" s="812"/>
      <c r="AF355" s="812"/>
      <c r="AG355" s="812"/>
      <c r="AH355" s="812"/>
      <c r="AI355" s="812"/>
      <c r="AJ355" s="812"/>
      <c r="AK355" s="812"/>
      <c r="AL355" s="812"/>
      <c r="AM355" s="813"/>
      <c r="AN355" s="814"/>
      <c r="AO355" s="814"/>
      <c r="AP355" s="814"/>
      <c r="AQ355" s="814"/>
      <c r="AR355" s="814"/>
      <c r="AS355" s="814"/>
      <c r="AT355" s="814"/>
      <c r="AU355" s="814"/>
      <c r="AV355" s="814"/>
      <c r="AW355" s="814"/>
      <c r="AX355" s="795"/>
    </row>
    <row r="356" spans="1:50" s="29" customFormat="1" x14ac:dyDescent="0.45">
      <c r="A356" s="797" t="s">
        <v>91</v>
      </c>
      <c r="B356" s="149"/>
      <c r="C356" s="882">
        <f t="shared" ref="C356:AW356" si="319">C500</f>
        <v>64.530999999999992</v>
      </c>
      <c r="D356" s="882">
        <f t="shared" si="319"/>
        <v>78.84899999999999</v>
      </c>
      <c r="E356" s="882">
        <f t="shared" si="319"/>
        <v>90.589000000000013</v>
      </c>
      <c r="F356" s="882">
        <f t="shared" si="319"/>
        <v>85.548000000000002</v>
      </c>
      <c r="G356" s="861">
        <f t="shared" si="319"/>
        <v>22.245999999999999</v>
      </c>
      <c r="H356" s="861">
        <f t="shared" si="319"/>
        <v>19.518999999999998</v>
      </c>
      <c r="I356" s="861">
        <f t="shared" si="319"/>
        <v>21.347999999999999</v>
      </c>
      <c r="J356" s="861">
        <f t="shared" si="319"/>
        <v>7.3580000000000014</v>
      </c>
      <c r="K356" s="882">
        <f t="shared" si="319"/>
        <v>70.471000000000004</v>
      </c>
      <c r="L356" s="861">
        <f t="shared" si="319"/>
        <v>13.037000000000001</v>
      </c>
      <c r="M356" s="861">
        <f t="shared" si="319"/>
        <v>13.878000000000002</v>
      </c>
      <c r="N356" s="861">
        <f t="shared" si="319"/>
        <v>16.250999999999998</v>
      </c>
      <c r="O356" s="861">
        <f t="shared" si="319"/>
        <v>7.7120000000000033</v>
      </c>
      <c r="P356" s="882">
        <f t="shared" si="319"/>
        <v>50.878</v>
      </c>
      <c r="Q356" s="861">
        <f t="shared" si="319"/>
        <v>14.68</v>
      </c>
      <c r="R356" s="861">
        <f t="shared" si="319"/>
        <v>16.987000000000002</v>
      </c>
      <c r="S356" s="861">
        <f t="shared" si="319"/>
        <v>17.738</v>
      </c>
      <c r="T356" s="861">
        <f t="shared" si="319"/>
        <v>37.265000000000001</v>
      </c>
      <c r="U356" s="882">
        <f t="shared" si="319"/>
        <v>86.670000000000016</v>
      </c>
      <c r="V356" s="861">
        <f t="shared" si="319"/>
        <v>16.391999999999999</v>
      </c>
      <c r="W356" s="861">
        <f t="shared" si="319"/>
        <v>21.045000000000002</v>
      </c>
      <c r="X356" s="861">
        <f t="shared" si="319"/>
        <v>22.001999999999995</v>
      </c>
      <c r="Y356" s="841">
        <f t="shared" si="319"/>
        <v>20.948999999999998</v>
      </c>
      <c r="Z356" s="840">
        <f t="shared" si="319"/>
        <v>80.388000000000005</v>
      </c>
      <c r="AA356" s="841">
        <f t="shared" si="319"/>
        <v>18.246000000000002</v>
      </c>
      <c r="AB356" s="861">
        <f t="shared" si="319"/>
        <v>22.875</v>
      </c>
      <c r="AC356" s="861">
        <f t="shared" si="319"/>
        <v>20.241</v>
      </c>
      <c r="AD356" s="841">
        <f t="shared" si="319"/>
        <v>5.8909999999999965</v>
      </c>
      <c r="AE356" s="840">
        <f t="shared" si="319"/>
        <v>67.253</v>
      </c>
      <c r="AF356" s="841">
        <f t="shared" si="319"/>
        <v>17.006999999999998</v>
      </c>
      <c r="AG356" s="861">
        <f t="shared" si="319"/>
        <v>28.510000000000009</v>
      </c>
      <c r="AH356" s="861">
        <f t="shared" si="319"/>
        <v>21.784999999999997</v>
      </c>
      <c r="AI356" s="841">
        <f t="shared" si="319"/>
        <v>23.844000000000001</v>
      </c>
      <c r="AJ356" s="840">
        <f t="shared" si="319"/>
        <v>91.146000000000015</v>
      </c>
      <c r="AK356" s="841">
        <f t="shared" si="319"/>
        <v>22.137999999999998</v>
      </c>
      <c r="AL356" s="861">
        <f t="shared" si="319"/>
        <v>26.143000000000004</v>
      </c>
      <c r="AM356" s="842">
        <f t="shared" si="319"/>
        <v>26.939000000000004</v>
      </c>
      <c r="AN356" s="862">
        <f t="shared" si="319"/>
        <v>20.945028767120242</v>
      </c>
      <c r="AO356" s="844">
        <f t="shared" si="319"/>
        <v>96.165028767120219</v>
      </c>
      <c r="AP356" s="862">
        <f t="shared" ca="1" si="319"/>
        <v>18.954562767912037</v>
      </c>
      <c r="AQ356" s="862">
        <f t="shared" ca="1" si="319"/>
        <v>22.206751913092489</v>
      </c>
      <c r="AR356" s="862">
        <f t="shared" ca="1" si="319"/>
        <v>22.147386808327077</v>
      </c>
      <c r="AS356" s="862">
        <f t="shared" ca="1" si="319"/>
        <v>21.248925052620088</v>
      </c>
      <c r="AT356" s="844">
        <f t="shared" ca="1" si="319"/>
        <v>84.557626541951691</v>
      </c>
      <c r="AU356" s="863">
        <f t="shared" ca="1" si="319"/>
        <v>88.61773927254518</v>
      </c>
      <c r="AV356" s="863">
        <f t="shared" ca="1" si="319"/>
        <v>91.010640692377962</v>
      </c>
      <c r="AW356" s="863">
        <f t="shared" ca="1" si="319"/>
        <v>94.015319194709321</v>
      </c>
      <c r="AX356" s="793"/>
    </row>
    <row r="357" spans="1:50" s="35" customFormat="1" x14ac:dyDescent="0.45">
      <c r="A357" s="107" t="s">
        <v>92</v>
      </c>
      <c r="B357" s="194"/>
      <c r="C357" s="464">
        <f t="shared" ref="C357:AW357" si="320">C356/C352</f>
        <v>1.1204854840950131</v>
      </c>
      <c r="D357" s="464">
        <f t="shared" si="320"/>
        <v>1.3539563156810219</v>
      </c>
      <c r="E357" s="465">
        <f t="shared" si="320"/>
        <v>1.5341326694778914</v>
      </c>
      <c r="F357" s="465">
        <f t="shared" si="320"/>
        <v>1.438700346439743</v>
      </c>
      <c r="G357" s="380">
        <f t="shared" si="320"/>
        <v>0.37343047069092861</v>
      </c>
      <c r="H357" s="380">
        <f t="shared" si="320"/>
        <v>0.32667235694800084</v>
      </c>
      <c r="I357" s="380">
        <f t="shared" si="320"/>
        <v>0.35477705947850363</v>
      </c>
      <c r="J357" s="380">
        <f t="shared" si="320"/>
        <v>0.12143517296012678</v>
      </c>
      <c r="K357" s="465">
        <f t="shared" si="320"/>
        <v>1.1718994246183525</v>
      </c>
      <c r="L357" s="380">
        <f t="shared" si="320"/>
        <v>0.21453019582030608</v>
      </c>
      <c r="M357" s="380">
        <f t="shared" si="320"/>
        <v>0.22830163848127924</v>
      </c>
      <c r="N357" s="380">
        <f t="shared" si="320"/>
        <v>0.26704461424698051</v>
      </c>
      <c r="O357" s="380">
        <f t="shared" si="320"/>
        <v>0.12651748802414861</v>
      </c>
      <c r="P357" s="465">
        <f t="shared" si="320"/>
        <v>0.83613535144373785</v>
      </c>
      <c r="Q357" s="380">
        <f t="shared" si="320"/>
        <v>0.2404035110703524</v>
      </c>
      <c r="R357" s="380">
        <f t="shared" si="320"/>
        <v>0.2775925744354022</v>
      </c>
      <c r="S357" s="380">
        <f t="shared" si="320"/>
        <v>0.28946294815515916</v>
      </c>
      <c r="T357" s="380">
        <f t="shared" si="320"/>
        <v>0.6119148097669912</v>
      </c>
      <c r="U357" s="465">
        <f t="shared" si="320"/>
        <v>1.4154132575571998</v>
      </c>
      <c r="V357" s="380">
        <f t="shared" si="320"/>
        <v>0.26793507576129061</v>
      </c>
      <c r="W357" s="380">
        <f t="shared" si="320"/>
        <v>0.33915103461612844</v>
      </c>
      <c r="X357" s="380">
        <f t="shared" si="320"/>
        <v>0.35433945855410426</v>
      </c>
      <c r="Y357" s="416">
        <f t="shared" si="320"/>
        <v>0.33600115480849424</v>
      </c>
      <c r="Z357" s="417">
        <f t="shared" si="320"/>
        <v>1.2963715529753266</v>
      </c>
      <c r="AA357" s="416">
        <f t="shared" si="320"/>
        <v>0.29126957521191515</v>
      </c>
      <c r="AB357" s="380">
        <f t="shared" si="320"/>
        <v>0.36006611049897685</v>
      </c>
      <c r="AC357" s="380">
        <f t="shared" si="320"/>
        <v>0.31771520060275005</v>
      </c>
      <c r="AD357" s="416">
        <f t="shared" si="320"/>
        <v>9.2208239418983165E-2</v>
      </c>
      <c r="AE357" s="417">
        <f t="shared" si="320"/>
        <v>1.0601040353089535</v>
      </c>
      <c r="AF357" s="416">
        <f t="shared" si="320"/>
        <v>0.26551035064164608</v>
      </c>
      <c r="AG357" s="380">
        <f t="shared" si="320"/>
        <v>0.43958246604067425</v>
      </c>
      <c r="AH357" s="380">
        <f t="shared" si="320"/>
        <v>0.33631283191305417</v>
      </c>
      <c r="AI357" s="416">
        <f t="shared" si="320"/>
        <v>0.36729978279957487</v>
      </c>
      <c r="AJ357" s="417">
        <f t="shared" si="320"/>
        <v>1.4109287925696599</v>
      </c>
      <c r="AK357" s="416">
        <f t="shared" si="320"/>
        <v>0.33874496962648998</v>
      </c>
      <c r="AL357" s="380">
        <f t="shared" si="320"/>
        <v>0.39876449054301411</v>
      </c>
      <c r="AM357" s="604">
        <f t="shared" si="320"/>
        <v>0.41025523879142306</v>
      </c>
      <c r="AN357" s="108">
        <f t="shared" ca="1" si="320"/>
        <v>0.3189727821503448</v>
      </c>
      <c r="AO357" s="131">
        <f t="shared" ca="1" si="320"/>
        <v>1.4668191284676344</v>
      </c>
      <c r="AP357" s="108">
        <f t="shared" ca="1" si="320"/>
        <v>0.28865988620723743</v>
      </c>
      <c r="AQ357" s="108">
        <f t="shared" ca="1" si="320"/>
        <v>0.33818762050884027</v>
      </c>
      <c r="AR357" s="108">
        <f t="shared" ca="1" si="320"/>
        <v>0.33728354666677446</v>
      </c>
      <c r="AS357" s="108">
        <f t="shared" ca="1" si="320"/>
        <v>0.3236008323072016</v>
      </c>
      <c r="AT357" s="131">
        <f t="shared" ca="1" si="320"/>
        <v>1.2877318856900537</v>
      </c>
      <c r="AU357" s="84">
        <f t="shared" ca="1" si="320"/>
        <v>1.3495635244966067</v>
      </c>
      <c r="AV357" s="84">
        <f t="shared" ca="1" si="320"/>
        <v>1.3860051275033194</v>
      </c>
      <c r="AW357" s="84">
        <f t="shared" ca="1" si="320"/>
        <v>1.4317635111280049</v>
      </c>
      <c r="AX357" s="134"/>
    </row>
    <row r="358" spans="1:50" s="137" customFormat="1" x14ac:dyDescent="0.45">
      <c r="A358" s="109" t="str">
        <f>CONCATENATE("Consensus Estimates - ",IFERROR(LEFT(A357,FIND("(",A357)-1),A357))</f>
        <v>Consensus Estimates - Cash Flow Per Diluted Share</v>
      </c>
      <c r="B358" s="192"/>
      <c r="C358" s="461"/>
      <c r="D358" s="461"/>
      <c r="E358" s="461"/>
      <c r="F358" s="461"/>
      <c r="G358" s="462"/>
      <c r="H358" s="462"/>
      <c r="I358" s="462"/>
      <c r="J358" s="462"/>
      <c r="K358" s="461"/>
      <c r="L358" s="462"/>
      <c r="M358" s="462"/>
      <c r="N358" s="462"/>
      <c r="O358" s="462"/>
      <c r="P358" s="461"/>
      <c r="Q358" s="462"/>
      <c r="R358" s="462"/>
      <c r="S358" s="462"/>
      <c r="T358" s="462"/>
      <c r="U358" s="461"/>
      <c r="V358" s="462"/>
      <c r="W358" s="462"/>
      <c r="X358" s="381"/>
      <c r="Y358" s="381"/>
      <c r="Z358" s="463"/>
      <c r="AA358" s="412"/>
      <c r="AB358" s="462"/>
      <c r="AC358" s="381"/>
      <c r="AD358" s="412"/>
      <c r="AE358" s="415"/>
      <c r="AF358" s="412"/>
      <c r="AG358" s="462"/>
      <c r="AH358" s="381"/>
      <c r="AI358" s="412"/>
      <c r="AJ358" s="415"/>
      <c r="AK358" s="412"/>
      <c r="AL358" s="462"/>
      <c r="AM358" s="605"/>
      <c r="AN358" s="629" t="str">
        <f t="shared" ref="AN358:AW358" ca="1" si="321">IFERROR(VLOOKUP($A358,tb_ConsensusEstimate,MATCH(AN$5,OFFSET(tb_ConsensusEstimate,0,0,1,COLUMNS(tb_ConsensusEstimate)),0),FALSE),"-")</f>
        <v>N/A</v>
      </c>
      <c r="AO358" s="630" t="str">
        <f t="shared" ca="1" si="321"/>
        <v>N/A</v>
      </c>
      <c r="AP358" s="629" t="str">
        <f t="shared" ca="1" si="321"/>
        <v>N/A</v>
      </c>
      <c r="AQ358" s="629" t="str">
        <f t="shared" ca="1" si="321"/>
        <v>N/A</v>
      </c>
      <c r="AR358" s="629" t="str">
        <f t="shared" ca="1" si="321"/>
        <v>N/A</v>
      </c>
      <c r="AS358" s="629" t="str">
        <f t="shared" ca="1" si="321"/>
        <v>N/A</v>
      </c>
      <c r="AT358" s="630" t="str">
        <f t="shared" ca="1" si="321"/>
        <v>N/A</v>
      </c>
      <c r="AU358" s="631" t="str">
        <f t="shared" ca="1" si="321"/>
        <v>N/A</v>
      </c>
      <c r="AV358" s="631" t="str">
        <f t="shared" ca="1" si="321"/>
        <v>N/A</v>
      </c>
      <c r="AW358" s="631" t="str">
        <f t="shared" ca="1" si="321"/>
        <v>N/A</v>
      </c>
      <c r="AX358" s="110"/>
    </row>
    <row r="359" spans="1:50" s="7" customFormat="1" x14ac:dyDescent="0.45">
      <c r="A359" s="732" t="s">
        <v>93</v>
      </c>
      <c r="B359" s="69"/>
      <c r="C359" s="851">
        <f t="shared" ref="C359:AL359" si="322">C519+C521</f>
        <v>-12.856</v>
      </c>
      <c r="D359" s="851">
        <f t="shared" si="322"/>
        <v>-17.499000000000002</v>
      </c>
      <c r="E359" s="851">
        <f t="shared" si="322"/>
        <v>-23.420999999999999</v>
      </c>
      <c r="F359" s="851">
        <f t="shared" si="322"/>
        <v>-39.423999999999999</v>
      </c>
      <c r="G359" s="852">
        <f t="shared" si="322"/>
        <v>-9.1349999999999998</v>
      </c>
      <c r="H359" s="852">
        <f t="shared" si="322"/>
        <v>-10.771000000000001</v>
      </c>
      <c r="I359" s="852">
        <f t="shared" si="322"/>
        <v>-6.4560000000000022</v>
      </c>
      <c r="J359" s="852">
        <f t="shared" si="322"/>
        <v>-2.3559999999999972</v>
      </c>
      <c r="K359" s="851">
        <f t="shared" si="322"/>
        <v>-28.718</v>
      </c>
      <c r="L359" s="852">
        <f t="shared" si="322"/>
        <v>-5.157</v>
      </c>
      <c r="M359" s="852">
        <f t="shared" si="322"/>
        <v>-5.7149999999999999</v>
      </c>
      <c r="N359" s="852">
        <f t="shared" si="322"/>
        <v>-4.1070000000000002</v>
      </c>
      <c r="O359" s="852">
        <f t="shared" si="322"/>
        <v>-6.1530000000000005</v>
      </c>
      <c r="P359" s="851">
        <f t="shared" si="322"/>
        <v>-21.132000000000001</v>
      </c>
      <c r="Q359" s="852">
        <f t="shared" si="322"/>
        <v>-6.9719999999999995</v>
      </c>
      <c r="R359" s="852">
        <f t="shared" si="322"/>
        <v>-5.7270000000000003</v>
      </c>
      <c r="S359" s="852">
        <f t="shared" si="322"/>
        <v>-8.8309999999999995</v>
      </c>
      <c r="T359" s="852">
        <f t="shared" si="322"/>
        <v>-7.1580000000000013</v>
      </c>
      <c r="U359" s="851">
        <f t="shared" si="322"/>
        <v>-28.688000000000002</v>
      </c>
      <c r="V359" s="852">
        <f t="shared" si="322"/>
        <v>-6.41</v>
      </c>
      <c r="W359" s="852">
        <f t="shared" si="322"/>
        <v>-3.8979999999999997</v>
      </c>
      <c r="X359" s="852">
        <f t="shared" si="322"/>
        <v>-4.3050000000000015</v>
      </c>
      <c r="Y359" s="852">
        <f t="shared" si="322"/>
        <v>-5.8009999999999984</v>
      </c>
      <c r="Z359" s="851">
        <f t="shared" si="322"/>
        <v>-20.414000000000001</v>
      </c>
      <c r="AA359" s="852">
        <f t="shared" si="322"/>
        <v>-7.7190000000000003</v>
      </c>
      <c r="AB359" s="852">
        <f t="shared" si="322"/>
        <v>-7.3280000000000003</v>
      </c>
      <c r="AC359" s="852">
        <f t="shared" si="322"/>
        <v>-6.2059999999999995</v>
      </c>
      <c r="AD359" s="852">
        <f t="shared" si="322"/>
        <v>-7.4129999999999985</v>
      </c>
      <c r="AE359" s="851">
        <f t="shared" si="322"/>
        <v>-28.665999999999997</v>
      </c>
      <c r="AF359" s="852">
        <f t="shared" si="322"/>
        <v>-6.9640000000000004</v>
      </c>
      <c r="AG359" s="852">
        <f t="shared" si="322"/>
        <v>-6.3559999999999999</v>
      </c>
      <c r="AH359" s="852">
        <f t="shared" si="322"/>
        <v>-5.641</v>
      </c>
      <c r="AI359" s="852">
        <f t="shared" si="322"/>
        <v>-6.5620000000000021</v>
      </c>
      <c r="AJ359" s="851">
        <f t="shared" si="322"/>
        <v>-25.523000000000003</v>
      </c>
      <c r="AK359" s="852">
        <f t="shared" si="322"/>
        <v>-8.4239999999999995</v>
      </c>
      <c r="AL359" s="852">
        <f t="shared" si="322"/>
        <v>-6.669999999999999</v>
      </c>
      <c r="AM359" s="853">
        <f>AM519+AM521</f>
        <v>-6.6420000000000003</v>
      </c>
      <c r="AN359" s="854">
        <f>AN519+AN521</f>
        <v>-7.2</v>
      </c>
      <c r="AO359" s="855">
        <f>AO519+AO521</f>
        <v>-28.936</v>
      </c>
      <c r="AP359" s="854">
        <f t="shared" ref="AP359:AS359" si="323">AP519+AP521</f>
        <v>-7.4</v>
      </c>
      <c r="AQ359" s="854">
        <f t="shared" si="323"/>
        <v>-7.4</v>
      </c>
      <c r="AR359" s="854">
        <f t="shared" si="323"/>
        <v>-7.4</v>
      </c>
      <c r="AS359" s="854">
        <f t="shared" si="323"/>
        <v>-7.4</v>
      </c>
      <c r="AT359" s="855">
        <f>AT519+AT521</f>
        <v>-29.6</v>
      </c>
      <c r="AU359" s="855">
        <f t="shared" ref="AU359:AW359" si="324">AU519+AU521</f>
        <v>-31</v>
      </c>
      <c r="AV359" s="855">
        <f t="shared" si="324"/>
        <v>-32.4</v>
      </c>
      <c r="AW359" s="855">
        <f t="shared" si="324"/>
        <v>-33.799999999999997</v>
      </c>
      <c r="AX359" s="795"/>
    </row>
    <row r="360" spans="1:50" s="136" customFormat="1" x14ac:dyDescent="0.45">
      <c r="A360" s="951" t="str">
        <f>CONCATENATE("Consensus Estimates - ",IFERROR(LEFT(A359,FIND("(",A359)-1),A359))</f>
        <v>Consensus Estimates - Capex</v>
      </c>
      <c r="B360" s="952"/>
      <c r="C360" s="886"/>
      <c r="D360" s="886"/>
      <c r="E360" s="886"/>
      <c r="F360" s="886"/>
      <c r="G360" s="887"/>
      <c r="H360" s="887"/>
      <c r="I360" s="887"/>
      <c r="J360" s="887"/>
      <c r="K360" s="886"/>
      <c r="L360" s="887"/>
      <c r="M360" s="887"/>
      <c r="N360" s="887"/>
      <c r="O360" s="887"/>
      <c r="P360" s="886"/>
      <c r="Q360" s="887"/>
      <c r="R360" s="887"/>
      <c r="S360" s="887"/>
      <c r="T360" s="887"/>
      <c r="U360" s="886"/>
      <c r="V360" s="887"/>
      <c r="W360" s="887"/>
      <c r="X360" s="888"/>
      <c r="Y360" s="888"/>
      <c r="Z360" s="889"/>
      <c r="AA360" s="890"/>
      <c r="AB360" s="887"/>
      <c r="AC360" s="888"/>
      <c r="AD360" s="890"/>
      <c r="AE360" s="898"/>
      <c r="AF360" s="890"/>
      <c r="AG360" s="887"/>
      <c r="AH360" s="888"/>
      <c r="AI360" s="890"/>
      <c r="AJ360" s="898"/>
      <c r="AK360" s="890"/>
      <c r="AL360" s="887"/>
      <c r="AM360" s="906"/>
      <c r="AN360" s="893" t="str">
        <f t="shared" ref="AN360:AW360" ca="1" si="325">IFERROR(VLOOKUP($A360,tb_ConsensusEstimate,MATCH(AN$5,OFFSET(tb_ConsensusEstimate,0,0,1,COLUMNS(tb_ConsensusEstimate)),0),FALSE),"-")</f>
        <v>N/A</v>
      </c>
      <c r="AO360" s="894" t="str">
        <f t="shared" ca="1" si="325"/>
        <v>N/A</v>
      </c>
      <c r="AP360" s="893" t="str">
        <f t="shared" ca="1" si="325"/>
        <v>N/A</v>
      </c>
      <c r="AQ360" s="893" t="str">
        <f t="shared" ca="1" si="325"/>
        <v>N/A</v>
      </c>
      <c r="AR360" s="893" t="str">
        <f t="shared" ca="1" si="325"/>
        <v>N/A</v>
      </c>
      <c r="AS360" s="893" t="str">
        <f t="shared" ca="1" si="325"/>
        <v>N/A</v>
      </c>
      <c r="AT360" s="894" t="str">
        <f t="shared" ca="1" si="325"/>
        <v>N/A</v>
      </c>
      <c r="AU360" s="895" t="str">
        <f t="shared" ca="1" si="325"/>
        <v>N/A</v>
      </c>
      <c r="AV360" s="895" t="str">
        <f t="shared" ca="1" si="325"/>
        <v>N/A</v>
      </c>
      <c r="AW360" s="895" t="str">
        <f t="shared" ca="1" si="325"/>
        <v>N/A</v>
      </c>
      <c r="AX360" s="625"/>
    </row>
    <row r="361" spans="1:50" s="136" customFormat="1" x14ac:dyDescent="0.45">
      <c r="A361" s="804"/>
      <c r="B361" s="805"/>
      <c r="C361" s="882"/>
      <c r="D361" s="882"/>
      <c r="E361" s="882"/>
      <c r="F361" s="882"/>
      <c r="G361" s="861"/>
      <c r="H361" s="861"/>
      <c r="I361" s="861"/>
      <c r="J361" s="861"/>
      <c r="K361" s="882"/>
      <c r="L361" s="861"/>
      <c r="M361" s="861"/>
      <c r="N361" s="861"/>
      <c r="O361" s="861"/>
      <c r="P361" s="882"/>
      <c r="Q361" s="861"/>
      <c r="R361" s="861"/>
      <c r="S361" s="861"/>
      <c r="T361" s="861"/>
      <c r="U361" s="882"/>
      <c r="V361" s="861"/>
      <c r="W361" s="861"/>
      <c r="X361" s="923"/>
      <c r="Y361" s="923"/>
      <c r="Z361" s="924"/>
      <c r="AA361" s="841"/>
      <c r="AB361" s="861"/>
      <c r="AC361" s="923"/>
      <c r="AD361" s="841"/>
      <c r="AE361" s="815"/>
      <c r="AF361" s="841"/>
      <c r="AG361" s="861"/>
      <c r="AH361" s="923"/>
      <c r="AI361" s="841"/>
      <c r="AJ361" s="815"/>
      <c r="AK361" s="841"/>
      <c r="AL361" s="861"/>
      <c r="AM361" s="842"/>
      <c r="AN361" s="893"/>
      <c r="AO361" s="894"/>
      <c r="AP361" s="893"/>
      <c r="AQ361" s="893"/>
      <c r="AR361" s="893"/>
      <c r="AS361" s="893"/>
      <c r="AT361" s="894"/>
      <c r="AU361" s="895"/>
      <c r="AV361" s="895"/>
      <c r="AW361" s="895"/>
      <c r="AX361" s="625"/>
    </row>
    <row r="362" spans="1:50" s="29" customFormat="1" x14ac:dyDescent="0.45">
      <c r="A362" s="797" t="s">
        <v>94</v>
      </c>
      <c r="B362" s="149"/>
      <c r="C362" s="882">
        <f t="shared" ref="C362:AL362" si="326">C525</f>
        <v>-1.514</v>
      </c>
      <c r="D362" s="882">
        <f t="shared" si="326"/>
        <v>0</v>
      </c>
      <c r="E362" s="882">
        <f t="shared" si="326"/>
        <v>-11.494</v>
      </c>
      <c r="F362" s="882">
        <f t="shared" si="326"/>
        <v>-7.1059999999999999</v>
      </c>
      <c r="G362" s="861">
        <f t="shared" si="326"/>
        <v>0</v>
      </c>
      <c r="H362" s="861">
        <f t="shared" si="326"/>
        <v>-34.802</v>
      </c>
      <c r="I362" s="861">
        <f t="shared" si="326"/>
        <v>-0.23100000000000165</v>
      </c>
      <c r="J362" s="861">
        <f t="shared" si="326"/>
        <v>0</v>
      </c>
      <c r="K362" s="882">
        <f t="shared" si="326"/>
        <v>-35.033000000000001</v>
      </c>
      <c r="L362" s="861">
        <f t="shared" si="326"/>
        <v>0</v>
      </c>
      <c r="M362" s="861">
        <f t="shared" si="326"/>
        <v>0</v>
      </c>
      <c r="N362" s="861">
        <f t="shared" si="326"/>
        <v>0</v>
      </c>
      <c r="O362" s="861">
        <f t="shared" si="326"/>
        <v>-2.3450000000000002</v>
      </c>
      <c r="P362" s="882">
        <f t="shared" si="326"/>
        <v>-2.3450000000000002</v>
      </c>
      <c r="Q362" s="861">
        <f t="shared" si="326"/>
        <v>0</v>
      </c>
      <c r="R362" s="861">
        <f t="shared" si="326"/>
        <v>0</v>
      </c>
      <c r="S362" s="861">
        <f t="shared" si="326"/>
        <v>0</v>
      </c>
      <c r="T362" s="861">
        <f t="shared" si="326"/>
        <v>-163.84299999999999</v>
      </c>
      <c r="U362" s="882">
        <f t="shared" si="326"/>
        <v>-163.84299999999999</v>
      </c>
      <c r="V362" s="861">
        <f t="shared" si="326"/>
        <v>0</v>
      </c>
      <c r="W362" s="861">
        <f t="shared" si="326"/>
        <v>0</v>
      </c>
      <c r="X362" s="861">
        <f t="shared" si="326"/>
        <v>0</v>
      </c>
      <c r="Y362" s="841">
        <f t="shared" si="326"/>
        <v>0</v>
      </c>
      <c r="Z362" s="840">
        <f t="shared" si="326"/>
        <v>0</v>
      </c>
      <c r="AA362" s="841">
        <f t="shared" si="326"/>
        <v>-33.856000000000002</v>
      </c>
      <c r="AB362" s="861">
        <f t="shared" si="326"/>
        <v>-25.036000000000001</v>
      </c>
      <c r="AC362" s="861">
        <f t="shared" si="326"/>
        <v>0</v>
      </c>
      <c r="AD362" s="841">
        <f t="shared" si="326"/>
        <v>-3.9749999999999943</v>
      </c>
      <c r="AE362" s="840">
        <f t="shared" si="326"/>
        <v>-62.866999999999997</v>
      </c>
      <c r="AF362" s="841">
        <f t="shared" si="326"/>
        <v>0</v>
      </c>
      <c r="AG362" s="861">
        <f t="shared" si="326"/>
        <v>0</v>
      </c>
      <c r="AH362" s="861">
        <f t="shared" si="326"/>
        <v>0</v>
      </c>
      <c r="AI362" s="841">
        <f t="shared" si="326"/>
        <v>0</v>
      </c>
      <c r="AJ362" s="840">
        <f t="shared" si="326"/>
        <v>0</v>
      </c>
      <c r="AK362" s="841">
        <f t="shared" si="326"/>
        <v>0</v>
      </c>
      <c r="AL362" s="861">
        <f t="shared" si="326"/>
        <v>0</v>
      </c>
      <c r="AM362" s="842">
        <f>AM525</f>
        <v>-71.605000000000004</v>
      </c>
      <c r="AN362" s="874">
        <v>0</v>
      </c>
      <c r="AO362" s="840">
        <f>AO525</f>
        <v>-71.605000000000004</v>
      </c>
      <c r="AP362" s="874">
        <v>0</v>
      </c>
      <c r="AQ362" s="874">
        <v>0</v>
      </c>
      <c r="AR362" s="874">
        <v>0</v>
      </c>
      <c r="AS362" s="874">
        <v>0</v>
      </c>
      <c r="AT362" s="840">
        <f>AT525</f>
        <v>0</v>
      </c>
      <c r="AU362" s="875">
        <v>0</v>
      </c>
      <c r="AV362" s="875">
        <v>0</v>
      </c>
      <c r="AW362" s="875">
        <v>0</v>
      </c>
      <c r="AX362" s="793"/>
    </row>
    <row r="363" spans="1:50" s="29" customFormat="1" x14ac:dyDescent="0.45">
      <c r="A363" s="797" t="s">
        <v>95</v>
      </c>
      <c r="B363" s="149"/>
      <c r="C363" s="882">
        <f t="shared" ref="C363:AL363" si="327">C523</f>
        <v>0</v>
      </c>
      <c r="D363" s="882">
        <f t="shared" si="327"/>
        <v>0.33600000000000002</v>
      </c>
      <c r="E363" s="882">
        <f t="shared" si="327"/>
        <v>1.0999999999999999E-2</v>
      </c>
      <c r="F363" s="882">
        <f t="shared" si="327"/>
        <v>0</v>
      </c>
      <c r="G363" s="861">
        <f t="shared" si="327"/>
        <v>0</v>
      </c>
      <c r="H363" s="861">
        <f t="shared" si="327"/>
        <v>0</v>
      </c>
      <c r="I363" s="861">
        <f t="shared" si="327"/>
        <v>0</v>
      </c>
      <c r="J363" s="861">
        <f t="shared" si="327"/>
        <v>0</v>
      </c>
      <c r="K363" s="882">
        <f t="shared" si="327"/>
        <v>0</v>
      </c>
      <c r="L363" s="861">
        <f t="shared" si="327"/>
        <v>0</v>
      </c>
      <c r="M363" s="861">
        <f t="shared" si="327"/>
        <v>0</v>
      </c>
      <c r="N363" s="861">
        <f t="shared" si="327"/>
        <v>0</v>
      </c>
      <c r="O363" s="861">
        <f t="shared" si="327"/>
        <v>0</v>
      </c>
      <c r="P363" s="882">
        <f t="shared" si="327"/>
        <v>0</v>
      </c>
      <c r="Q363" s="861">
        <f t="shared" si="327"/>
        <v>0</v>
      </c>
      <c r="R363" s="861">
        <f t="shared" si="327"/>
        <v>0</v>
      </c>
      <c r="S363" s="861">
        <f t="shared" si="327"/>
        <v>0</v>
      </c>
      <c r="T363" s="861">
        <f t="shared" si="327"/>
        <v>0</v>
      </c>
      <c r="U363" s="882">
        <f t="shared" si="327"/>
        <v>0</v>
      </c>
      <c r="V363" s="861">
        <f t="shared" si="327"/>
        <v>0</v>
      </c>
      <c r="W363" s="861">
        <f t="shared" si="327"/>
        <v>0</v>
      </c>
      <c r="X363" s="861">
        <f t="shared" si="327"/>
        <v>0</v>
      </c>
      <c r="Y363" s="841">
        <f t="shared" si="327"/>
        <v>0</v>
      </c>
      <c r="Z363" s="840">
        <f t="shared" si="327"/>
        <v>0</v>
      </c>
      <c r="AA363" s="841">
        <f t="shared" si="327"/>
        <v>0</v>
      </c>
      <c r="AB363" s="861">
        <f t="shared" si="327"/>
        <v>0</v>
      </c>
      <c r="AC363" s="861">
        <f t="shared" si="327"/>
        <v>0</v>
      </c>
      <c r="AD363" s="841">
        <f t="shared" si="327"/>
        <v>0</v>
      </c>
      <c r="AE363" s="840">
        <f t="shared" si="327"/>
        <v>0</v>
      </c>
      <c r="AF363" s="841">
        <f t="shared" si="327"/>
        <v>0</v>
      </c>
      <c r="AG363" s="861">
        <f t="shared" si="327"/>
        <v>0</v>
      </c>
      <c r="AH363" s="861">
        <f t="shared" si="327"/>
        <v>0</v>
      </c>
      <c r="AI363" s="841">
        <f t="shared" si="327"/>
        <v>0</v>
      </c>
      <c r="AJ363" s="840">
        <f>AJ523</f>
        <v>0</v>
      </c>
      <c r="AK363" s="841">
        <f t="shared" si="327"/>
        <v>0</v>
      </c>
      <c r="AL363" s="861">
        <f t="shared" si="327"/>
        <v>0</v>
      </c>
      <c r="AM363" s="842">
        <f>AM523</f>
        <v>0</v>
      </c>
      <c r="AN363" s="874">
        <v>0</v>
      </c>
      <c r="AO363" s="844">
        <f>AO523</f>
        <v>0</v>
      </c>
      <c r="AP363" s="874">
        <v>0</v>
      </c>
      <c r="AQ363" s="874">
        <v>0</v>
      </c>
      <c r="AR363" s="874">
        <v>0</v>
      </c>
      <c r="AS363" s="874">
        <v>0</v>
      </c>
      <c r="AT363" s="844">
        <f>AT523</f>
        <v>0</v>
      </c>
      <c r="AU363" s="875">
        <v>0</v>
      </c>
      <c r="AV363" s="875">
        <v>0</v>
      </c>
      <c r="AW363" s="875">
        <v>0</v>
      </c>
      <c r="AX363" s="793"/>
    </row>
    <row r="364" spans="1:50" s="29" customFormat="1" x14ac:dyDescent="0.45">
      <c r="A364" s="797" t="s">
        <v>96</v>
      </c>
      <c r="B364" s="149"/>
      <c r="C364" s="882">
        <f t="shared" ref="C364:AL364" si="328">C533</f>
        <v>-34.274999999999999</v>
      </c>
      <c r="D364" s="882">
        <f t="shared" si="328"/>
        <v>-34.716000000000001</v>
      </c>
      <c r="E364" s="882">
        <f t="shared" si="328"/>
        <v>-40.988999999999997</v>
      </c>
      <c r="F364" s="882">
        <f t="shared" si="328"/>
        <v>-41.534999999999997</v>
      </c>
      <c r="G364" s="861">
        <f t="shared" si="328"/>
        <v>-10.417</v>
      </c>
      <c r="H364" s="861">
        <f t="shared" si="328"/>
        <v>-10.426</v>
      </c>
      <c r="I364" s="861">
        <f t="shared" si="328"/>
        <v>-10.672000000000001</v>
      </c>
      <c r="J364" s="861">
        <f t="shared" si="328"/>
        <v>-10.688000000000002</v>
      </c>
      <c r="K364" s="882">
        <f t="shared" si="328"/>
        <v>-42.203000000000003</v>
      </c>
      <c r="L364" s="861">
        <f t="shared" si="328"/>
        <v>-10.686999999999999</v>
      </c>
      <c r="M364" s="861">
        <f t="shared" si="328"/>
        <v>-10.688000000000001</v>
      </c>
      <c r="N364" s="861">
        <f t="shared" si="328"/>
        <v>-10.698</v>
      </c>
      <c r="O364" s="861">
        <f t="shared" si="328"/>
        <v>-10.697000000000003</v>
      </c>
      <c r="P364" s="882">
        <f t="shared" si="328"/>
        <v>-42.77</v>
      </c>
      <c r="Q364" s="861">
        <f t="shared" si="328"/>
        <v>-10.7</v>
      </c>
      <c r="R364" s="861">
        <f t="shared" si="328"/>
        <v>-10.702999999999999</v>
      </c>
      <c r="S364" s="861">
        <f t="shared" si="328"/>
        <v>-10.722000000000001</v>
      </c>
      <c r="T364" s="861">
        <f t="shared" si="328"/>
        <v>-10.725000000000001</v>
      </c>
      <c r="U364" s="882">
        <f t="shared" si="328"/>
        <v>-42.85</v>
      </c>
      <c r="V364" s="861">
        <f t="shared" si="328"/>
        <v>0</v>
      </c>
      <c r="W364" s="861">
        <f t="shared" si="328"/>
        <v>0</v>
      </c>
      <c r="X364" s="861">
        <f t="shared" si="328"/>
        <v>0</v>
      </c>
      <c r="Y364" s="841">
        <f t="shared" si="328"/>
        <v>0</v>
      </c>
      <c r="Z364" s="840">
        <f t="shared" si="328"/>
        <v>0</v>
      </c>
      <c r="AA364" s="841">
        <f t="shared" si="328"/>
        <v>0</v>
      </c>
      <c r="AB364" s="861">
        <f t="shared" si="328"/>
        <v>0</v>
      </c>
      <c r="AC364" s="861">
        <f t="shared" si="328"/>
        <v>0</v>
      </c>
      <c r="AD364" s="841">
        <f t="shared" si="328"/>
        <v>0</v>
      </c>
      <c r="AE364" s="840">
        <f t="shared" si="328"/>
        <v>0</v>
      </c>
      <c r="AF364" s="841">
        <f t="shared" si="328"/>
        <v>0</v>
      </c>
      <c r="AG364" s="861">
        <f t="shared" si="328"/>
        <v>0</v>
      </c>
      <c r="AH364" s="861">
        <f t="shared" si="328"/>
        <v>0</v>
      </c>
      <c r="AI364" s="841">
        <f t="shared" si="328"/>
        <v>0</v>
      </c>
      <c r="AJ364" s="840">
        <f t="shared" si="328"/>
        <v>0</v>
      </c>
      <c r="AK364" s="841">
        <f t="shared" si="328"/>
        <v>0</v>
      </c>
      <c r="AL364" s="861">
        <f t="shared" si="328"/>
        <v>0</v>
      </c>
      <c r="AM364" s="842">
        <f>AM533</f>
        <v>0</v>
      </c>
      <c r="AN364" s="862">
        <f ca="1">AN365*-AN351</f>
        <v>0</v>
      </c>
      <c r="AO364" s="844">
        <f ca="1">AO533</f>
        <v>0</v>
      </c>
      <c r="AP364" s="862">
        <f ca="1">AP365*-AP351</f>
        <v>0</v>
      </c>
      <c r="AQ364" s="862">
        <f ca="1">AQ365*-AQ351</f>
        <v>0</v>
      </c>
      <c r="AR364" s="862">
        <f ca="1">AR365*-AR351</f>
        <v>0</v>
      </c>
      <c r="AS364" s="862">
        <f ca="1">AS365*-AS351</f>
        <v>0</v>
      </c>
      <c r="AT364" s="844">
        <f ca="1">AT533</f>
        <v>0</v>
      </c>
      <c r="AU364" s="863">
        <f ca="1">AU365*-AU351</f>
        <v>0</v>
      </c>
      <c r="AV364" s="863">
        <f ca="1">AV365*-AV351</f>
        <v>0</v>
      </c>
      <c r="AW364" s="863">
        <f ca="1">AW365*-AW351</f>
        <v>0</v>
      </c>
      <c r="AX364" s="793"/>
    </row>
    <row r="365" spans="1:50" s="36" customFormat="1" x14ac:dyDescent="0.45">
      <c r="A365" s="671" t="s">
        <v>97</v>
      </c>
      <c r="B365" s="195"/>
      <c r="C365" s="466">
        <v>0.6</v>
      </c>
      <c r="D365" s="466">
        <v>0.6</v>
      </c>
      <c r="E365" s="466">
        <v>0.7</v>
      </c>
      <c r="F365" s="466">
        <v>0.7</v>
      </c>
      <c r="G365" s="655">
        <v>0.17499999999999999</v>
      </c>
      <c r="H365" s="655">
        <v>0.17499999999999999</v>
      </c>
      <c r="I365" s="655">
        <v>0.17499999999999999</v>
      </c>
      <c r="J365" s="655">
        <v>0.17499999999999999</v>
      </c>
      <c r="K365" s="466">
        <f>SUM(G365,H365,I365,J365)</f>
        <v>0.7</v>
      </c>
      <c r="L365" s="655">
        <v>0.17499999999999999</v>
      </c>
      <c r="M365" s="655">
        <v>0.17499999999999999</v>
      </c>
      <c r="N365" s="655">
        <v>0.17499999999999999</v>
      </c>
      <c r="O365" s="655">
        <v>0.17499999999999999</v>
      </c>
      <c r="P365" s="466">
        <f>SUM(L365,M365,N365,O365)</f>
        <v>0.7</v>
      </c>
      <c r="Q365" s="655">
        <v>0.17499999999999999</v>
      </c>
      <c r="R365" s="655">
        <v>0.17499999999999999</v>
      </c>
      <c r="S365" s="655">
        <v>0.17499999999999999</v>
      </c>
      <c r="T365" s="655">
        <v>0.17499999999999999</v>
      </c>
      <c r="U365" s="466">
        <f>SUM(Q365,R365,S365,T365)</f>
        <v>0.7</v>
      </c>
      <c r="V365" s="655">
        <v>0</v>
      </c>
      <c r="W365" s="655">
        <v>0</v>
      </c>
      <c r="X365" s="655">
        <v>0</v>
      </c>
      <c r="Y365" s="656">
        <v>0</v>
      </c>
      <c r="Z365" s="418">
        <f>SUM(V365,W365,X365,Y365)</f>
        <v>0</v>
      </c>
      <c r="AA365" s="656">
        <v>0</v>
      </c>
      <c r="AB365" s="655">
        <v>0</v>
      </c>
      <c r="AC365" s="655">
        <v>0</v>
      </c>
      <c r="AD365" s="656">
        <v>0</v>
      </c>
      <c r="AE365" s="418">
        <f>SUM(AA365,AB365,AC365,AD365)</f>
        <v>0</v>
      </c>
      <c r="AF365" s="656">
        <v>0</v>
      </c>
      <c r="AG365" s="655">
        <v>0</v>
      </c>
      <c r="AH365" s="655">
        <v>0</v>
      </c>
      <c r="AI365" s="656">
        <v>0</v>
      </c>
      <c r="AJ365" s="418">
        <f>SUM(AF365,AG365,AH365,AI365)</f>
        <v>0</v>
      </c>
      <c r="AK365" s="656">
        <v>0</v>
      </c>
      <c r="AL365" s="655">
        <v>0</v>
      </c>
      <c r="AM365" s="774">
        <v>0</v>
      </c>
      <c r="AN365" s="201">
        <v>0</v>
      </c>
      <c r="AO365" s="132">
        <f>SUM(AK365,AL365,AM365,AN365)</f>
        <v>0</v>
      </c>
      <c r="AP365" s="201">
        <v>0</v>
      </c>
      <c r="AQ365" s="201">
        <v>0</v>
      </c>
      <c r="AR365" s="201">
        <v>0</v>
      </c>
      <c r="AS365" s="201">
        <v>0</v>
      </c>
      <c r="AT365" s="132">
        <f>SUM(AP365,AQ365,AR365,AS365)</f>
        <v>0</v>
      </c>
      <c r="AU365" s="30">
        <v>0</v>
      </c>
      <c r="AV365" s="30">
        <v>0</v>
      </c>
      <c r="AW365" s="30">
        <v>0</v>
      </c>
      <c r="AX365" s="135"/>
    </row>
    <row r="366" spans="1:50" s="36" customFormat="1" x14ac:dyDescent="0.45">
      <c r="A366" s="671"/>
      <c r="B366" s="195"/>
      <c r="C366" s="466"/>
      <c r="D366" s="466"/>
      <c r="E366" s="466"/>
      <c r="F366" s="466"/>
      <c r="G366" s="655"/>
      <c r="H366" s="655"/>
      <c r="I366" s="655"/>
      <c r="J366" s="655"/>
      <c r="K366" s="466"/>
      <c r="L366" s="655"/>
      <c r="M366" s="655"/>
      <c r="N366" s="655"/>
      <c r="O366" s="655"/>
      <c r="P366" s="466"/>
      <c r="Q366" s="655"/>
      <c r="R366" s="655"/>
      <c r="S366" s="655"/>
      <c r="T366" s="655"/>
      <c r="U366" s="466"/>
      <c r="V366" s="655"/>
      <c r="W366" s="655"/>
      <c r="X366" s="655"/>
      <c r="Y366" s="656"/>
      <c r="Z366" s="418"/>
      <c r="AA366" s="656"/>
      <c r="AB366" s="655"/>
      <c r="AC366" s="655"/>
      <c r="AD366" s="656"/>
      <c r="AE366" s="418"/>
      <c r="AF366" s="656"/>
      <c r="AG366" s="655"/>
      <c r="AH366" s="655"/>
      <c r="AI366" s="656"/>
      <c r="AJ366" s="418"/>
      <c r="AK366" s="656"/>
      <c r="AL366" s="655"/>
      <c r="AM366" s="774"/>
      <c r="AN366" s="201"/>
      <c r="AO366" s="132"/>
      <c r="AP366" s="201"/>
      <c r="AQ366" s="201"/>
      <c r="AR366" s="201"/>
      <c r="AS366" s="201"/>
      <c r="AT366" s="132"/>
      <c r="AU366" s="30"/>
      <c r="AV366" s="30"/>
      <c r="AW366" s="30"/>
      <c r="AX366" s="135"/>
    </row>
    <row r="367" spans="1:50" s="36" customFormat="1" x14ac:dyDescent="0.45">
      <c r="A367" s="671" t="s">
        <v>596</v>
      </c>
      <c r="B367" s="195"/>
      <c r="C367" s="882">
        <f t="shared" ref="C367:AM367" si="329">C530+C531+C534</f>
        <v>1.5760000000000001</v>
      </c>
      <c r="D367" s="882">
        <f t="shared" si="329"/>
        <v>1.524</v>
      </c>
      <c r="E367" s="882">
        <f t="shared" si="329"/>
        <v>4.1449999999999996</v>
      </c>
      <c r="F367" s="882">
        <f t="shared" si="329"/>
        <v>8.4000000000000005E-2</v>
      </c>
      <c r="G367" s="861">
        <f t="shared" si="329"/>
        <v>0.05</v>
      </c>
      <c r="H367" s="861">
        <f t="shared" si="329"/>
        <v>1.1999999999999997E-2</v>
      </c>
      <c r="I367" s="861">
        <f t="shared" si="329"/>
        <v>0</v>
      </c>
      <c r="J367" s="861">
        <f t="shared" si="329"/>
        <v>0.121</v>
      </c>
      <c r="K367" s="882">
        <f t="shared" si="329"/>
        <v>0.183</v>
      </c>
      <c r="L367" s="861">
        <f t="shared" si="329"/>
        <v>0</v>
      </c>
      <c r="M367" s="861">
        <f t="shared" si="329"/>
        <v>0</v>
      </c>
      <c r="N367" s="861">
        <f t="shared" si="329"/>
        <v>0</v>
      </c>
      <c r="O367" s="861">
        <f t="shared" si="329"/>
        <v>0</v>
      </c>
      <c r="P367" s="882">
        <f t="shared" si="329"/>
        <v>0</v>
      </c>
      <c r="Q367" s="861">
        <f t="shared" si="329"/>
        <v>0</v>
      </c>
      <c r="R367" s="861">
        <f t="shared" si="329"/>
        <v>0</v>
      </c>
      <c r="S367" s="861">
        <f t="shared" si="329"/>
        <v>0</v>
      </c>
      <c r="T367" s="861">
        <f t="shared" si="329"/>
        <v>99.617999999999981</v>
      </c>
      <c r="U367" s="882">
        <f t="shared" si="329"/>
        <v>99.617999999999981</v>
      </c>
      <c r="V367" s="861">
        <f t="shared" si="329"/>
        <v>-17</v>
      </c>
      <c r="W367" s="861">
        <f t="shared" si="329"/>
        <v>-40</v>
      </c>
      <c r="X367" s="861">
        <f t="shared" si="329"/>
        <v>-23</v>
      </c>
      <c r="Y367" s="841">
        <f t="shared" si="329"/>
        <v>-10</v>
      </c>
      <c r="Z367" s="840">
        <f t="shared" si="329"/>
        <v>-90</v>
      </c>
      <c r="AA367" s="841">
        <f t="shared" si="329"/>
        <v>30</v>
      </c>
      <c r="AB367" s="861">
        <f t="shared" si="329"/>
        <v>10</v>
      </c>
      <c r="AC367" s="861">
        <f t="shared" si="329"/>
        <v>-16</v>
      </c>
      <c r="AD367" s="841">
        <f t="shared" si="329"/>
        <v>-3.105</v>
      </c>
      <c r="AE367" s="840">
        <f t="shared" si="329"/>
        <v>20.895</v>
      </c>
      <c r="AF367" s="841">
        <f t="shared" si="329"/>
        <v>7</v>
      </c>
      <c r="AG367" s="861">
        <f t="shared" si="329"/>
        <v>-2</v>
      </c>
      <c r="AH367" s="861">
        <f t="shared" si="329"/>
        <v>-15</v>
      </c>
      <c r="AI367" s="841">
        <f t="shared" si="329"/>
        <v>-16</v>
      </c>
      <c r="AJ367" s="840">
        <f t="shared" si="329"/>
        <v>-26</v>
      </c>
      <c r="AK367" s="841">
        <f t="shared" si="329"/>
        <v>-5</v>
      </c>
      <c r="AL367" s="861">
        <f t="shared" si="329"/>
        <v>-6</v>
      </c>
      <c r="AM367" s="842">
        <f t="shared" si="329"/>
        <v>37</v>
      </c>
      <c r="AN367" s="874">
        <v>0</v>
      </c>
      <c r="AO367" s="844">
        <f>AO530+AO531+AO534</f>
        <v>26</v>
      </c>
      <c r="AP367" s="874">
        <v>0</v>
      </c>
      <c r="AQ367" s="874">
        <v>0</v>
      </c>
      <c r="AR367" s="874">
        <v>0</v>
      </c>
      <c r="AS367" s="874">
        <v>0</v>
      </c>
      <c r="AT367" s="844">
        <f>AT530+AT531+AT534</f>
        <v>0</v>
      </c>
      <c r="AU367" s="875">
        <v>0</v>
      </c>
      <c r="AV367" s="875">
        <v>0</v>
      </c>
      <c r="AW367" s="875">
        <v>0</v>
      </c>
      <c r="AX367" s="135"/>
    </row>
    <row r="368" spans="1:50" s="36" customFormat="1" x14ac:dyDescent="0.45">
      <c r="A368" s="671" t="s">
        <v>599</v>
      </c>
      <c r="B368" s="195"/>
      <c r="C368" s="882">
        <f t="shared" ref="C368:AM368" si="330">C532+C536</f>
        <v>5.8550000000000004</v>
      </c>
      <c r="D368" s="882">
        <f t="shared" si="330"/>
        <v>5.7169999999999996</v>
      </c>
      <c r="E368" s="882">
        <f t="shared" si="330"/>
        <v>12.789</v>
      </c>
      <c r="F368" s="882">
        <f t="shared" si="330"/>
        <v>0.94799999999999995</v>
      </c>
      <c r="G368" s="861">
        <f t="shared" si="330"/>
        <v>0.25</v>
      </c>
      <c r="H368" s="861">
        <f t="shared" si="330"/>
        <v>1.2849999999999999</v>
      </c>
      <c r="I368" s="861">
        <f t="shared" si="330"/>
        <v>0.66500000000000026</v>
      </c>
      <c r="J368" s="861">
        <f t="shared" si="330"/>
        <v>0</v>
      </c>
      <c r="K368" s="882">
        <f t="shared" si="330"/>
        <v>2.2000000000000002</v>
      </c>
      <c r="L368" s="861">
        <f t="shared" si="330"/>
        <v>-5.3999999999999999E-2</v>
      </c>
      <c r="M368" s="861">
        <f t="shared" si="330"/>
        <v>-1.0000000000000009E-3</v>
      </c>
      <c r="N368" s="861">
        <f t="shared" si="330"/>
        <v>0.22500000000000001</v>
      </c>
      <c r="O368" s="861">
        <f t="shared" si="330"/>
        <v>0.21299999999999999</v>
      </c>
      <c r="P368" s="882">
        <f t="shared" si="330"/>
        <v>0.38300000000000001</v>
      </c>
      <c r="Q368" s="861">
        <f t="shared" si="330"/>
        <v>0.22500000000000001</v>
      </c>
      <c r="R368" s="861">
        <f t="shared" si="330"/>
        <v>0.254</v>
      </c>
      <c r="S368" s="861">
        <f t="shared" si="330"/>
        <v>0.253</v>
      </c>
      <c r="T368" s="861">
        <f t="shared" si="330"/>
        <v>0.26</v>
      </c>
      <c r="U368" s="882">
        <f t="shared" si="330"/>
        <v>0.99199999999999999</v>
      </c>
      <c r="V368" s="861">
        <f t="shared" si="330"/>
        <v>0.35899999999999999</v>
      </c>
      <c r="W368" s="861">
        <f t="shared" si="330"/>
        <v>0.34299999999999997</v>
      </c>
      <c r="X368" s="861">
        <f t="shared" si="330"/>
        <v>0.29700000000000004</v>
      </c>
      <c r="Y368" s="841">
        <f t="shared" si="330"/>
        <v>0.31100000000000005</v>
      </c>
      <c r="Z368" s="840">
        <f t="shared" si="330"/>
        <v>1.31</v>
      </c>
      <c r="AA368" s="841">
        <f t="shared" si="330"/>
        <v>3.97</v>
      </c>
      <c r="AB368" s="861">
        <f t="shared" si="330"/>
        <v>0.35000000000000009</v>
      </c>
      <c r="AC368" s="861">
        <f t="shared" si="330"/>
        <v>0.3199999999999994</v>
      </c>
      <c r="AD368" s="841">
        <f t="shared" si="330"/>
        <v>0.24900000000000055</v>
      </c>
      <c r="AE368" s="840">
        <f t="shared" si="330"/>
        <v>4.8890000000000002</v>
      </c>
      <c r="AF368" s="841">
        <f t="shared" si="330"/>
        <v>1.3520000000000001</v>
      </c>
      <c r="AG368" s="861">
        <f t="shared" si="330"/>
        <v>2.7559999999999993</v>
      </c>
      <c r="AH368" s="861">
        <f t="shared" si="330"/>
        <v>0.39700000000000024</v>
      </c>
      <c r="AI368" s="841">
        <f t="shared" si="330"/>
        <v>3.0280000000000005</v>
      </c>
      <c r="AJ368" s="840">
        <f t="shared" si="330"/>
        <v>7.5330000000000004</v>
      </c>
      <c r="AK368" s="841">
        <f t="shared" si="330"/>
        <v>1.0960000000000001</v>
      </c>
      <c r="AL368" s="861">
        <f t="shared" si="330"/>
        <v>0.48599999999999999</v>
      </c>
      <c r="AM368" s="842">
        <f t="shared" si="330"/>
        <v>0.49399999999999999</v>
      </c>
      <c r="AN368" s="874">
        <v>0</v>
      </c>
      <c r="AO368" s="844">
        <f>AO532+AO536</f>
        <v>2.0760000000000001</v>
      </c>
      <c r="AP368" s="874">
        <v>0</v>
      </c>
      <c r="AQ368" s="874">
        <v>0</v>
      </c>
      <c r="AR368" s="874">
        <v>0</v>
      </c>
      <c r="AS368" s="874">
        <v>0</v>
      </c>
      <c r="AT368" s="844">
        <f>AT532+AT536</f>
        <v>0</v>
      </c>
      <c r="AU368" s="875">
        <v>0</v>
      </c>
      <c r="AV368" s="875">
        <v>0</v>
      </c>
      <c r="AW368" s="875">
        <v>0</v>
      </c>
      <c r="AX368" s="135"/>
    </row>
    <row r="369" spans="1:50" s="36" customFormat="1" x14ac:dyDescent="0.45">
      <c r="A369" s="777" t="s">
        <v>600</v>
      </c>
      <c r="B369" s="778"/>
      <c r="C369" s="779"/>
      <c r="D369" s="779"/>
      <c r="E369" s="779"/>
      <c r="F369" s="779"/>
      <c r="G369" s="780"/>
      <c r="H369" s="780"/>
      <c r="I369" s="780"/>
      <c r="J369" s="780"/>
      <c r="K369" s="779"/>
      <c r="L369" s="780"/>
      <c r="M369" s="780"/>
      <c r="N369" s="780"/>
      <c r="O369" s="780"/>
      <c r="P369" s="779"/>
      <c r="Q369" s="780"/>
      <c r="R369" s="780"/>
      <c r="S369" s="780"/>
      <c r="T369" s="780"/>
      <c r="U369" s="779"/>
      <c r="V369" s="780"/>
      <c r="W369" s="780"/>
      <c r="X369" s="780"/>
      <c r="Y369" s="781"/>
      <c r="Z369" s="420"/>
      <c r="AA369" s="781"/>
      <c r="AB369" s="780"/>
      <c r="AC369" s="780"/>
      <c r="AD369" s="781"/>
      <c r="AE369" s="420"/>
      <c r="AF369" s="781"/>
      <c r="AG369" s="780"/>
      <c r="AH369" s="780"/>
      <c r="AI369" s="781"/>
      <c r="AJ369" s="420"/>
      <c r="AK369" s="781"/>
      <c r="AL369" s="780"/>
      <c r="AM369" s="782"/>
      <c r="AN369" s="783">
        <v>10</v>
      </c>
      <c r="AO369" s="358">
        <f>AVERAGE(AK369,AL369,AM369,AN369)</f>
        <v>10</v>
      </c>
      <c r="AP369" s="783">
        <v>11</v>
      </c>
      <c r="AQ369" s="783">
        <v>11</v>
      </c>
      <c r="AR369" s="783">
        <v>11</v>
      </c>
      <c r="AS369" s="783">
        <v>11</v>
      </c>
      <c r="AT369" s="358">
        <f>AVERAGE(AP369,AQ369,AR369,AS369)</f>
        <v>11</v>
      </c>
      <c r="AU369" s="784">
        <v>12</v>
      </c>
      <c r="AV369" s="784">
        <v>13</v>
      </c>
      <c r="AW369" s="784">
        <v>14</v>
      </c>
      <c r="AX369" s="135"/>
    </row>
    <row r="370" spans="1:50" s="670" customFormat="1" x14ac:dyDescent="0.45">
      <c r="A370" s="659"/>
      <c r="B370" s="660"/>
      <c r="C370" s="661"/>
      <c r="D370" s="661"/>
      <c r="E370" s="661"/>
      <c r="F370" s="661"/>
      <c r="G370" s="662"/>
      <c r="H370" s="662"/>
      <c r="I370" s="662"/>
      <c r="J370" s="662"/>
      <c r="K370" s="661"/>
      <c r="L370" s="662"/>
      <c r="M370" s="662"/>
      <c r="N370" s="662"/>
      <c r="O370" s="662"/>
      <c r="P370" s="661"/>
      <c r="Q370" s="662"/>
      <c r="R370" s="662"/>
      <c r="S370" s="662"/>
      <c r="T370" s="662"/>
      <c r="U370" s="661"/>
      <c r="V370" s="662"/>
      <c r="W370" s="662"/>
      <c r="X370" s="662"/>
      <c r="Y370" s="663"/>
      <c r="Z370" s="664"/>
      <c r="AA370" s="663"/>
      <c r="AB370" s="662"/>
      <c r="AC370" s="662"/>
      <c r="AD370" s="663"/>
      <c r="AE370" s="664"/>
      <c r="AF370" s="663"/>
      <c r="AG370" s="662"/>
      <c r="AH370" s="662"/>
      <c r="AI370" s="663"/>
      <c r="AJ370" s="664"/>
      <c r="AK370" s="663"/>
      <c r="AL370" s="662"/>
      <c r="AM370" s="665"/>
      <c r="AN370" s="666"/>
      <c r="AO370" s="667"/>
      <c r="AP370" s="666"/>
      <c r="AQ370" s="666"/>
      <c r="AR370" s="666"/>
      <c r="AS370" s="666"/>
      <c r="AT370" s="667"/>
      <c r="AU370" s="668"/>
      <c r="AV370" s="668"/>
      <c r="AW370" s="668"/>
      <c r="AX370" s="669"/>
    </row>
    <row r="371" spans="1:50" s="29" customFormat="1" x14ac:dyDescent="0.45">
      <c r="A371" s="797" t="s">
        <v>98</v>
      </c>
      <c r="B371" s="149"/>
      <c r="C371" s="882">
        <f t="shared" ref="C371:AW371" si="331">C356+C359</f>
        <v>51.67499999999999</v>
      </c>
      <c r="D371" s="882">
        <f t="shared" si="331"/>
        <v>61.349999999999987</v>
      </c>
      <c r="E371" s="882">
        <f t="shared" si="331"/>
        <v>67.168000000000006</v>
      </c>
      <c r="F371" s="882">
        <f t="shared" si="331"/>
        <v>46.124000000000002</v>
      </c>
      <c r="G371" s="861">
        <f t="shared" si="331"/>
        <v>13.110999999999999</v>
      </c>
      <c r="H371" s="861">
        <f t="shared" si="331"/>
        <v>8.7479999999999976</v>
      </c>
      <c r="I371" s="861">
        <f t="shared" si="331"/>
        <v>14.891999999999996</v>
      </c>
      <c r="J371" s="861">
        <f t="shared" si="331"/>
        <v>5.0020000000000042</v>
      </c>
      <c r="K371" s="882">
        <f t="shared" si="331"/>
        <v>41.753</v>
      </c>
      <c r="L371" s="861">
        <f t="shared" si="331"/>
        <v>7.8800000000000008</v>
      </c>
      <c r="M371" s="861">
        <f t="shared" si="331"/>
        <v>8.163000000000002</v>
      </c>
      <c r="N371" s="861">
        <f t="shared" si="331"/>
        <v>12.143999999999998</v>
      </c>
      <c r="O371" s="861">
        <f t="shared" si="331"/>
        <v>1.5590000000000028</v>
      </c>
      <c r="P371" s="882">
        <f t="shared" si="331"/>
        <v>29.745999999999999</v>
      </c>
      <c r="Q371" s="861">
        <f t="shared" si="331"/>
        <v>7.7080000000000002</v>
      </c>
      <c r="R371" s="861">
        <f t="shared" si="331"/>
        <v>11.260000000000002</v>
      </c>
      <c r="S371" s="861">
        <f t="shared" si="331"/>
        <v>8.907</v>
      </c>
      <c r="T371" s="861">
        <f t="shared" si="331"/>
        <v>30.106999999999999</v>
      </c>
      <c r="U371" s="882">
        <f t="shared" si="331"/>
        <v>57.982000000000014</v>
      </c>
      <c r="V371" s="861">
        <f t="shared" si="331"/>
        <v>9.9819999999999993</v>
      </c>
      <c r="W371" s="861">
        <f t="shared" si="331"/>
        <v>17.147000000000002</v>
      </c>
      <c r="X371" s="861">
        <f t="shared" si="331"/>
        <v>17.696999999999996</v>
      </c>
      <c r="Y371" s="841">
        <f t="shared" si="331"/>
        <v>15.148</v>
      </c>
      <c r="Z371" s="840">
        <f t="shared" si="331"/>
        <v>59.974000000000004</v>
      </c>
      <c r="AA371" s="841">
        <f t="shared" si="331"/>
        <v>10.527000000000001</v>
      </c>
      <c r="AB371" s="861">
        <f t="shared" si="331"/>
        <v>15.547000000000001</v>
      </c>
      <c r="AC371" s="861">
        <f t="shared" si="331"/>
        <v>14.035</v>
      </c>
      <c r="AD371" s="841">
        <f t="shared" si="331"/>
        <v>-1.522000000000002</v>
      </c>
      <c r="AE371" s="840">
        <f t="shared" si="331"/>
        <v>38.587000000000003</v>
      </c>
      <c r="AF371" s="841">
        <f t="shared" si="331"/>
        <v>10.042999999999997</v>
      </c>
      <c r="AG371" s="861">
        <f t="shared" si="331"/>
        <v>22.154000000000011</v>
      </c>
      <c r="AH371" s="861">
        <f t="shared" si="331"/>
        <v>16.143999999999998</v>
      </c>
      <c r="AI371" s="841">
        <f t="shared" si="331"/>
        <v>17.282</v>
      </c>
      <c r="AJ371" s="840">
        <f t="shared" si="331"/>
        <v>65.623000000000019</v>
      </c>
      <c r="AK371" s="841">
        <f t="shared" si="331"/>
        <v>13.713999999999999</v>
      </c>
      <c r="AL371" s="861">
        <f t="shared" si="331"/>
        <v>19.473000000000006</v>
      </c>
      <c r="AM371" s="842">
        <f t="shared" si="331"/>
        <v>20.297000000000004</v>
      </c>
      <c r="AN371" s="862">
        <f t="shared" si="331"/>
        <v>13.745028767120242</v>
      </c>
      <c r="AO371" s="844">
        <f t="shared" si="331"/>
        <v>67.229028767120212</v>
      </c>
      <c r="AP371" s="862">
        <f t="shared" ca="1" si="331"/>
        <v>11.554562767912037</v>
      </c>
      <c r="AQ371" s="862">
        <f t="shared" ca="1" si="331"/>
        <v>14.806751913092489</v>
      </c>
      <c r="AR371" s="862">
        <f t="shared" ca="1" si="331"/>
        <v>14.747386808327077</v>
      </c>
      <c r="AS371" s="862">
        <f t="shared" ca="1" si="331"/>
        <v>13.848925052620087</v>
      </c>
      <c r="AT371" s="844">
        <f t="shared" ca="1" si="331"/>
        <v>54.95762654195169</v>
      </c>
      <c r="AU371" s="863">
        <f t="shared" ca="1" si="331"/>
        <v>57.61773927254518</v>
      </c>
      <c r="AV371" s="863">
        <f t="shared" ca="1" si="331"/>
        <v>58.610640692377963</v>
      </c>
      <c r="AW371" s="863">
        <f t="shared" ca="1" si="331"/>
        <v>60.215319194709323</v>
      </c>
      <c r="AX371" s="793"/>
    </row>
    <row r="372" spans="1:50" s="29" customFormat="1" x14ac:dyDescent="0.45">
      <c r="A372" s="797" t="s">
        <v>99</v>
      </c>
      <c r="B372" s="149"/>
      <c r="C372" s="882">
        <f t="shared" ref="C372:AW372" si="332">C371+C364</f>
        <v>17.399999999999991</v>
      </c>
      <c r="D372" s="882">
        <f t="shared" si="332"/>
        <v>26.633999999999986</v>
      </c>
      <c r="E372" s="882">
        <f t="shared" si="332"/>
        <v>26.179000000000009</v>
      </c>
      <c r="F372" s="882">
        <f t="shared" si="332"/>
        <v>4.5890000000000057</v>
      </c>
      <c r="G372" s="861">
        <f t="shared" si="332"/>
        <v>2.6939999999999991</v>
      </c>
      <c r="H372" s="861">
        <f t="shared" si="332"/>
        <v>-1.6780000000000026</v>
      </c>
      <c r="I372" s="861">
        <f t="shared" si="332"/>
        <v>4.2199999999999953</v>
      </c>
      <c r="J372" s="861">
        <f t="shared" si="332"/>
        <v>-5.6859999999999982</v>
      </c>
      <c r="K372" s="882">
        <f t="shared" si="332"/>
        <v>-0.45000000000000284</v>
      </c>
      <c r="L372" s="861">
        <f t="shared" si="332"/>
        <v>-2.8069999999999986</v>
      </c>
      <c r="M372" s="861">
        <f t="shared" si="332"/>
        <v>-2.5249999999999986</v>
      </c>
      <c r="N372" s="861">
        <f t="shared" si="332"/>
        <v>1.445999999999998</v>
      </c>
      <c r="O372" s="861">
        <f t="shared" si="332"/>
        <v>-9.1379999999999999</v>
      </c>
      <c r="P372" s="882">
        <f t="shared" si="332"/>
        <v>-13.024000000000004</v>
      </c>
      <c r="Q372" s="861">
        <f t="shared" si="332"/>
        <v>-2.9919999999999991</v>
      </c>
      <c r="R372" s="861">
        <f t="shared" si="332"/>
        <v>0.55700000000000216</v>
      </c>
      <c r="S372" s="861">
        <f t="shared" si="332"/>
        <v>-1.8150000000000013</v>
      </c>
      <c r="T372" s="861">
        <f t="shared" si="332"/>
        <v>19.381999999999998</v>
      </c>
      <c r="U372" s="882">
        <f t="shared" si="332"/>
        <v>15.132000000000012</v>
      </c>
      <c r="V372" s="861">
        <f t="shared" si="332"/>
        <v>9.9819999999999993</v>
      </c>
      <c r="W372" s="861">
        <f t="shared" si="332"/>
        <v>17.147000000000002</v>
      </c>
      <c r="X372" s="861">
        <f t="shared" si="332"/>
        <v>17.696999999999996</v>
      </c>
      <c r="Y372" s="841">
        <f t="shared" si="332"/>
        <v>15.148</v>
      </c>
      <c r="Z372" s="840">
        <f t="shared" si="332"/>
        <v>59.974000000000004</v>
      </c>
      <c r="AA372" s="841">
        <f t="shared" si="332"/>
        <v>10.527000000000001</v>
      </c>
      <c r="AB372" s="861">
        <f t="shared" si="332"/>
        <v>15.547000000000001</v>
      </c>
      <c r="AC372" s="861">
        <f t="shared" si="332"/>
        <v>14.035</v>
      </c>
      <c r="AD372" s="841">
        <f t="shared" si="332"/>
        <v>-1.522000000000002</v>
      </c>
      <c r="AE372" s="840">
        <f t="shared" si="332"/>
        <v>38.587000000000003</v>
      </c>
      <c r="AF372" s="841">
        <f t="shared" si="332"/>
        <v>10.042999999999997</v>
      </c>
      <c r="AG372" s="861">
        <f t="shared" si="332"/>
        <v>22.154000000000011</v>
      </c>
      <c r="AH372" s="861">
        <f t="shared" si="332"/>
        <v>16.143999999999998</v>
      </c>
      <c r="AI372" s="841">
        <f t="shared" si="332"/>
        <v>17.282</v>
      </c>
      <c r="AJ372" s="840">
        <f t="shared" si="332"/>
        <v>65.623000000000019</v>
      </c>
      <c r="AK372" s="841">
        <f t="shared" si="332"/>
        <v>13.713999999999999</v>
      </c>
      <c r="AL372" s="861">
        <f t="shared" si="332"/>
        <v>19.473000000000006</v>
      </c>
      <c r="AM372" s="842">
        <f t="shared" si="332"/>
        <v>20.297000000000004</v>
      </c>
      <c r="AN372" s="862">
        <f t="shared" ca="1" si="332"/>
        <v>13.745028767120242</v>
      </c>
      <c r="AO372" s="844">
        <f t="shared" ca="1" si="332"/>
        <v>67.229028767120212</v>
      </c>
      <c r="AP372" s="862">
        <f t="shared" ca="1" si="332"/>
        <v>11.554562767912037</v>
      </c>
      <c r="AQ372" s="862">
        <f t="shared" ca="1" si="332"/>
        <v>14.806751913092489</v>
      </c>
      <c r="AR372" s="862">
        <f t="shared" ca="1" si="332"/>
        <v>14.747386808327077</v>
      </c>
      <c r="AS372" s="862">
        <f t="shared" ca="1" si="332"/>
        <v>13.848925052620087</v>
      </c>
      <c r="AT372" s="844">
        <f t="shared" ca="1" si="332"/>
        <v>54.95762654195169</v>
      </c>
      <c r="AU372" s="863">
        <f t="shared" ca="1" si="332"/>
        <v>57.61773927254518</v>
      </c>
      <c r="AV372" s="863">
        <f t="shared" ca="1" si="332"/>
        <v>58.610640692377963</v>
      </c>
      <c r="AW372" s="863">
        <f t="shared" ca="1" si="332"/>
        <v>60.215319194709323</v>
      </c>
      <c r="AX372" s="793"/>
    </row>
    <row r="373" spans="1:50" s="29" customFormat="1" x14ac:dyDescent="0.45">
      <c r="A373" s="797" t="s">
        <v>100</v>
      </c>
      <c r="B373" s="149"/>
      <c r="C373" s="882">
        <f t="shared" ref="C373:AW373" si="333">C372+C362+C363</f>
        <v>15.885999999999992</v>
      </c>
      <c r="D373" s="882">
        <f t="shared" si="333"/>
        <v>26.969999999999985</v>
      </c>
      <c r="E373" s="882">
        <f t="shared" si="333"/>
        <v>14.696000000000009</v>
      </c>
      <c r="F373" s="882">
        <f t="shared" si="333"/>
        <v>-2.5169999999999941</v>
      </c>
      <c r="G373" s="861">
        <f t="shared" si="333"/>
        <v>2.6939999999999991</v>
      </c>
      <c r="H373" s="861">
        <f t="shared" si="333"/>
        <v>-36.480000000000004</v>
      </c>
      <c r="I373" s="861">
        <f t="shared" si="333"/>
        <v>3.9889999999999937</v>
      </c>
      <c r="J373" s="861">
        <f t="shared" si="333"/>
        <v>-5.6859999999999982</v>
      </c>
      <c r="K373" s="882">
        <f t="shared" si="333"/>
        <v>-35.483000000000004</v>
      </c>
      <c r="L373" s="861">
        <f t="shared" si="333"/>
        <v>-2.8069999999999986</v>
      </c>
      <c r="M373" s="861">
        <f t="shared" si="333"/>
        <v>-2.5249999999999986</v>
      </c>
      <c r="N373" s="861">
        <f t="shared" si="333"/>
        <v>1.445999999999998</v>
      </c>
      <c r="O373" s="861">
        <f t="shared" si="333"/>
        <v>-11.483000000000001</v>
      </c>
      <c r="P373" s="882">
        <f t="shared" si="333"/>
        <v>-15.369000000000005</v>
      </c>
      <c r="Q373" s="861">
        <f t="shared" si="333"/>
        <v>-2.9919999999999991</v>
      </c>
      <c r="R373" s="861">
        <f t="shared" si="333"/>
        <v>0.55700000000000216</v>
      </c>
      <c r="S373" s="861">
        <f t="shared" si="333"/>
        <v>-1.8150000000000013</v>
      </c>
      <c r="T373" s="861">
        <f t="shared" si="333"/>
        <v>-144.46099999999998</v>
      </c>
      <c r="U373" s="882">
        <f t="shared" si="333"/>
        <v>-148.71099999999998</v>
      </c>
      <c r="V373" s="861">
        <f t="shared" si="333"/>
        <v>9.9819999999999993</v>
      </c>
      <c r="W373" s="861">
        <f t="shared" si="333"/>
        <v>17.147000000000002</v>
      </c>
      <c r="X373" s="861">
        <f t="shared" si="333"/>
        <v>17.696999999999996</v>
      </c>
      <c r="Y373" s="841">
        <f t="shared" si="333"/>
        <v>15.148</v>
      </c>
      <c r="Z373" s="840">
        <f t="shared" si="333"/>
        <v>59.974000000000004</v>
      </c>
      <c r="AA373" s="841">
        <f t="shared" si="333"/>
        <v>-23.329000000000001</v>
      </c>
      <c r="AB373" s="861">
        <f t="shared" si="333"/>
        <v>-9.4890000000000008</v>
      </c>
      <c r="AC373" s="861">
        <f t="shared" si="333"/>
        <v>14.035</v>
      </c>
      <c r="AD373" s="841">
        <f t="shared" si="333"/>
        <v>-5.4969999999999963</v>
      </c>
      <c r="AE373" s="840">
        <f t="shared" si="333"/>
        <v>-24.279999999999994</v>
      </c>
      <c r="AF373" s="841">
        <f t="shared" si="333"/>
        <v>10.042999999999997</v>
      </c>
      <c r="AG373" s="861">
        <f t="shared" si="333"/>
        <v>22.154000000000011</v>
      </c>
      <c r="AH373" s="861">
        <f t="shared" si="333"/>
        <v>16.143999999999998</v>
      </c>
      <c r="AI373" s="841">
        <f t="shared" si="333"/>
        <v>17.282</v>
      </c>
      <c r="AJ373" s="840">
        <f t="shared" si="333"/>
        <v>65.623000000000019</v>
      </c>
      <c r="AK373" s="841">
        <f t="shared" si="333"/>
        <v>13.713999999999999</v>
      </c>
      <c r="AL373" s="861">
        <f t="shared" si="333"/>
        <v>19.473000000000006</v>
      </c>
      <c r="AM373" s="842">
        <f t="shared" si="333"/>
        <v>-51.308</v>
      </c>
      <c r="AN373" s="862">
        <f t="shared" ca="1" si="333"/>
        <v>13.745028767120242</v>
      </c>
      <c r="AO373" s="844">
        <f t="shared" ca="1" si="333"/>
        <v>-4.3759712328797917</v>
      </c>
      <c r="AP373" s="862">
        <f t="shared" ca="1" si="333"/>
        <v>11.554562767912037</v>
      </c>
      <c r="AQ373" s="862">
        <f t="shared" ca="1" si="333"/>
        <v>14.806751913092489</v>
      </c>
      <c r="AR373" s="862">
        <f t="shared" ca="1" si="333"/>
        <v>14.747386808327077</v>
      </c>
      <c r="AS373" s="862">
        <f t="shared" ca="1" si="333"/>
        <v>13.848925052620087</v>
      </c>
      <c r="AT373" s="844">
        <f t="shared" ca="1" si="333"/>
        <v>54.95762654195169</v>
      </c>
      <c r="AU373" s="863">
        <f t="shared" ca="1" si="333"/>
        <v>57.61773927254518</v>
      </c>
      <c r="AV373" s="863">
        <f t="shared" ca="1" si="333"/>
        <v>58.610640692377963</v>
      </c>
      <c r="AW373" s="863">
        <f t="shared" ca="1" si="333"/>
        <v>60.215319194709323</v>
      </c>
      <c r="AX373" s="793"/>
    </row>
    <row r="374" spans="1:50" s="29" customFormat="1" x14ac:dyDescent="0.45">
      <c r="A374" s="799" t="s">
        <v>601</v>
      </c>
      <c r="B374" s="106"/>
      <c r="C374" s="881">
        <f t="shared" ref="C374:AW374" si="334">C373+C367+C368</f>
        <v>23.316999999999993</v>
      </c>
      <c r="D374" s="881">
        <f t="shared" si="334"/>
        <v>34.210999999999984</v>
      </c>
      <c r="E374" s="881">
        <f t="shared" si="334"/>
        <v>31.63000000000001</v>
      </c>
      <c r="F374" s="881">
        <f t="shared" si="334"/>
        <v>-1.4849999999999941</v>
      </c>
      <c r="G374" s="866">
        <f t="shared" si="334"/>
        <v>2.9939999999999989</v>
      </c>
      <c r="H374" s="866">
        <f t="shared" si="334"/>
        <v>-35.183000000000007</v>
      </c>
      <c r="I374" s="866">
        <f t="shared" si="334"/>
        <v>4.6539999999999937</v>
      </c>
      <c r="J374" s="866">
        <f t="shared" si="334"/>
        <v>-5.5649999999999977</v>
      </c>
      <c r="K374" s="881">
        <f t="shared" si="334"/>
        <v>-33.1</v>
      </c>
      <c r="L374" s="866">
        <f t="shared" si="334"/>
        <v>-2.8609999999999984</v>
      </c>
      <c r="M374" s="866">
        <f t="shared" si="334"/>
        <v>-2.5259999999999985</v>
      </c>
      <c r="N374" s="866">
        <f t="shared" si="334"/>
        <v>1.670999999999998</v>
      </c>
      <c r="O374" s="866">
        <f t="shared" si="334"/>
        <v>-11.270000000000001</v>
      </c>
      <c r="P374" s="881">
        <f t="shared" si="334"/>
        <v>-14.986000000000004</v>
      </c>
      <c r="Q374" s="866">
        <f t="shared" si="334"/>
        <v>-2.766999999999999</v>
      </c>
      <c r="R374" s="866">
        <f t="shared" si="334"/>
        <v>0.81100000000000216</v>
      </c>
      <c r="S374" s="866">
        <f t="shared" si="334"/>
        <v>-1.5620000000000012</v>
      </c>
      <c r="T374" s="866">
        <f t="shared" si="334"/>
        <v>-44.583000000000006</v>
      </c>
      <c r="U374" s="881">
        <f t="shared" si="334"/>
        <v>-48.101000000000006</v>
      </c>
      <c r="V374" s="866">
        <f t="shared" si="334"/>
        <v>-6.6590000000000007</v>
      </c>
      <c r="W374" s="866">
        <f t="shared" si="334"/>
        <v>-22.509999999999998</v>
      </c>
      <c r="X374" s="866">
        <f t="shared" si="334"/>
        <v>-5.0060000000000047</v>
      </c>
      <c r="Y374" s="852">
        <f t="shared" si="334"/>
        <v>5.4589999999999996</v>
      </c>
      <c r="Z374" s="851">
        <f t="shared" si="334"/>
        <v>-28.715999999999998</v>
      </c>
      <c r="AA374" s="852">
        <f t="shared" si="334"/>
        <v>10.641</v>
      </c>
      <c r="AB374" s="866">
        <f t="shared" si="334"/>
        <v>0.86099999999999932</v>
      </c>
      <c r="AC374" s="866">
        <f t="shared" si="334"/>
        <v>-1.6450000000000005</v>
      </c>
      <c r="AD374" s="852">
        <f t="shared" si="334"/>
        <v>-8.3529999999999962</v>
      </c>
      <c r="AE374" s="851">
        <f t="shared" si="334"/>
        <v>1.5040000000000058</v>
      </c>
      <c r="AF374" s="852">
        <f t="shared" si="334"/>
        <v>18.395</v>
      </c>
      <c r="AG374" s="866">
        <f t="shared" si="334"/>
        <v>22.910000000000011</v>
      </c>
      <c r="AH374" s="866">
        <f t="shared" si="334"/>
        <v>1.5409999999999986</v>
      </c>
      <c r="AI374" s="852">
        <f t="shared" si="334"/>
        <v>4.3100000000000005</v>
      </c>
      <c r="AJ374" s="851">
        <f t="shared" si="334"/>
        <v>47.15600000000002</v>
      </c>
      <c r="AK374" s="852">
        <f t="shared" si="334"/>
        <v>9.8099999999999987</v>
      </c>
      <c r="AL374" s="866">
        <f t="shared" si="334"/>
        <v>13.959000000000007</v>
      </c>
      <c r="AM374" s="853">
        <f t="shared" si="334"/>
        <v>-13.814</v>
      </c>
      <c r="AN374" s="867">
        <f t="shared" ca="1" si="334"/>
        <v>13.745028767120242</v>
      </c>
      <c r="AO374" s="855">
        <f t="shared" ca="1" si="334"/>
        <v>23.700028767120209</v>
      </c>
      <c r="AP374" s="867">
        <f t="shared" ca="1" si="334"/>
        <v>11.554562767912037</v>
      </c>
      <c r="AQ374" s="867">
        <f t="shared" ca="1" si="334"/>
        <v>14.806751913092489</v>
      </c>
      <c r="AR374" s="867">
        <f t="shared" ca="1" si="334"/>
        <v>14.747386808327077</v>
      </c>
      <c r="AS374" s="867">
        <f t="shared" ca="1" si="334"/>
        <v>13.848925052620087</v>
      </c>
      <c r="AT374" s="855">
        <f t="shared" ca="1" si="334"/>
        <v>54.95762654195169</v>
      </c>
      <c r="AU374" s="868">
        <f t="shared" ca="1" si="334"/>
        <v>57.61773927254518</v>
      </c>
      <c r="AV374" s="868">
        <f t="shared" ca="1" si="334"/>
        <v>58.610640692377963</v>
      </c>
      <c r="AW374" s="868">
        <f t="shared" ca="1" si="334"/>
        <v>60.215319194709323</v>
      </c>
      <c r="AX374" s="793"/>
    </row>
    <row r="375" spans="1:50" s="29" customFormat="1" x14ac:dyDescent="0.45">
      <c r="A375" s="793"/>
      <c r="B375" s="147"/>
      <c r="C375" s="840"/>
      <c r="D375" s="840"/>
      <c r="E375" s="840"/>
      <c r="F375" s="840"/>
      <c r="G375" s="841"/>
      <c r="H375" s="841"/>
      <c r="I375" s="841"/>
      <c r="J375" s="841"/>
      <c r="K375" s="840"/>
      <c r="L375" s="841"/>
      <c r="M375" s="841"/>
      <c r="N375" s="841"/>
      <c r="O375" s="841"/>
      <c r="P375" s="840"/>
      <c r="Q375" s="841"/>
      <c r="R375" s="841"/>
      <c r="S375" s="841"/>
      <c r="T375" s="841"/>
      <c r="U375" s="840"/>
      <c r="V375" s="841"/>
      <c r="W375" s="841"/>
      <c r="X375" s="841"/>
      <c r="Y375" s="841"/>
      <c r="Z375" s="840"/>
      <c r="AA375" s="841"/>
      <c r="AB375" s="841"/>
      <c r="AC375" s="841"/>
      <c r="AD375" s="841"/>
      <c r="AE375" s="840"/>
      <c r="AF375" s="841"/>
      <c r="AG375" s="841"/>
      <c r="AH375" s="841"/>
      <c r="AI375" s="841"/>
      <c r="AJ375" s="840"/>
      <c r="AK375" s="841"/>
      <c r="AL375" s="841"/>
      <c r="AM375" s="842"/>
      <c r="AN375" s="843"/>
      <c r="AO375" s="844"/>
      <c r="AP375" s="843"/>
      <c r="AQ375" s="843"/>
      <c r="AR375" s="843"/>
      <c r="AS375" s="843"/>
      <c r="AT375" s="844"/>
      <c r="AU375" s="844"/>
      <c r="AV375" s="844"/>
      <c r="AW375" s="844"/>
      <c r="AX375" s="793"/>
    </row>
    <row r="376" spans="1:50" s="7" customFormat="1" x14ac:dyDescent="0.45">
      <c r="A376" s="790" t="s">
        <v>101</v>
      </c>
      <c r="B376" s="790"/>
      <c r="C376" s="812"/>
      <c r="D376" s="812"/>
      <c r="E376" s="812"/>
      <c r="F376" s="812"/>
      <c r="G376" s="812"/>
      <c r="H376" s="812"/>
      <c r="I376" s="812"/>
      <c r="J376" s="812"/>
      <c r="K376" s="812"/>
      <c r="L376" s="812"/>
      <c r="M376" s="812"/>
      <c r="N376" s="812"/>
      <c r="O376" s="812"/>
      <c r="P376" s="812"/>
      <c r="Q376" s="812"/>
      <c r="R376" s="812"/>
      <c r="S376" s="812"/>
      <c r="T376" s="812"/>
      <c r="U376" s="812"/>
      <c r="V376" s="812"/>
      <c r="W376" s="812"/>
      <c r="X376" s="812"/>
      <c r="Y376" s="812"/>
      <c r="Z376" s="812"/>
      <c r="AA376" s="812"/>
      <c r="AB376" s="812"/>
      <c r="AC376" s="812"/>
      <c r="AD376" s="812"/>
      <c r="AE376" s="812"/>
      <c r="AF376" s="812"/>
      <c r="AG376" s="812"/>
      <c r="AH376" s="812"/>
      <c r="AI376" s="812"/>
      <c r="AJ376" s="812"/>
      <c r="AK376" s="812"/>
      <c r="AL376" s="812"/>
      <c r="AM376" s="813"/>
      <c r="AN376" s="814"/>
      <c r="AO376" s="814"/>
      <c r="AP376" s="814"/>
      <c r="AQ376" s="814"/>
      <c r="AR376" s="814"/>
      <c r="AS376" s="814"/>
      <c r="AT376" s="814"/>
      <c r="AU376" s="814"/>
      <c r="AV376" s="814"/>
      <c r="AW376" s="814"/>
      <c r="AX376" s="795"/>
    </row>
    <row r="377" spans="1:50" s="29" customFormat="1" x14ac:dyDescent="0.45">
      <c r="A377" s="793" t="s">
        <v>102</v>
      </c>
      <c r="B377" s="147"/>
      <c r="C377" s="840">
        <f t="shared" ref="C377:AL377" si="335">C575+C577</f>
        <v>91.769000000000005</v>
      </c>
      <c r="D377" s="840">
        <f t="shared" si="335"/>
        <v>117.73700000000001</v>
      </c>
      <c r="E377" s="840">
        <f t="shared" si="335"/>
        <v>139.43099999999998</v>
      </c>
      <c r="F377" s="840">
        <f t="shared" si="335"/>
        <v>118.011</v>
      </c>
      <c r="G377" s="841">
        <f t="shared" si="335"/>
        <v>130.02600000000001</v>
      </c>
      <c r="H377" s="841">
        <f t="shared" si="335"/>
        <v>84.305000000000007</v>
      </c>
      <c r="I377" s="841">
        <f t="shared" si="335"/>
        <v>93.989000000000004</v>
      </c>
      <c r="J377" s="841">
        <f t="shared" si="335"/>
        <v>113.801</v>
      </c>
      <c r="K377" s="840">
        <f t="shared" si="335"/>
        <v>113.801</v>
      </c>
      <c r="L377" s="841">
        <f t="shared" si="335"/>
        <v>116.435</v>
      </c>
      <c r="M377" s="841">
        <f t="shared" si="335"/>
        <v>123.51600000000001</v>
      </c>
      <c r="N377" s="841">
        <f t="shared" si="335"/>
        <v>124.822</v>
      </c>
      <c r="O377" s="841">
        <f t="shared" si="335"/>
        <v>130.58500000000001</v>
      </c>
      <c r="P377" s="840">
        <f t="shared" si="335"/>
        <v>130.58500000000001</v>
      </c>
      <c r="Q377" s="841">
        <f t="shared" si="335"/>
        <v>116.797</v>
      </c>
      <c r="R377" s="841">
        <f t="shared" si="335"/>
        <v>110.777</v>
      </c>
      <c r="S377" s="841">
        <f t="shared" si="335"/>
        <v>104.81299999999999</v>
      </c>
      <c r="T377" s="841">
        <f t="shared" si="335"/>
        <v>36.472999999999999</v>
      </c>
      <c r="U377" s="840">
        <f t="shared" si="335"/>
        <v>36.472999999999999</v>
      </c>
      <c r="V377" s="841">
        <f t="shared" si="335"/>
        <v>26.349</v>
      </c>
      <c r="W377" s="841">
        <f t="shared" si="335"/>
        <v>26.245999999999999</v>
      </c>
      <c r="X377" s="861">
        <f t="shared" si="335"/>
        <v>23.994</v>
      </c>
      <c r="Y377" s="841">
        <f t="shared" si="335"/>
        <v>37.673000000000002</v>
      </c>
      <c r="Z377" s="840">
        <f t="shared" si="335"/>
        <v>37.673000000000002</v>
      </c>
      <c r="AA377" s="841">
        <f t="shared" si="335"/>
        <v>23.337</v>
      </c>
      <c r="AB377" s="841">
        <f t="shared" si="335"/>
        <v>26.553000000000001</v>
      </c>
      <c r="AC377" s="861">
        <f t="shared" si="335"/>
        <v>23.359000000000002</v>
      </c>
      <c r="AD377" s="841">
        <f t="shared" si="335"/>
        <v>28.844999999999999</v>
      </c>
      <c r="AE377" s="840">
        <f t="shared" si="335"/>
        <v>28.844999999999999</v>
      </c>
      <c r="AF377" s="841">
        <f t="shared" si="335"/>
        <v>26.544</v>
      </c>
      <c r="AG377" s="841">
        <f t="shared" si="335"/>
        <v>32.387</v>
      </c>
      <c r="AH377" s="861">
        <f t="shared" si="335"/>
        <v>30.053999999999998</v>
      </c>
      <c r="AI377" s="841">
        <f t="shared" si="335"/>
        <v>33.079000000000001</v>
      </c>
      <c r="AJ377" s="840">
        <f t="shared" si="335"/>
        <v>33.079000000000001</v>
      </c>
      <c r="AK377" s="841">
        <f t="shared" si="335"/>
        <v>28.606999999999999</v>
      </c>
      <c r="AL377" s="841">
        <f t="shared" si="335"/>
        <v>42.93</v>
      </c>
      <c r="AM377" s="842">
        <f t="shared" ref="AM377:AW377" si="336">AM575+AM577</f>
        <v>26.79</v>
      </c>
      <c r="AN377" s="862">
        <f t="shared" ca="1" si="336"/>
        <v>36.442703115349744</v>
      </c>
      <c r="AO377" s="844">
        <f t="shared" ca="1" si="336"/>
        <v>36.442703115349744</v>
      </c>
      <c r="AP377" s="862">
        <f t="shared" ca="1" si="336"/>
        <v>48.244367848811002</v>
      </c>
      <c r="AQ377" s="862">
        <f t="shared" ca="1" si="336"/>
        <v>63.30288953115754</v>
      </c>
      <c r="AR377" s="862">
        <f t="shared" ca="1" si="336"/>
        <v>76.847766110181354</v>
      </c>
      <c r="AS377" s="862">
        <f t="shared" ca="1" si="336"/>
        <v>90.321745020718026</v>
      </c>
      <c r="AT377" s="844">
        <f t="shared" ca="1" si="336"/>
        <v>90.321745020718026</v>
      </c>
      <c r="AU377" s="863">
        <f t="shared" ca="1" si="336"/>
        <v>147.1652708244838</v>
      </c>
      <c r="AV377" s="863">
        <f t="shared" ca="1" si="336"/>
        <v>204.38712478446701</v>
      </c>
      <c r="AW377" s="863">
        <f t="shared" ca="1" si="336"/>
        <v>264.16191583222962</v>
      </c>
      <c r="AX377" s="793"/>
    </row>
    <row r="378" spans="1:50" s="29" customFormat="1" x14ac:dyDescent="0.45">
      <c r="A378" s="61" t="s">
        <v>594</v>
      </c>
      <c r="B378" s="147"/>
      <c r="C378" s="840">
        <v>0</v>
      </c>
      <c r="D378" s="840">
        <v>0</v>
      </c>
      <c r="E378" s="840">
        <v>0</v>
      </c>
      <c r="F378" s="840">
        <v>0</v>
      </c>
      <c r="G378" s="841">
        <v>0</v>
      </c>
      <c r="H378" s="841">
        <v>0</v>
      </c>
      <c r="I378" s="841">
        <v>0</v>
      </c>
      <c r="J378" s="841">
        <v>0</v>
      </c>
      <c r="K378" s="840">
        <v>0</v>
      </c>
      <c r="L378" s="841">
        <v>0</v>
      </c>
      <c r="M378" s="841">
        <v>0</v>
      </c>
      <c r="N378" s="841">
        <v>0</v>
      </c>
      <c r="O378" s="841">
        <v>0</v>
      </c>
      <c r="P378" s="840">
        <v>0</v>
      </c>
      <c r="Q378" s="841">
        <v>0</v>
      </c>
      <c r="R378" s="841">
        <v>0</v>
      </c>
      <c r="S378" s="841">
        <v>0</v>
      </c>
      <c r="T378" s="841">
        <v>0</v>
      </c>
      <c r="U378" s="840">
        <v>0</v>
      </c>
      <c r="V378" s="841">
        <v>0</v>
      </c>
      <c r="W378" s="841">
        <v>0</v>
      </c>
      <c r="X378" s="861">
        <v>0</v>
      </c>
      <c r="Y378" s="841">
        <v>0</v>
      </c>
      <c r="Z378" s="840">
        <v>0</v>
      </c>
      <c r="AA378" s="841">
        <v>0</v>
      </c>
      <c r="AB378" s="841">
        <v>0</v>
      </c>
      <c r="AC378" s="861">
        <v>0</v>
      </c>
      <c r="AD378" s="841">
        <v>0</v>
      </c>
      <c r="AE378" s="840">
        <v>0</v>
      </c>
      <c r="AF378" s="841">
        <v>0</v>
      </c>
      <c r="AG378" s="841">
        <v>0</v>
      </c>
      <c r="AH378" s="861">
        <v>0</v>
      </c>
      <c r="AI378" s="841">
        <v>0</v>
      </c>
      <c r="AJ378" s="840">
        <v>0</v>
      </c>
      <c r="AK378" s="841">
        <v>0</v>
      </c>
      <c r="AL378" s="841">
        <v>0</v>
      </c>
      <c r="AM378" s="842">
        <v>0</v>
      </c>
      <c r="AN378" s="862">
        <f>AN380-AN379</f>
        <v>0</v>
      </c>
      <c r="AO378" s="844">
        <v>0</v>
      </c>
      <c r="AP378" s="862">
        <f>AP380-AP379</f>
        <v>0</v>
      </c>
      <c r="AQ378" s="862">
        <f>AQ380-AQ379</f>
        <v>0</v>
      </c>
      <c r="AR378" s="862">
        <f>AR380-AR379</f>
        <v>0</v>
      </c>
      <c r="AS378" s="862">
        <f>AS380-AS379</f>
        <v>0</v>
      </c>
      <c r="AT378" s="844">
        <v>0</v>
      </c>
      <c r="AU378" s="863">
        <f>AU380-AU379</f>
        <v>0</v>
      </c>
      <c r="AV378" s="863">
        <f>AV380-AV379</f>
        <v>0</v>
      </c>
      <c r="AW378" s="863">
        <f>AW380-AW379</f>
        <v>0</v>
      </c>
      <c r="AX378" s="793"/>
    </row>
    <row r="379" spans="1:50" s="29" customFormat="1" x14ac:dyDescent="0.45">
      <c r="A379" s="775" t="s">
        <v>595</v>
      </c>
      <c r="B379" s="776"/>
      <c r="C379" s="925">
        <f t="shared" ref="C379:AM379" si="337">C612</f>
        <v>0</v>
      </c>
      <c r="D379" s="925">
        <f t="shared" si="337"/>
        <v>0</v>
      </c>
      <c r="E379" s="925">
        <f t="shared" si="337"/>
        <v>0</v>
      </c>
      <c r="F379" s="925">
        <f t="shared" si="337"/>
        <v>0</v>
      </c>
      <c r="G379" s="926">
        <f t="shared" si="337"/>
        <v>0</v>
      </c>
      <c r="H379" s="926">
        <f t="shared" si="337"/>
        <v>0</v>
      </c>
      <c r="I379" s="926">
        <f t="shared" si="337"/>
        <v>0</v>
      </c>
      <c r="J379" s="926">
        <f t="shared" si="337"/>
        <v>0</v>
      </c>
      <c r="K379" s="925">
        <f t="shared" si="337"/>
        <v>0</v>
      </c>
      <c r="L379" s="926">
        <f t="shared" si="337"/>
        <v>0</v>
      </c>
      <c r="M379" s="926">
        <f t="shared" si="337"/>
        <v>0</v>
      </c>
      <c r="N379" s="926">
        <f t="shared" si="337"/>
        <v>0</v>
      </c>
      <c r="O379" s="926">
        <f t="shared" si="337"/>
        <v>0</v>
      </c>
      <c r="P379" s="925">
        <f t="shared" si="337"/>
        <v>0</v>
      </c>
      <c r="Q379" s="926">
        <f t="shared" si="337"/>
        <v>0</v>
      </c>
      <c r="R379" s="926">
        <f t="shared" si="337"/>
        <v>0</v>
      </c>
      <c r="S379" s="926">
        <f t="shared" si="337"/>
        <v>0</v>
      </c>
      <c r="T379" s="926">
        <f t="shared" si="337"/>
        <v>105</v>
      </c>
      <c r="U379" s="925">
        <f t="shared" si="337"/>
        <v>105</v>
      </c>
      <c r="V379" s="926">
        <f t="shared" si="337"/>
        <v>88</v>
      </c>
      <c r="W379" s="926">
        <f t="shared" si="337"/>
        <v>48</v>
      </c>
      <c r="X379" s="927">
        <f t="shared" si="337"/>
        <v>25</v>
      </c>
      <c r="Y379" s="926">
        <f t="shared" si="337"/>
        <v>15</v>
      </c>
      <c r="Z379" s="925">
        <f t="shared" si="337"/>
        <v>15</v>
      </c>
      <c r="AA379" s="926">
        <f t="shared" si="337"/>
        <v>45</v>
      </c>
      <c r="AB379" s="926">
        <f t="shared" si="337"/>
        <v>55</v>
      </c>
      <c r="AC379" s="927">
        <f t="shared" si="337"/>
        <v>39</v>
      </c>
      <c r="AD379" s="926">
        <f t="shared" si="337"/>
        <v>37</v>
      </c>
      <c r="AE379" s="925">
        <f t="shared" si="337"/>
        <v>37</v>
      </c>
      <c r="AF379" s="926">
        <f t="shared" si="337"/>
        <v>44</v>
      </c>
      <c r="AG379" s="926">
        <f t="shared" si="337"/>
        <v>42</v>
      </c>
      <c r="AH379" s="927">
        <f t="shared" si="337"/>
        <v>27</v>
      </c>
      <c r="AI379" s="926">
        <f t="shared" si="337"/>
        <v>11</v>
      </c>
      <c r="AJ379" s="925">
        <f t="shared" si="337"/>
        <v>11</v>
      </c>
      <c r="AK379" s="926">
        <f t="shared" si="337"/>
        <v>6</v>
      </c>
      <c r="AL379" s="926">
        <f t="shared" si="337"/>
        <v>0</v>
      </c>
      <c r="AM379" s="928">
        <f t="shared" si="337"/>
        <v>37</v>
      </c>
      <c r="AN379" s="927">
        <f>MAX(0,AM379+AN367)</f>
        <v>37</v>
      </c>
      <c r="AO379" s="925">
        <f>AO612</f>
        <v>37</v>
      </c>
      <c r="AP379" s="927">
        <f>MAX(0,AO379+AP367)</f>
        <v>37</v>
      </c>
      <c r="AQ379" s="927">
        <f>MAX(0,AP379+AQ367)</f>
        <v>37</v>
      </c>
      <c r="AR379" s="927">
        <f>MAX(0,AQ379+AR367)</f>
        <v>37</v>
      </c>
      <c r="AS379" s="927">
        <f>MAX(0,AR379+AS367)</f>
        <v>37</v>
      </c>
      <c r="AT379" s="925">
        <f>AT612</f>
        <v>37</v>
      </c>
      <c r="AU379" s="929">
        <f>MAX(0,AT379+AU367)</f>
        <v>37</v>
      </c>
      <c r="AV379" s="929">
        <f>MAX(0,AU379+AV367)</f>
        <v>37</v>
      </c>
      <c r="AW379" s="929">
        <f>MAX(0,AV379+AW367)</f>
        <v>37</v>
      </c>
      <c r="AX379" s="793"/>
    </row>
    <row r="380" spans="1:50" s="29" customFormat="1" x14ac:dyDescent="0.45">
      <c r="A380" s="793" t="s">
        <v>103</v>
      </c>
      <c r="B380" s="147"/>
      <c r="C380" s="840">
        <f t="shared" ref="C380:AL380" si="338">C612</f>
        <v>0</v>
      </c>
      <c r="D380" s="840">
        <f t="shared" si="338"/>
        <v>0</v>
      </c>
      <c r="E380" s="840">
        <f t="shared" si="338"/>
        <v>0</v>
      </c>
      <c r="F380" s="840">
        <f t="shared" si="338"/>
        <v>0</v>
      </c>
      <c r="G380" s="841">
        <f t="shared" si="338"/>
        <v>0</v>
      </c>
      <c r="H380" s="841">
        <f t="shared" si="338"/>
        <v>0</v>
      </c>
      <c r="I380" s="841">
        <f t="shared" si="338"/>
        <v>0</v>
      </c>
      <c r="J380" s="841">
        <f t="shared" si="338"/>
        <v>0</v>
      </c>
      <c r="K380" s="840">
        <f t="shared" si="338"/>
        <v>0</v>
      </c>
      <c r="L380" s="841">
        <f t="shared" si="338"/>
        <v>0</v>
      </c>
      <c r="M380" s="841">
        <f t="shared" si="338"/>
        <v>0</v>
      </c>
      <c r="N380" s="841">
        <f t="shared" si="338"/>
        <v>0</v>
      </c>
      <c r="O380" s="841">
        <f t="shared" si="338"/>
        <v>0</v>
      </c>
      <c r="P380" s="840">
        <f t="shared" si="338"/>
        <v>0</v>
      </c>
      <c r="Q380" s="841">
        <f t="shared" si="338"/>
        <v>0</v>
      </c>
      <c r="R380" s="841">
        <f t="shared" si="338"/>
        <v>0</v>
      </c>
      <c r="S380" s="841">
        <f t="shared" si="338"/>
        <v>0</v>
      </c>
      <c r="T380" s="841">
        <f t="shared" si="338"/>
        <v>105</v>
      </c>
      <c r="U380" s="840">
        <f t="shared" si="338"/>
        <v>105</v>
      </c>
      <c r="V380" s="841">
        <f t="shared" si="338"/>
        <v>88</v>
      </c>
      <c r="W380" s="841">
        <f t="shared" si="338"/>
        <v>48</v>
      </c>
      <c r="X380" s="861">
        <f t="shared" si="338"/>
        <v>25</v>
      </c>
      <c r="Y380" s="841">
        <f t="shared" si="338"/>
        <v>15</v>
      </c>
      <c r="Z380" s="840">
        <f t="shared" si="338"/>
        <v>15</v>
      </c>
      <c r="AA380" s="841">
        <f t="shared" si="338"/>
        <v>45</v>
      </c>
      <c r="AB380" s="841">
        <f t="shared" si="338"/>
        <v>55</v>
      </c>
      <c r="AC380" s="861">
        <f t="shared" si="338"/>
        <v>39</v>
      </c>
      <c r="AD380" s="841">
        <f t="shared" si="338"/>
        <v>37</v>
      </c>
      <c r="AE380" s="840">
        <f t="shared" si="338"/>
        <v>37</v>
      </c>
      <c r="AF380" s="841">
        <f t="shared" si="338"/>
        <v>44</v>
      </c>
      <c r="AG380" s="841">
        <f t="shared" si="338"/>
        <v>42</v>
      </c>
      <c r="AH380" s="861">
        <f t="shared" si="338"/>
        <v>27</v>
      </c>
      <c r="AI380" s="841">
        <f t="shared" si="338"/>
        <v>11</v>
      </c>
      <c r="AJ380" s="840">
        <f t="shared" si="338"/>
        <v>11</v>
      </c>
      <c r="AK380" s="841">
        <f t="shared" si="338"/>
        <v>6</v>
      </c>
      <c r="AL380" s="841">
        <f t="shared" si="338"/>
        <v>0</v>
      </c>
      <c r="AM380" s="842">
        <f t="shared" ref="AM380:AT380" si="339">AM612</f>
        <v>37</v>
      </c>
      <c r="AN380" s="862">
        <f>AM380+AN367</f>
        <v>37</v>
      </c>
      <c r="AO380" s="844">
        <f t="shared" si="339"/>
        <v>37</v>
      </c>
      <c r="AP380" s="862">
        <f>AO380+AP367</f>
        <v>37</v>
      </c>
      <c r="AQ380" s="862">
        <f>AP380+AQ367</f>
        <v>37</v>
      </c>
      <c r="AR380" s="862">
        <f>AQ380+AR367</f>
        <v>37</v>
      </c>
      <c r="AS380" s="862">
        <f>AR380+AS367</f>
        <v>37</v>
      </c>
      <c r="AT380" s="844">
        <f t="shared" si="339"/>
        <v>37</v>
      </c>
      <c r="AU380" s="863">
        <f>AT380+AU367</f>
        <v>37</v>
      </c>
      <c r="AV380" s="863">
        <f>AU380+AV367</f>
        <v>37</v>
      </c>
      <c r="AW380" s="863">
        <f>AV380+AW367</f>
        <v>37</v>
      </c>
      <c r="AX380" s="793"/>
    </row>
    <row r="381" spans="1:50" s="29" customFormat="1" x14ac:dyDescent="0.45">
      <c r="A381" s="793" t="s">
        <v>369</v>
      </c>
      <c r="B381" s="147"/>
      <c r="C381" s="840">
        <f t="shared" ref="C381:AL381" si="340">C613+C604</f>
        <v>0</v>
      </c>
      <c r="D381" s="840">
        <f t="shared" si="340"/>
        <v>0</v>
      </c>
      <c r="E381" s="840">
        <f t="shared" si="340"/>
        <v>0</v>
      </c>
      <c r="F381" s="840">
        <f t="shared" si="340"/>
        <v>0</v>
      </c>
      <c r="G381" s="841">
        <f t="shared" si="340"/>
        <v>0</v>
      </c>
      <c r="H381" s="841">
        <f t="shared" si="340"/>
        <v>0</v>
      </c>
      <c r="I381" s="841">
        <f t="shared" si="340"/>
        <v>0</v>
      </c>
      <c r="J381" s="841">
        <f t="shared" si="340"/>
        <v>0</v>
      </c>
      <c r="K381" s="840">
        <f t="shared" si="340"/>
        <v>0</v>
      </c>
      <c r="L381" s="841">
        <f t="shared" si="340"/>
        <v>0</v>
      </c>
      <c r="M381" s="841">
        <f t="shared" si="340"/>
        <v>0</v>
      </c>
      <c r="N381" s="841">
        <f t="shared" si="340"/>
        <v>0</v>
      </c>
      <c r="O381" s="841">
        <f t="shared" si="340"/>
        <v>0</v>
      </c>
      <c r="P381" s="840">
        <f t="shared" si="340"/>
        <v>0</v>
      </c>
      <c r="Q381" s="841">
        <f t="shared" si="340"/>
        <v>0</v>
      </c>
      <c r="R381" s="841">
        <f t="shared" si="340"/>
        <v>0</v>
      </c>
      <c r="S381" s="841">
        <f t="shared" si="340"/>
        <v>0</v>
      </c>
      <c r="T381" s="841">
        <f t="shared" si="340"/>
        <v>0</v>
      </c>
      <c r="U381" s="840">
        <f t="shared" si="340"/>
        <v>0</v>
      </c>
      <c r="V381" s="841">
        <f t="shared" si="340"/>
        <v>0</v>
      </c>
      <c r="W381" s="841">
        <f t="shared" si="340"/>
        <v>0</v>
      </c>
      <c r="X381" s="861">
        <f t="shared" si="340"/>
        <v>0</v>
      </c>
      <c r="Y381" s="841">
        <f t="shared" si="340"/>
        <v>0</v>
      </c>
      <c r="Z381" s="840">
        <f t="shared" si="340"/>
        <v>0</v>
      </c>
      <c r="AA381" s="841">
        <f t="shared" si="340"/>
        <v>0</v>
      </c>
      <c r="AB381" s="841">
        <f t="shared" si="340"/>
        <v>0</v>
      </c>
      <c r="AC381" s="861">
        <f t="shared" si="340"/>
        <v>0</v>
      </c>
      <c r="AD381" s="841">
        <f t="shared" si="340"/>
        <v>0</v>
      </c>
      <c r="AE381" s="840">
        <f t="shared" si="340"/>
        <v>0</v>
      </c>
      <c r="AF381" s="841">
        <f t="shared" si="340"/>
        <v>0</v>
      </c>
      <c r="AG381" s="841">
        <f t="shared" si="340"/>
        <v>0</v>
      </c>
      <c r="AH381" s="861">
        <f t="shared" si="340"/>
        <v>0</v>
      </c>
      <c r="AI381" s="841">
        <f t="shared" si="340"/>
        <v>0</v>
      </c>
      <c r="AJ381" s="840">
        <f t="shared" si="340"/>
        <v>0</v>
      </c>
      <c r="AK381" s="841">
        <f t="shared" si="340"/>
        <v>54.024999999999999</v>
      </c>
      <c r="AL381" s="841">
        <f t="shared" si="340"/>
        <v>51.569000000000003</v>
      </c>
      <c r="AM381" s="842">
        <f t="shared" ref="AM381:AW381" si="341">AM613+AM604</f>
        <v>49.62</v>
      </c>
      <c r="AN381" s="862">
        <f t="shared" si="341"/>
        <v>49.62</v>
      </c>
      <c r="AO381" s="844">
        <f t="shared" si="341"/>
        <v>49.62</v>
      </c>
      <c r="AP381" s="862">
        <f t="shared" si="341"/>
        <v>49.62</v>
      </c>
      <c r="AQ381" s="862">
        <f t="shared" si="341"/>
        <v>49.62</v>
      </c>
      <c r="AR381" s="862">
        <f t="shared" si="341"/>
        <v>49.62</v>
      </c>
      <c r="AS381" s="862">
        <f t="shared" si="341"/>
        <v>49.62</v>
      </c>
      <c r="AT381" s="844">
        <f t="shared" si="341"/>
        <v>49.62</v>
      </c>
      <c r="AU381" s="863">
        <f t="shared" si="341"/>
        <v>49.62</v>
      </c>
      <c r="AV381" s="863">
        <f t="shared" si="341"/>
        <v>49.62</v>
      </c>
      <c r="AW381" s="863">
        <f t="shared" si="341"/>
        <v>49.62</v>
      </c>
      <c r="AX381" s="793"/>
    </row>
    <row r="382" spans="1:50" s="29" customFormat="1" x14ac:dyDescent="0.45">
      <c r="A382" s="793" t="s">
        <v>104</v>
      </c>
      <c r="B382" s="147"/>
      <c r="C382" s="840">
        <f t="shared" ref="C382:AW382" si="342">C380+C381-C377</f>
        <v>-91.769000000000005</v>
      </c>
      <c r="D382" s="840">
        <f t="shared" si="342"/>
        <v>-117.73700000000001</v>
      </c>
      <c r="E382" s="840">
        <f t="shared" si="342"/>
        <v>-139.43099999999998</v>
      </c>
      <c r="F382" s="840">
        <f t="shared" si="342"/>
        <v>-118.011</v>
      </c>
      <c r="G382" s="841">
        <f t="shared" si="342"/>
        <v>-130.02600000000001</v>
      </c>
      <c r="H382" s="841">
        <f t="shared" si="342"/>
        <v>-84.305000000000007</v>
      </c>
      <c r="I382" s="841">
        <f t="shared" si="342"/>
        <v>-93.989000000000004</v>
      </c>
      <c r="J382" s="841">
        <f t="shared" si="342"/>
        <v>-113.801</v>
      </c>
      <c r="K382" s="840">
        <f t="shared" si="342"/>
        <v>-113.801</v>
      </c>
      <c r="L382" s="841">
        <f t="shared" si="342"/>
        <v>-116.435</v>
      </c>
      <c r="M382" s="841">
        <f t="shared" si="342"/>
        <v>-123.51600000000001</v>
      </c>
      <c r="N382" s="841">
        <f t="shared" si="342"/>
        <v>-124.822</v>
      </c>
      <c r="O382" s="841">
        <f t="shared" si="342"/>
        <v>-130.58500000000001</v>
      </c>
      <c r="P382" s="840">
        <f t="shared" si="342"/>
        <v>-130.58500000000001</v>
      </c>
      <c r="Q382" s="841">
        <f t="shared" si="342"/>
        <v>-116.797</v>
      </c>
      <c r="R382" s="841">
        <f t="shared" si="342"/>
        <v>-110.777</v>
      </c>
      <c r="S382" s="841">
        <f t="shared" si="342"/>
        <v>-104.81299999999999</v>
      </c>
      <c r="T382" s="841">
        <f t="shared" si="342"/>
        <v>68.527000000000001</v>
      </c>
      <c r="U382" s="840">
        <f t="shared" si="342"/>
        <v>68.527000000000001</v>
      </c>
      <c r="V382" s="841">
        <f t="shared" si="342"/>
        <v>61.650999999999996</v>
      </c>
      <c r="W382" s="841">
        <f t="shared" si="342"/>
        <v>21.754000000000001</v>
      </c>
      <c r="X382" s="861">
        <f t="shared" si="342"/>
        <v>1.0060000000000002</v>
      </c>
      <c r="Y382" s="841">
        <f t="shared" si="342"/>
        <v>-22.673000000000002</v>
      </c>
      <c r="Z382" s="840">
        <f t="shared" si="342"/>
        <v>-22.673000000000002</v>
      </c>
      <c r="AA382" s="841">
        <f t="shared" si="342"/>
        <v>21.663</v>
      </c>
      <c r="AB382" s="841">
        <f t="shared" si="342"/>
        <v>28.446999999999999</v>
      </c>
      <c r="AC382" s="861">
        <f t="shared" si="342"/>
        <v>15.640999999999998</v>
      </c>
      <c r="AD382" s="841">
        <f t="shared" si="342"/>
        <v>8.1550000000000011</v>
      </c>
      <c r="AE382" s="840">
        <f t="shared" si="342"/>
        <v>8.1550000000000011</v>
      </c>
      <c r="AF382" s="841">
        <f t="shared" si="342"/>
        <v>17.456</v>
      </c>
      <c r="AG382" s="841">
        <f t="shared" si="342"/>
        <v>9.6129999999999995</v>
      </c>
      <c r="AH382" s="861">
        <f t="shared" si="342"/>
        <v>-3.0539999999999985</v>
      </c>
      <c r="AI382" s="841">
        <f t="shared" si="342"/>
        <v>-22.079000000000001</v>
      </c>
      <c r="AJ382" s="840">
        <f t="shared" si="342"/>
        <v>-22.079000000000001</v>
      </c>
      <c r="AK382" s="841">
        <f t="shared" si="342"/>
        <v>31.417999999999999</v>
      </c>
      <c r="AL382" s="841">
        <f t="shared" si="342"/>
        <v>8.6390000000000029</v>
      </c>
      <c r="AM382" s="842">
        <f t="shared" si="342"/>
        <v>59.830000000000005</v>
      </c>
      <c r="AN382" s="862">
        <f t="shared" ca="1" si="342"/>
        <v>50.177296884650261</v>
      </c>
      <c r="AO382" s="844">
        <f t="shared" ca="1" si="342"/>
        <v>50.177296884650261</v>
      </c>
      <c r="AP382" s="862">
        <f t="shared" ca="1" si="342"/>
        <v>38.375632151189002</v>
      </c>
      <c r="AQ382" s="862">
        <f t="shared" ca="1" si="342"/>
        <v>23.317110468842465</v>
      </c>
      <c r="AR382" s="862">
        <f t="shared" ca="1" si="342"/>
        <v>9.7722338898186507</v>
      </c>
      <c r="AS382" s="862">
        <f t="shared" ca="1" si="342"/>
        <v>-3.7017450207180218</v>
      </c>
      <c r="AT382" s="844">
        <f t="shared" ca="1" si="342"/>
        <v>-3.7017450207180218</v>
      </c>
      <c r="AU382" s="863">
        <f t="shared" ca="1" si="342"/>
        <v>-60.545270824483794</v>
      </c>
      <c r="AV382" s="863">
        <f t="shared" ca="1" si="342"/>
        <v>-117.767124784467</v>
      </c>
      <c r="AW382" s="863">
        <f t="shared" ca="1" si="342"/>
        <v>-177.54191583222962</v>
      </c>
      <c r="AX382" s="793"/>
    </row>
    <row r="383" spans="1:50" s="29" customFormat="1" x14ac:dyDescent="0.45">
      <c r="A383" s="793"/>
      <c r="B383" s="147"/>
      <c r="C383" s="840"/>
      <c r="D383" s="840"/>
      <c r="E383" s="840"/>
      <c r="F383" s="840"/>
      <c r="G383" s="841"/>
      <c r="H383" s="841"/>
      <c r="I383" s="841"/>
      <c r="J383" s="841"/>
      <c r="K383" s="840"/>
      <c r="L383" s="841"/>
      <c r="M383" s="841"/>
      <c r="N383" s="841"/>
      <c r="O383" s="841"/>
      <c r="P383" s="840"/>
      <c r="Q383" s="841"/>
      <c r="R383" s="841"/>
      <c r="S383" s="841"/>
      <c r="T383" s="841"/>
      <c r="U383" s="840"/>
      <c r="V383" s="841"/>
      <c r="W383" s="841"/>
      <c r="X383" s="861"/>
      <c r="Y383" s="841"/>
      <c r="Z383" s="840"/>
      <c r="AA383" s="841"/>
      <c r="AB383" s="841"/>
      <c r="AC383" s="861"/>
      <c r="AD383" s="841"/>
      <c r="AE383" s="840"/>
      <c r="AF383" s="841"/>
      <c r="AG383" s="841"/>
      <c r="AH383" s="861"/>
      <c r="AI383" s="841"/>
      <c r="AJ383" s="840"/>
      <c r="AK383" s="841"/>
      <c r="AL383" s="841"/>
      <c r="AM383" s="842"/>
      <c r="AN383" s="862"/>
      <c r="AO383" s="844"/>
      <c r="AP383" s="862"/>
      <c r="AQ383" s="862"/>
      <c r="AR383" s="862"/>
      <c r="AS383" s="862"/>
      <c r="AT383" s="844"/>
      <c r="AU383" s="863"/>
      <c r="AV383" s="863"/>
      <c r="AW383" s="863"/>
      <c r="AX383" s="793"/>
    </row>
    <row r="384" spans="1:50" s="29" customFormat="1" x14ac:dyDescent="0.45">
      <c r="A384" s="793" t="s">
        <v>602</v>
      </c>
      <c r="B384" s="147"/>
      <c r="C384" s="815">
        <f t="shared" ref="C384:AM384" si="343">C324</f>
        <v>0</v>
      </c>
      <c r="D384" s="815">
        <f t="shared" si="343"/>
        <v>0</v>
      </c>
      <c r="E384" s="815">
        <f t="shared" si="343"/>
        <v>0</v>
      </c>
      <c r="F384" s="815">
        <f t="shared" si="343"/>
        <v>0</v>
      </c>
      <c r="G384" s="816">
        <f t="shared" si="343"/>
        <v>0</v>
      </c>
      <c r="H384" s="816">
        <f t="shared" si="343"/>
        <v>0</v>
      </c>
      <c r="I384" s="816">
        <f t="shared" si="343"/>
        <v>0</v>
      </c>
      <c r="J384" s="816">
        <f t="shared" si="343"/>
        <v>0</v>
      </c>
      <c r="K384" s="815">
        <f t="shared" si="343"/>
        <v>0</v>
      </c>
      <c r="L384" s="816">
        <f t="shared" si="343"/>
        <v>0</v>
      </c>
      <c r="M384" s="816">
        <f t="shared" si="343"/>
        <v>0</v>
      </c>
      <c r="N384" s="816">
        <f t="shared" si="343"/>
        <v>0</v>
      </c>
      <c r="O384" s="816">
        <f t="shared" si="343"/>
        <v>0</v>
      </c>
      <c r="P384" s="815">
        <f t="shared" si="343"/>
        <v>0</v>
      </c>
      <c r="Q384" s="816">
        <f t="shared" si="343"/>
        <v>0</v>
      </c>
      <c r="R384" s="816">
        <f t="shared" si="343"/>
        <v>0</v>
      </c>
      <c r="S384" s="816">
        <f t="shared" si="343"/>
        <v>0</v>
      </c>
      <c r="T384" s="816">
        <f t="shared" si="343"/>
        <v>1.2949999999999999</v>
      </c>
      <c r="U384" s="815">
        <f t="shared" si="343"/>
        <v>1.304</v>
      </c>
      <c r="V384" s="816">
        <f t="shared" si="343"/>
        <v>1.0129999999999999</v>
      </c>
      <c r="W384" s="816">
        <f t="shared" si="343"/>
        <v>0.80300000000000005</v>
      </c>
      <c r="X384" s="930">
        <f t="shared" si="343"/>
        <v>0.629</v>
      </c>
      <c r="Y384" s="816">
        <f t="shared" si="343"/>
        <v>0.71099999999999997</v>
      </c>
      <c r="Z384" s="815">
        <f t="shared" si="343"/>
        <v>3.1560000000000001</v>
      </c>
      <c r="AA384" s="816">
        <f t="shared" si="343"/>
        <v>0.67700000000000005</v>
      </c>
      <c r="AB384" s="816">
        <f t="shared" si="343"/>
        <v>0.84</v>
      </c>
      <c r="AC384" s="930">
        <f t="shared" si="343"/>
        <v>0.73299999999999998</v>
      </c>
      <c r="AD384" s="816">
        <f t="shared" si="343"/>
        <v>1.073</v>
      </c>
      <c r="AE384" s="815">
        <f t="shared" si="343"/>
        <v>3.323</v>
      </c>
      <c r="AF384" s="816">
        <f t="shared" si="343"/>
        <v>0.73</v>
      </c>
      <c r="AG384" s="816">
        <f t="shared" si="343"/>
        <v>0.76900000000000002</v>
      </c>
      <c r="AH384" s="930">
        <f t="shared" si="343"/>
        <v>0.72</v>
      </c>
      <c r="AI384" s="816">
        <f t="shared" si="343"/>
        <v>0.59499999999999997</v>
      </c>
      <c r="AJ384" s="815">
        <f t="shared" si="343"/>
        <v>2.8140000000000001</v>
      </c>
      <c r="AK384" s="816">
        <f t="shared" si="343"/>
        <v>0.47199999999999998</v>
      </c>
      <c r="AL384" s="816">
        <f t="shared" si="343"/>
        <v>0.38700000000000001</v>
      </c>
      <c r="AM384" s="817">
        <f t="shared" si="343"/>
        <v>0.435</v>
      </c>
      <c r="AN384" s="931">
        <f>AN385*AVERAGE(AM380,AN380)*AN3/AO3</f>
        <v>0.8647486338797814</v>
      </c>
      <c r="AO384" s="819">
        <f>IF(OR(ISBLANK(AK384),ISBLANK(AL384),ISBLANK(AM384),ISBLANK(AN384)),"n/a",SUM(AK384,AL384,AM384,AN384))</f>
        <v>2.1587486338797817</v>
      </c>
      <c r="AP384" s="931">
        <f>AP385*AVERAGE(AO380,AP380)*AP3/AT3</f>
        <v>0.86711780821917805</v>
      </c>
      <c r="AQ384" s="931">
        <f>AQ385*AVERAGE(AP380,AQ380)*AQ3/AT3</f>
        <v>0.87664657534246571</v>
      </c>
      <c r="AR384" s="931">
        <f>AR385*AVERAGE(AQ380,AR380)*AR3/AT3</f>
        <v>0.87664657534246571</v>
      </c>
      <c r="AS384" s="931">
        <f>AS385*AVERAGE(AR380,AS380)*AS3/AT3</f>
        <v>0.85758904109589051</v>
      </c>
      <c r="AT384" s="819">
        <f>IF(OR(ISBLANK(AP384),ISBLANK(AQ384),ISBLANK(AR384),ISBLANK(AS384)),"n/a",SUM(AP384,AQ384,AR384,AS384))</f>
        <v>3.4780000000000002</v>
      </c>
      <c r="AU384" s="932">
        <f>AU385*AVERAGE(AT380,AU380)</f>
        <v>3.4780000000000002</v>
      </c>
      <c r="AV384" s="932">
        <f>AV385*AVERAGE(AU380,AV380)</f>
        <v>3.4780000000000002</v>
      </c>
      <c r="AW384" s="932">
        <f>AW385*AVERAGE(AV380,AW380)</f>
        <v>3.4780000000000002</v>
      </c>
      <c r="AX384" s="793"/>
    </row>
    <row r="385" spans="1:50" s="29" customFormat="1" x14ac:dyDescent="0.45">
      <c r="A385" s="795" t="s">
        <v>603</v>
      </c>
      <c r="B385" s="69"/>
      <c r="C385" s="405"/>
      <c r="D385" s="405" t="str">
        <f>IFERROR(D384/AVERAGE(C380,D380),"n/a")</f>
        <v>n/a</v>
      </c>
      <c r="E385" s="405" t="str">
        <f>IFERROR(E384/AVERAGE(D380,E380),"n/a")</f>
        <v>n/a</v>
      </c>
      <c r="F385" s="405" t="str">
        <f>IFERROR(F384/AVERAGE(E380,F380),"n/a")</f>
        <v>n/a</v>
      </c>
      <c r="G385" s="371" t="str">
        <f>IFERROR(G384/AVERAGE(F380,G380)*K3/G3,"n/a")</f>
        <v>n/a</v>
      </c>
      <c r="H385" s="371" t="str">
        <f>IFERROR(H384/AVERAGE(G380,H380)*K3/H3,"n/a")</f>
        <v>n/a</v>
      </c>
      <c r="I385" s="371" t="str">
        <f>IFERROR(I384/AVERAGE(H380,I380)*K3/I3,"n/a")</f>
        <v>n/a</v>
      </c>
      <c r="J385" s="371" t="str">
        <f>IFERROR(J384/AVERAGE(I380,J380)*K3/J3,"n/a")</f>
        <v>n/a</v>
      </c>
      <c r="K385" s="405" t="str">
        <f>IFERROR(K384/AVERAGE(G380,H380,I380,J380),"n/a")</f>
        <v>n/a</v>
      </c>
      <c r="L385" s="371" t="str">
        <f>IFERROR(L384/AVERAGE(K380,L380)*P3/L3,"n/a")</f>
        <v>n/a</v>
      </c>
      <c r="M385" s="371" t="str">
        <f>IFERROR(M384/AVERAGE(L380,M380)*P3/M3,"n/a")</f>
        <v>n/a</v>
      </c>
      <c r="N385" s="371" t="str">
        <f>IFERROR(N384/AVERAGE(M380,N380)*P3/N3,"n/a")</f>
        <v>n/a</v>
      </c>
      <c r="O385" s="371" t="str">
        <f>IFERROR(O384/AVERAGE(N380,O380)*P3/O3,"n/a")</f>
        <v>n/a</v>
      </c>
      <c r="P385" s="405" t="str">
        <f>IFERROR(P384/AVERAGE(L380,M380,N380,O380),"n/a")</f>
        <v>n/a</v>
      </c>
      <c r="Q385" s="371" t="str">
        <f>IFERROR(Q384/AVERAGE(P380,Q380)*U3/Q3,"n/a")</f>
        <v>n/a</v>
      </c>
      <c r="R385" s="371" t="str">
        <f>IFERROR(R384/AVERAGE(Q380,R380)*U3/R3,"n/a")</f>
        <v>n/a</v>
      </c>
      <c r="S385" s="371" t="str">
        <f>IFERROR(S384/AVERAGE(R380,S380)*U3/S3,"n/a")</f>
        <v>n/a</v>
      </c>
      <c r="T385" s="371">
        <f>IFERROR(T384/AVERAGE(S380,T380)*U3/T3,"n/a")</f>
        <v>9.9208791208791211E-2</v>
      </c>
      <c r="U385" s="405">
        <f>IFERROR(U384/AVERAGE(Q380,R380,S380,T380),"n/a")</f>
        <v>4.9676190476190478E-2</v>
      </c>
      <c r="V385" s="371">
        <f>IFERROR(V384/AVERAGE(U380,V380)*Z3/V3,"n/a")</f>
        <v>4.2104993452143705E-2</v>
      </c>
      <c r="W385" s="371">
        <f>IFERROR(W384/AVERAGE(V380,W380)*Z3/W3,"n/a")</f>
        <v>4.6850223785166241E-2</v>
      </c>
      <c r="X385" s="374">
        <f>IFERROR(X384/AVERAGE(W380,X380)*Z3/X3,"n/a")</f>
        <v>6.8369565217391307E-2</v>
      </c>
      <c r="Y385" s="371">
        <f>IFERROR(Y384/AVERAGE(X380,Y380)*Z3/Y3,"n/a")</f>
        <v>0.144175</v>
      </c>
      <c r="Z385" s="405">
        <f>IFERROR(Z384/AVERAGE(V380,W380,X380,Y380),"n/a")</f>
        <v>7.1727272727272737E-2</v>
      </c>
      <c r="AA385" s="371">
        <f>IFERROR(AA384/AVERAGE(Z380,AA380)*AE3/AA3,"n/a")</f>
        <v>9.0514652014652031E-2</v>
      </c>
      <c r="AB385" s="371">
        <f>IFERROR(AB384/AVERAGE(AA380,AB380)*AE3/AB3,"n/a")</f>
        <v>6.6652173913043469E-2</v>
      </c>
      <c r="AC385" s="374">
        <f>IFERROR(AC384/AVERAGE(AB380,AC380)*AE3/AC3,"n/a")</f>
        <v>6.1874421831637376E-2</v>
      </c>
      <c r="AD385" s="371">
        <f>IFERROR(AD384/AVERAGE(AC380,AD380)*AE3/AD3,"n/a")</f>
        <v>0.11451608187134503</v>
      </c>
      <c r="AE385" s="405">
        <f>IFERROR(AE384/AVERAGE(AA380,AB380,AC380,AD380),"n/a")</f>
        <v>7.5522727272727269E-2</v>
      </c>
      <c r="AF385" s="371">
        <f>IFERROR(AF384/AVERAGE(AE380,AF380)*AJ3/AF3,"n/a")</f>
        <v>7.2296838963505639E-2</v>
      </c>
      <c r="AG385" s="371">
        <f>IFERROR(AG384/AVERAGE(AF380,AG380)*AJ3/AG3,"n/a")</f>
        <v>7.0951718907987876E-2</v>
      </c>
      <c r="AH385" s="374">
        <f>IFERROR(AH384/AVERAGE(AG380,AH380)*AJ3/AH3,"n/a")</f>
        <v>8.2797731568998098E-2</v>
      </c>
      <c r="AI385" s="371">
        <f>IFERROR(AI384/AVERAGE(AH380,AI380)*AJ3/AI3,"n/a")</f>
        <v>0.12700292397660817</v>
      </c>
      <c r="AJ385" s="405">
        <f>IFERROR(AJ384/AVERAGE(AF380,AG380,AH380,AI380),"n/a")</f>
        <v>9.0774193548387103E-2</v>
      </c>
      <c r="AK385" s="371">
        <f>IFERROR(AK384/AVERAGE(AJ380,AK380)*AO3/AK3,"n/a")</f>
        <v>0.22333807369101488</v>
      </c>
      <c r="AL385" s="371">
        <f>IFERROR(AL384/AVERAGE(AK380,AL380)*AO3/AL3,"n/a")</f>
        <v>0.51319565217391305</v>
      </c>
      <c r="AM385" s="565">
        <f>IFERROR(AM384/AVERAGE(AL380,AM380)*AO3/AM3,"n/a")</f>
        <v>9.3542890716803759E-2</v>
      </c>
      <c r="AN385" s="199">
        <v>9.4E-2</v>
      </c>
      <c r="AO385" s="4">
        <f>IFERROR(AO384/AVERAGE(AK380,AL380,AM380,AN380),"n/a")</f>
        <v>0.10793743169398909</v>
      </c>
      <c r="AP385" s="199">
        <v>9.4E-2</v>
      </c>
      <c r="AQ385" s="199">
        <v>9.4E-2</v>
      </c>
      <c r="AR385" s="199">
        <v>9.4E-2</v>
      </c>
      <c r="AS385" s="199">
        <v>9.4E-2</v>
      </c>
      <c r="AT385" s="4">
        <f>IFERROR(AT384/AVERAGE(AP380,AQ380,AR380,AS380),"n/a")</f>
        <v>9.4E-2</v>
      </c>
      <c r="AU385" s="26">
        <v>9.4E-2</v>
      </c>
      <c r="AV385" s="26">
        <v>9.4E-2</v>
      </c>
      <c r="AW385" s="26">
        <v>9.4E-2</v>
      </c>
      <c r="AX385" s="793"/>
    </row>
    <row r="386" spans="1:50" s="29" customFormat="1" x14ac:dyDescent="0.45">
      <c r="A386" s="797" t="s">
        <v>604</v>
      </c>
      <c r="B386" s="149"/>
      <c r="C386" s="924">
        <f t="shared" ref="C386:AM386" si="344">-C325</f>
        <v>0.22600000000000001</v>
      </c>
      <c r="D386" s="924">
        <f t="shared" si="344"/>
        <v>0.26300000000000001</v>
      </c>
      <c r="E386" s="924">
        <f t="shared" si="344"/>
        <v>0.247</v>
      </c>
      <c r="F386" s="924">
        <f t="shared" si="344"/>
        <v>-0.107</v>
      </c>
      <c r="G386" s="930">
        <f t="shared" si="344"/>
        <v>3.1E-2</v>
      </c>
      <c r="H386" s="930">
        <f t="shared" si="344"/>
        <v>-0.20499999999999999</v>
      </c>
      <c r="I386" s="930">
        <f t="shared" si="344"/>
        <v>0.121</v>
      </c>
      <c r="J386" s="930">
        <f t="shared" si="344"/>
        <v>0.32200000000000001</v>
      </c>
      <c r="K386" s="924">
        <f t="shared" si="344"/>
        <v>0.26900000000000002</v>
      </c>
      <c r="L386" s="930">
        <f t="shared" si="344"/>
        <v>5.3999999999999999E-2</v>
      </c>
      <c r="M386" s="930">
        <f t="shared" si="344"/>
        <v>6.9000000000000006E-2</v>
      </c>
      <c r="N386" s="930">
        <f t="shared" si="344"/>
        <v>-8.2000000000000003E-2</v>
      </c>
      <c r="O386" s="930">
        <f t="shared" si="344"/>
        <v>-0.27100000000000002</v>
      </c>
      <c r="P386" s="924">
        <f t="shared" si="344"/>
        <v>-0.23000000000000004</v>
      </c>
      <c r="Q386" s="930">
        <f t="shared" si="344"/>
        <v>0.30199999999999999</v>
      </c>
      <c r="R386" s="930">
        <f t="shared" si="344"/>
        <v>4.0999999999999995E-2</v>
      </c>
      <c r="S386" s="930">
        <f t="shared" si="344"/>
        <v>4.9000000000000002E-2</v>
      </c>
      <c r="T386" s="930">
        <f t="shared" si="344"/>
        <v>2.7E-2</v>
      </c>
      <c r="U386" s="924">
        <f t="shared" si="344"/>
        <v>0.42799999999999999</v>
      </c>
      <c r="V386" s="930">
        <f t="shared" si="344"/>
        <v>8.0000000000000002E-3</v>
      </c>
      <c r="W386" s="930">
        <f t="shared" si="344"/>
        <v>1E-3</v>
      </c>
      <c r="X386" s="930">
        <f t="shared" si="344"/>
        <v>0</v>
      </c>
      <c r="Y386" s="930">
        <f t="shared" si="344"/>
        <v>5.0000000000000001E-3</v>
      </c>
      <c r="Z386" s="924">
        <f t="shared" si="344"/>
        <v>1.4E-2</v>
      </c>
      <c r="AA386" s="930">
        <f t="shared" si="344"/>
        <v>8.9999999999999993E-3</v>
      </c>
      <c r="AB386" s="930">
        <f t="shared" si="344"/>
        <v>1.2E-2</v>
      </c>
      <c r="AC386" s="930">
        <f t="shared" si="344"/>
        <v>1.4999999999999999E-2</v>
      </c>
      <c r="AD386" s="930">
        <f t="shared" si="344"/>
        <v>1.9E-2</v>
      </c>
      <c r="AE386" s="924">
        <f t="shared" si="344"/>
        <v>5.5E-2</v>
      </c>
      <c r="AF386" s="930">
        <f t="shared" si="344"/>
        <v>2.9000000000000001E-2</v>
      </c>
      <c r="AG386" s="930">
        <f t="shared" si="344"/>
        <v>0.04</v>
      </c>
      <c r="AH386" s="930">
        <f t="shared" si="344"/>
        <v>4.3999999999999997E-2</v>
      </c>
      <c r="AI386" s="930">
        <f t="shared" si="344"/>
        <v>0.10299999999999999</v>
      </c>
      <c r="AJ386" s="924">
        <f t="shared" si="344"/>
        <v>0.216</v>
      </c>
      <c r="AK386" s="930">
        <f t="shared" si="344"/>
        <v>7.9000000000000001E-2</v>
      </c>
      <c r="AL386" s="930">
        <f t="shared" si="344"/>
        <v>3.5999999999999997E-2</v>
      </c>
      <c r="AM386" s="933">
        <f t="shared" si="344"/>
        <v>0.03</v>
      </c>
      <c r="AN386" s="931">
        <f>AN387*AM377*AN3/AO3</f>
        <v>1.9982704918032786E-2</v>
      </c>
      <c r="AO386" s="932">
        <f>IF(OR(ISBLANK(AK386),ISBLANK(AL386),ISBLANK(AM386),ISBLANK(AN386)),"n/a",SUM(AK386,AL386,AM386,AN386))</f>
        <v>0.16498270491803277</v>
      </c>
      <c r="AP386" s="931">
        <f ca="1">AP387*AO377*AP3/AT3</f>
        <v>2.7257145069836935E-2</v>
      </c>
      <c r="AQ386" s="931">
        <f ca="1">AQ387*AP377*AQ3/AT3</f>
        <v>3.6480672674717364E-2</v>
      </c>
      <c r="AR386" s="931">
        <f ca="1">AR387*AQ377*AR3/AT3</f>
        <v>4.7867390439998582E-2</v>
      </c>
      <c r="AS386" s="931">
        <f ca="1">AS387*AR377*AS3/AT3</f>
        <v>5.6846292739038268E-2</v>
      </c>
      <c r="AT386" s="932">
        <f ca="1">IF(OR(ISBLANK(AP386),ISBLANK(AQ386),ISBLANK(AR386),ISBLANK(AS386)),"n/a",SUM(AP386,AQ386,AR386,AS386))</f>
        <v>0.16845150092359115</v>
      </c>
      <c r="AU386" s="932">
        <f ca="1">AU387*AT377</f>
        <v>0.27096523506215409</v>
      </c>
      <c r="AV386" s="932">
        <f ca="1">AV387*AU377</f>
        <v>0.44149581247345138</v>
      </c>
      <c r="AW386" s="932">
        <f ca="1">AW387*AV377</f>
        <v>0.61316137435340101</v>
      </c>
      <c r="AX386" s="793"/>
    </row>
    <row r="387" spans="1:50" s="29" customFormat="1" x14ac:dyDescent="0.45">
      <c r="A387" s="799" t="s">
        <v>605</v>
      </c>
      <c r="B387" s="106"/>
      <c r="C387" s="456"/>
      <c r="D387" s="456">
        <f>IFERROR(D386/AVERAGE(C377,D377),"n/a")</f>
        <v>2.5106679522304848E-3</v>
      </c>
      <c r="E387" s="456">
        <f>IFERROR(E386/AVERAGE(D377,E377),"n/a")</f>
        <v>1.9209232875007777E-3</v>
      </c>
      <c r="F387" s="456">
        <f>IFERROR(F386/AVERAGE(E377,F377),"n/a")</f>
        <v>-8.3125519534497081E-4</v>
      </c>
      <c r="G387" s="374">
        <f>IFERROR(G386/AVERAGE(F377,G377)*K3/G3,"n/a")</f>
        <v>1.0025976716430158E-3</v>
      </c>
      <c r="H387" s="374">
        <f>IFERROR(H386/AVERAGE(G377,H377)*K3/H3,"n/a")</f>
        <v>-7.5893381488567153E-3</v>
      </c>
      <c r="I387" s="374">
        <f>IFERROR(I386/AVERAGE(H377,I377)*K3/I3,"n/a")</f>
        <v>5.3849747924897854E-3</v>
      </c>
      <c r="J387" s="374">
        <f>IFERROR(J386/AVERAGE(I377,J377)*K3/J3,"n/a")</f>
        <v>1.2569314104517915E-2</v>
      </c>
      <c r="K387" s="456">
        <f>IFERROR(K386/AVERAGE(G377,H377,I377,J377),"n/a")</f>
        <v>2.5490321495495365E-3</v>
      </c>
      <c r="L387" s="374">
        <f>IFERROR(L386/AVERAGE(K377,L377)*P3/L3,"n/a")</f>
        <v>1.8814903541879342E-3</v>
      </c>
      <c r="M387" s="374">
        <f>IFERROR(M386/AVERAGE(L377,M377)*P3/M3,"n/a")</f>
        <v>2.28171585031944E-3</v>
      </c>
      <c r="N387" s="374">
        <f>IFERROR(N386/AVERAGE(M377,N377)*P3/N3,"n/a")</f>
        <v>-2.6200266327064061E-3</v>
      </c>
      <c r="O387" s="374">
        <f>IFERROR(O386/AVERAGE(N377,O377)*P3/O3,"n/a")</f>
        <v>-8.6063072316385665E-3</v>
      </c>
      <c r="P387" s="456">
        <f>IFERROR(P386/AVERAGE(L377,M377,N377,O377),"n/a")</f>
        <v>-1.8572426406760364E-3</v>
      </c>
      <c r="Q387" s="374">
        <f>IFERROR(Q386/AVERAGE(P377,Q377)*U3/Q3,"n/a")</f>
        <v>9.8199332420092211E-3</v>
      </c>
      <c r="R387" s="374">
        <f>IFERROR(R386/AVERAGE(Q377,R377)*U3/R3,"n/a")</f>
        <v>1.4334563320253975E-3</v>
      </c>
      <c r="S387" s="374">
        <f>IFERROR(S386/AVERAGE(R377,S377)*U3/S3,"n/a")</f>
        <v>1.8083842720784424E-3</v>
      </c>
      <c r="T387" s="374">
        <f>IFERROR(T386/AVERAGE(S377,T377)*U3/T3,"n/a")</f>
        <v>1.5372139715669859E-3</v>
      </c>
      <c r="U387" s="456">
        <f>IFERROR(U386/AVERAGE(Q377,R377,S377,T377),"n/a")</f>
        <v>4.6413273328634172E-3</v>
      </c>
      <c r="V387" s="374">
        <f>IFERROR(V386/AVERAGE(U377,V377)*Z3/V3,"n/a")</f>
        <v>1.0215501603868737E-3</v>
      </c>
      <c r="W387" s="374">
        <f>IFERROR(W386/AVERAGE(V377,W377)*Z3/W3,"n/a")</f>
        <v>1.5086572124148022E-4</v>
      </c>
      <c r="X387" s="374">
        <f>IFERROR(X386/AVERAGE(W377,X377)*Z3/X3,"n/a")</f>
        <v>0</v>
      </c>
      <c r="Y387" s="374">
        <f>IFERROR(Y386/AVERAGE(X377,Y377)*Z3/Y3,"n/a")</f>
        <v>6.5765410277061561E-4</v>
      </c>
      <c r="Z387" s="456">
        <f>IFERROR(Z386/AVERAGE(V377,W377,X377,Y377),"n/a")</f>
        <v>4.9010169610194112E-4</v>
      </c>
      <c r="AA387" s="374">
        <f>IFERROR(AA386/AVERAGE(Z377,AA377)*AE3/AA3,"n/a")</f>
        <v>1.1833765316800883E-3</v>
      </c>
      <c r="AB387" s="374">
        <f>IFERROR(AB386/AVERAGE(AA377,AB377)*AE3/AB3,"n/a")</f>
        <v>1.9085466286700306E-3</v>
      </c>
      <c r="AC387" s="374">
        <f>IFERROR(AC386/AVERAGE(AB377,AC377)*AE3/AC3,"n/a")</f>
        <v>2.3846317344613471E-3</v>
      </c>
      <c r="AD387" s="374">
        <f>IFERROR(AD386/AVERAGE(AC377,AD377)*AE3/AD3,"n/a")</f>
        <v>2.9520939221345322E-3</v>
      </c>
      <c r="AE387" s="456">
        <f>IFERROR(AE386/AVERAGE(AA377,AB377,AC377,AD377),"n/a")</f>
        <v>2.1548768781710975E-3</v>
      </c>
      <c r="AF387" s="374">
        <f>IFERROR(AF386/AVERAGE(AE377,AF377)*AJ3/AF3,"n/a")</f>
        <v>4.2000643203048017E-3</v>
      </c>
      <c r="AG387" s="374">
        <f>IFERROR(AG386/AVERAGE(AF377,AG377)*AJ3/AG3,"n/a")</f>
        <v>5.3858122948503518E-3</v>
      </c>
      <c r="AH387" s="374">
        <f>IFERROR(AH386/AVERAGE(AG377,AH377)*AJ3/AH3,"n/a")</f>
        <v>5.5913652052755189E-3</v>
      </c>
      <c r="AI387" s="374">
        <f>IFERROR(AI386/AVERAGE(AH377,AI377)*AJ3/AI3,"n/a")</f>
        <v>1.3233086411931074E-2</v>
      </c>
      <c r="AJ387" s="456">
        <f>IFERROR(AJ386/AVERAGE(AF377,AG377,AH377,AI377),"n/a")</f>
        <v>7.0782540306724342E-3</v>
      </c>
      <c r="AK387" s="374">
        <f>IFERROR(AK386/AVERAGE(AJ377,AK377)*AO3/AK3,"n/a")</f>
        <v>1.0301730173337994E-2</v>
      </c>
      <c r="AL387" s="374">
        <f>IFERROR(AL386/AVERAGE(AK377,AL377)*AO3/AL3,"n/a")</f>
        <v>4.0040088710554759E-3</v>
      </c>
      <c r="AM387" s="644">
        <f>IFERROR(AM386/AVERAGE(AL377,AM377)*AO3/AM3,"n/a")</f>
        <v>3.4236324178702386E-3</v>
      </c>
      <c r="AN387" s="199">
        <v>3.0000000000000001E-3</v>
      </c>
      <c r="AO387" s="81">
        <f ca="1">IFERROR(AO386/AVERAGE(AK377,AL377,AM377,AN377),"n/a")</f>
        <v>4.8967297873120236E-3</v>
      </c>
      <c r="AP387" s="199">
        <v>3.0000000000000001E-3</v>
      </c>
      <c r="AQ387" s="199">
        <v>3.0000000000000001E-3</v>
      </c>
      <c r="AR387" s="199">
        <v>3.0000000000000001E-3</v>
      </c>
      <c r="AS387" s="199">
        <v>3.0000000000000001E-3</v>
      </c>
      <c r="AT387" s="81">
        <f ca="1">IFERROR(AT386/AVERAGE(AP377,AQ377,AR377,AS377),"n/a")</f>
        <v>2.4175294773055287E-3</v>
      </c>
      <c r="AU387" s="26">
        <v>3.0000000000000001E-3</v>
      </c>
      <c r="AV387" s="26">
        <v>3.0000000000000001E-3</v>
      </c>
      <c r="AW387" s="26">
        <v>3.0000000000000001E-3</v>
      </c>
      <c r="AX387" s="793"/>
    </row>
    <row r="388" spans="1:50" s="29" customFormat="1" hidden="1" outlineLevel="1" x14ac:dyDescent="0.45">
      <c r="A388" s="797" t="s">
        <v>606</v>
      </c>
      <c r="B388" s="149"/>
      <c r="C388" s="924">
        <f t="shared" ref="C388:AN388" si="345">IFERROR(C384-C386,"n/a")</f>
        <v>-0.22600000000000001</v>
      </c>
      <c r="D388" s="924">
        <f t="shared" si="345"/>
        <v>-0.26300000000000001</v>
      </c>
      <c r="E388" s="924">
        <f t="shared" si="345"/>
        <v>-0.247</v>
      </c>
      <c r="F388" s="924">
        <f t="shared" si="345"/>
        <v>0.107</v>
      </c>
      <c r="G388" s="930">
        <f t="shared" si="345"/>
        <v>-3.1E-2</v>
      </c>
      <c r="H388" s="930">
        <f t="shared" si="345"/>
        <v>0.20499999999999999</v>
      </c>
      <c r="I388" s="930">
        <f t="shared" si="345"/>
        <v>-0.121</v>
      </c>
      <c r="J388" s="930">
        <f t="shared" si="345"/>
        <v>-0.32200000000000001</v>
      </c>
      <c r="K388" s="924">
        <f t="shared" si="345"/>
        <v>-0.26900000000000002</v>
      </c>
      <c r="L388" s="930">
        <f t="shared" si="345"/>
        <v>-5.3999999999999999E-2</v>
      </c>
      <c r="M388" s="930">
        <f t="shared" si="345"/>
        <v>-6.9000000000000006E-2</v>
      </c>
      <c r="N388" s="930">
        <f t="shared" si="345"/>
        <v>8.2000000000000003E-2</v>
      </c>
      <c r="O388" s="930">
        <f t="shared" si="345"/>
        <v>0.27100000000000002</v>
      </c>
      <c r="P388" s="924">
        <f t="shared" si="345"/>
        <v>0.23000000000000004</v>
      </c>
      <c r="Q388" s="930">
        <f t="shared" si="345"/>
        <v>-0.30199999999999999</v>
      </c>
      <c r="R388" s="930">
        <f t="shared" si="345"/>
        <v>-4.0999999999999995E-2</v>
      </c>
      <c r="S388" s="930">
        <f t="shared" si="345"/>
        <v>-4.9000000000000002E-2</v>
      </c>
      <c r="T388" s="930">
        <f t="shared" si="345"/>
        <v>1.268</v>
      </c>
      <c r="U388" s="924">
        <f t="shared" si="345"/>
        <v>0.87600000000000011</v>
      </c>
      <c r="V388" s="930">
        <f t="shared" si="345"/>
        <v>1.0049999999999999</v>
      </c>
      <c r="W388" s="930">
        <f t="shared" si="345"/>
        <v>0.80200000000000005</v>
      </c>
      <c r="X388" s="930">
        <f t="shared" si="345"/>
        <v>0.629</v>
      </c>
      <c r="Y388" s="930">
        <f t="shared" si="345"/>
        <v>0.70599999999999996</v>
      </c>
      <c r="Z388" s="924">
        <f t="shared" si="345"/>
        <v>3.1420000000000003</v>
      </c>
      <c r="AA388" s="930">
        <f t="shared" si="345"/>
        <v>0.66800000000000004</v>
      </c>
      <c r="AB388" s="930">
        <f t="shared" si="345"/>
        <v>0.82799999999999996</v>
      </c>
      <c r="AC388" s="930">
        <f t="shared" si="345"/>
        <v>0.71799999999999997</v>
      </c>
      <c r="AD388" s="930">
        <f t="shared" si="345"/>
        <v>1.054</v>
      </c>
      <c r="AE388" s="924">
        <f t="shared" si="345"/>
        <v>3.2679999999999998</v>
      </c>
      <c r="AF388" s="930">
        <f t="shared" si="345"/>
        <v>0.70099999999999996</v>
      </c>
      <c r="AG388" s="930">
        <f t="shared" si="345"/>
        <v>0.72899999999999998</v>
      </c>
      <c r="AH388" s="930">
        <f t="shared" si="345"/>
        <v>0.67599999999999993</v>
      </c>
      <c r="AI388" s="930">
        <f t="shared" si="345"/>
        <v>0.49199999999999999</v>
      </c>
      <c r="AJ388" s="924">
        <f t="shared" si="345"/>
        <v>2.5979999999999999</v>
      </c>
      <c r="AK388" s="930">
        <f t="shared" si="345"/>
        <v>0.39299999999999996</v>
      </c>
      <c r="AL388" s="930">
        <f t="shared" si="345"/>
        <v>0.35100000000000003</v>
      </c>
      <c r="AM388" s="933">
        <f t="shared" si="345"/>
        <v>0.40500000000000003</v>
      </c>
      <c r="AN388" s="931">
        <f t="shared" si="345"/>
        <v>0.84476592896174862</v>
      </c>
      <c r="AO388" s="932">
        <f>SUM(AK388,AL388,AM388,AN388)</f>
        <v>1.9937659289617486</v>
      </c>
      <c r="AP388" s="931">
        <f ca="1">IFERROR(AP384-AP386,"n/a")</f>
        <v>0.83986066314934116</v>
      </c>
      <c r="AQ388" s="931">
        <f ca="1">IFERROR(AQ384-AQ386,"n/a")</f>
        <v>0.84016590266774838</v>
      </c>
      <c r="AR388" s="931">
        <f ca="1">IFERROR(AR384-AR386,"n/a")</f>
        <v>0.82877918490246716</v>
      </c>
      <c r="AS388" s="931">
        <f ca="1">IFERROR(AS384-AS386,"n/a")</f>
        <v>0.80074274835685222</v>
      </c>
      <c r="AT388" s="932">
        <f ca="1">SUM(AP388,AQ388,AR388,AS388)</f>
        <v>3.3095484990764086</v>
      </c>
      <c r="AU388" s="932">
        <f ca="1">IFERROR(AU384-AU386,"n/a")</f>
        <v>3.2070347649378461</v>
      </c>
      <c r="AV388" s="932">
        <f ca="1">IFERROR(AV384-AV386,"n/a")</f>
        <v>3.0365041875265488</v>
      </c>
      <c r="AW388" s="932">
        <f ca="1">IFERROR(AW384-AW386,"n/a")</f>
        <v>2.8648386256465992</v>
      </c>
      <c r="AX388" s="793"/>
    </row>
    <row r="389" spans="1:50" s="29" customFormat="1" hidden="1" outlineLevel="1" x14ac:dyDescent="0.45">
      <c r="A389" s="799" t="s">
        <v>607</v>
      </c>
      <c r="B389" s="106"/>
      <c r="C389" s="456"/>
      <c r="D389" s="456" t="str">
        <f>IFERROR(IF(D388/AVERAGE(C380,D380)&lt;0,"n/a",D388/AVERAGE(C380,D380)),"n/a")</f>
        <v>n/a</v>
      </c>
      <c r="E389" s="456" t="str">
        <f>IFERROR(IF(E388/AVERAGE(D380,E380)&lt;0,"n/a",E388/AVERAGE(D380,E380)),"n/a")</f>
        <v>n/a</v>
      </c>
      <c r="F389" s="456" t="str">
        <f>IFERROR(IF(F388/AVERAGE(E380,F380)&lt;0,"n/a",F388/AVERAGE(E380,F380)),"n/a")</f>
        <v>n/a</v>
      </c>
      <c r="G389" s="374" t="str">
        <f>IFERROR(IF(G388/AVERAGE(F380,G380)&lt;0,"n/a",G388/AVERAGE(F380,G380)*K3/G3),"n/a")</f>
        <v>n/a</v>
      </c>
      <c r="H389" s="374" t="str">
        <f>IFERROR(IF(H388/AVERAGE(G380,H380)&lt;0,"n/a",H388/AVERAGE(G380,H380)*K3/H3),"n/a")</f>
        <v>n/a</v>
      </c>
      <c r="I389" s="374" t="str">
        <f>IFERROR(IF(I388/AVERAGE(H380,I380)&lt;0,"n/a",I388/AVERAGE(H380,I380)*K3/I3),"n/a")</f>
        <v>n/a</v>
      </c>
      <c r="J389" s="374" t="str">
        <f>IFERROR(IF(J388/AVERAGE(I380,J380)&lt;0,"n/a",J388/AVERAGE(I380,J380)*K3/J3),"n/a")</f>
        <v>n/a</v>
      </c>
      <c r="K389" s="456" t="str">
        <f>IFERROR(IF(K388/AVERAGE(G380,H380,I380,J380)&lt;0,"n/a",K388/AVERAGE(G380,H380,I380,J380)),"n/a")</f>
        <v>n/a</v>
      </c>
      <c r="L389" s="374" t="str">
        <f>IFERROR(IF(L388/AVERAGE(K380,L380)&lt;0,"n/a",L388/AVERAGE(K380,L380)*P3/L3),"n/a")</f>
        <v>n/a</v>
      </c>
      <c r="M389" s="374" t="str">
        <f>IFERROR(IF(M388/AVERAGE(L380,M380)&lt;0,"n/a",M388/AVERAGE(L380,M380)*P3/M3),"n/a")</f>
        <v>n/a</v>
      </c>
      <c r="N389" s="374" t="str">
        <f>IFERROR(IF(N388/AVERAGE(M380,N380)&lt;0,"n/a",N388/AVERAGE(M380,N380)*P3/N3),"n/a")</f>
        <v>n/a</v>
      </c>
      <c r="O389" s="374" t="str">
        <f>IFERROR(IF(O388/AVERAGE(N380,O380)&lt;0,"n/a",O388/AVERAGE(N380,O380)*P3/O3),"n/a")</f>
        <v>n/a</v>
      </c>
      <c r="P389" s="456" t="str">
        <f>IFERROR(IF(P388/AVERAGE(L380,M380,N380,O380)&lt;0,"n/a",P388/AVERAGE(L380,M380,N380,O380)),"n/a")</f>
        <v>n/a</v>
      </c>
      <c r="Q389" s="374" t="str">
        <f>IFERROR(IF(Q388/AVERAGE(P380,Q380)&lt;0,"n/a",Q388/AVERAGE(P380,Q380)*U3/Q3),"n/a")</f>
        <v>n/a</v>
      </c>
      <c r="R389" s="374" t="str">
        <f>IFERROR(IF(R388/AVERAGE(Q380,R380)&lt;0,"n/a",R388/AVERAGE(Q380,R380)*U3/R3),"n/a")</f>
        <v>n/a</v>
      </c>
      <c r="S389" s="374" t="str">
        <f>IFERROR(IF(S388/AVERAGE(R380,S380)&lt;0,"n/a",S388/AVERAGE(R380,S380)*U3/S3),"n/a")</f>
        <v>n/a</v>
      </c>
      <c r="T389" s="374">
        <f>IFERROR(IF(T388/AVERAGE(S380,T380)&lt;0,"n/a",T388/AVERAGE(S380,T380)*U3/T3),"n/a")</f>
        <v>9.7140345368916789E-2</v>
      </c>
      <c r="U389" s="456">
        <f>IFERROR(IF(U388/AVERAGE(Q380,R380,S380,T380)&lt;0,"n/a",U388/AVERAGE(Q380,R380,S380,T380)),"n/a")</f>
        <v>3.3371428571428573E-2</v>
      </c>
      <c r="V389" s="374">
        <f>IFERROR(IF(V388/AVERAGE(U380,V380)&lt;0,"n/a",V388/AVERAGE(U380,V380)*Z3/V3),"n/a")</f>
        <v>4.1772476228434774E-2</v>
      </c>
      <c r="W389" s="374">
        <f>IFERROR(IF(W388/AVERAGE(V380,W380)&lt;0,"n/a",W388/AVERAGE(V380,W380)*Z3/W3),"n/a")</f>
        <v>4.6791879795396431E-2</v>
      </c>
      <c r="X389" s="374">
        <f>IFERROR(IF(X388/AVERAGE(W380,X380)&lt;0,"n/a",X388/AVERAGE(W380,X380)*Z3/X3),"n/a")</f>
        <v>6.8369565217391307E-2</v>
      </c>
      <c r="Y389" s="374">
        <f>IFERROR(IF(Y388/AVERAGE(X380,Y380)&lt;0,"n/a",Y388/AVERAGE(X380,Y380)*Z3/Y3),"n/a")</f>
        <v>0.1431611111111111</v>
      </c>
      <c r="Z389" s="456">
        <f>IFERROR(IF(Z388/AVERAGE(V380,W380,X380,Y380)&lt;0,"n/a",Z388/AVERAGE(V380,W380,X380,Y380)),"n/a")</f>
        <v>7.1409090909090922E-2</v>
      </c>
      <c r="AA389" s="374">
        <f>IFERROR(IF(AA388/AVERAGE(Z380,AA380)&lt;0,"n/a",AA388/AVERAGE(Z380,AA380)*AE3/AA3),"n/a")</f>
        <v>8.9311355311355325E-2</v>
      </c>
      <c r="AB389" s="374">
        <f>IFERROR(IF(AB388/AVERAGE(AA380,AB380)&lt;0,"n/a",AB388/AVERAGE(AA380,AB380)*AE3/AB3),"n/a")</f>
        <v>6.5699999999999995E-2</v>
      </c>
      <c r="AC389" s="374">
        <f>IFERROR(IF(AC388/AVERAGE(AB380,AC380)&lt;0,"n/a",AC388/AVERAGE(AB380,AC380)*AE3/AC3),"n/a")</f>
        <v>6.0608233117483805E-2</v>
      </c>
      <c r="AD389" s="374">
        <f>IFERROR(IF(AD388/AVERAGE(AC380,AD380)&lt;0,"n/a",AD388/AVERAGE(AC380,AD380)*AE3/AD3),"n/a")</f>
        <v>0.11248830409356726</v>
      </c>
      <c r="AE389" s="456">
        <f>IFERROR(IF(AE388/AVERAGE(AA380,AB380,AC380,AD380)&lt;0,"n/a",AE388/AVERAGE(AA380,AB380,AC380,AD380)),"n/a")</f>
        <v>7.4272727272727268E-2</v>
      </c>
      <c r="AF389" s="374">
        <f>IFERROR(IF(AF388/AVERAGE(AE380,AF380)&lt;0,"n/a",AF388/AVERAGE(AE380,AF380)*AJ3/AF3),"n/a")</f>
        <v>6.9424772758106088E-2</v>
      </c>
      <c r="AG389" s="374">
        <f>IFERROR(IF(AG388/AVERAGE(AF380,AG380)&lt;0,"n/a",AG388/AVERAGE(AF380,AG380)*AJ3/AG3),"n/a")</f>
        <v>6.7261122345803837E-2</v>
      </c>
      <c r="AH389" s="374">
        <f>IFERROR(IF(AH388/AVERAGE(AG380,AH380)&lt;0,"n/a",AH388/AVERAGE(AG380,AH380)*AJ3/AH3),"n/a")</f>
        <v>7.7737870195337108E-2</v>
      </c>
      <c r="AI389" s="374">
        <f>IFERROR(IF(AI388/AVERAGE(AH380,AI380)&lt;0,"n/a",AI388/AVERAGE(AH380,AI380)*AJ3/AI3),"n/a")</f>
        <v>0.10501754385964913</v>
      </c>
      <c r="AJ389" s="456">
        <f>IFERROR(IF(AJ388/AVERAGE(AF380,AG380,AH380,AI380)&lt;0,"n/a",AJ388/AVERAGE(AF380,AG380,AH380,AI380)),"n/a")</f>
        <v>8.3806451612903218E-2</v>
      </c>
      <c r="AK389" s="374">
        <f>IFERROR(IF(AK388/AVERAGE(AJ380,AK380)&lt;0,"n/a",AK388/AVERAGE(AJ380,AK380)*AO3/AK3),"n/a")</f>
        <v>0.18595733678086618</v>
      </c>
      <c r="AL389" s="374">
        <f>IFERROR(IF(AL388/AVERAGE(AK380,AL380)&lt;0,"n/a",AL388/AVERAGE(AK380,AL380)*AO3/AL3),"n/a")</f>
        <v>0.46545652173913049</v>
      </c>
      <c r="AM389" s="644">
        <f>IFERROR(IF(AM388/AVERAGE(AL380,AM380)&lt;0,"n/a",AM388/AVERAGE(AL380,AM380)*AO3/AM3),"n/a")</f>
        <v>8.709165687426558E-2</v>
      </c>
      <c r="AN389" s="80">
        <f>IFERROR(IF(AN388/AVERAGE(AM380,AN380)&lt;0,"n/a",AN388/AVERAGE(AM380,AN380)*AO3/AN3),"n/a")</f>
        <v>9.1827837837837822E-2</v>
      </c>
      <c r="AO389" s="81">
        <f>IFERROR(IF(AO388/AVERAGE(AK380,AL380,AM380,AN380)&lt;0,"n/a",AO388/AVERAGE(AK380,AL380,AM380,AN380)),"n/a")</f>
        <v>9.9688296448087438E-2</v>
      </c>
      <c r="AP389" s="80">
        <f ca="1">IFERROR(IF(AP388/AVERAGE(AO380,AP380)&lt;0,"n/a",AP388/AVERAGE(AO380,AP380)*AT3/AP3),"n/a")</f>
        <v>9.1045186233890546E-2</v>
      </c>
      <c r="AQ389" s="80">
        <f ca="1">IFERROR(IF(AQ388/AVERAGE(AP380,AQ380)&lt;0,"n/a",AQ388/AVERAGE(AP380,AQ380)*AT3/AQ3),"n/a")</f>
        <v>9.0088294498745058E-2</v>
      </c>
      <c r="AR389" s="80">
        <f ca="1">IFERROR(IF(AR388/AVERAGE(AQ380,AR380)&lt;0,"n/a",AR388/AVERAGE(AQ380,AR380)*AT3/AR3),"n/a")</f>
        <v>8.8867333281257482E-2</v>
      </c>
      <c r="AS389" s="80">
        <f ca="1">IFERROR(IF(AS388/AVERAGE(AR380,AS380)&lt;0,"n/a",AS388/AVERAGE(AR380,AS380)*AT3/AS3),"n/a")</f>
        <v>8.7769100045120438E-2</v>
      </c>
      <c r="AT389" s="81">
        <f ca="1">IFERROR(IF(AT388/AVERAGE(AP380,AQ380,AR380,AS380)&lt;0,"n/a",AT388/AVERAGE(AP380,AQ380,AR380,AS380)),"n/a")</f>
        <v>8.9447256731794822E-2</v>
      </c>
      <c r="AU389" s="81">
        <f ca="1">IFERROR(IF(AU388/AVERAGE(AT380,AU380)&lt;0,"n/a",AU388/AVERAGE(AT380,AU380)),"n/a")</f>
        <v>8.667661526859044E-2</v>
      </c>
      <c r="AV389" s="81">
        <f ca="1">IFERROR(IF(AV388/AVERAGE(AU380,AV380)&lt;0,"n/a",AV388/AVERAGE(AU380,AV380)),"n/a")</f>
        <v>8.2067680743960786E-2</v>
      </c>
      <c r="AW389" s="81">
        <f ca="1">IFERROR(IF(AW388/AVERAGE(AV380,AW380)&lt;0,"n/a",AW388/AVERAGE(AV380,AW380)),"n/a")</f>
        <v>7.7428070963421594E-2</v>
      </c>
      <c r="AX389" s="793"/>
    </row>
    <row r="390" spans="1:50" s="29" customFormat="1" collapsed="1" x14ac:dyDescent="0.45">
      <c r="A390" s="799"/>
      <c r="B390" s="106"/>
      <c r="C390" s="456"/>
      <c r="D390" s="456"/>
      <c r="E390" s="456"/>
      <c r="F390" s="456"/>
      <c r="G390" s="374"/>
      <c r="H390" s="374"/>
      <c r="I390" s="374"/>
      <c r="J390" s="374"/>
      <c r="K390" s="456"/>
      <c r="L390" s="374"/>
      <c r="M390" s="374"/>
      <c r="N390" s="374"/>
      <c r="O390" s="374"/>
      <c r="P390" s="456"/>
      <c r="Q390" s="374"/>
      <c r="R390" s="374"/>
      <c r="S390" s="374"/>
      <c r="T390" s="374"/>
      <c r="U390" s="456"/>
      <c r="V390" s="374"/>
      <c r="W390" s="374"/>
      <c r="X390" s="374"/>
      <c r="Y390" s="374"/>
      <c r="Z390" s="456"/>
      <c r="AA390" s="374"/>
      <c r="AB390" s="374"/>
      <c r="AC390" s="374"/>
      <c r="AD390" s="374"/>
      <c r="AE390" s="456"/>
      <c r="AF390" s="374"/>
      <c r="AG390" s="374"/>
      <c r="AH390" s="374"/>
      <c r="AI390" s="374"/>
      <c r="AJ390" s="456"/>
      <c r="AK390" s="374"/>
      <c r="AL390" s="374"/>
      <c r="AM390" s="644"/>
      <c r="AN390" s="80"/>
      <c r="AO390" s="81"/>
      <c r="AP390" s="80"/>
      <c r="AQ390" s="80"/>
      <c r="AR390" s="80"/>
      <c r="AS390" s="80"/>
      <c r="AT390" s="81"/>
      <c r="AU390" s="81"/>
      <c r="AV390" s="81"/>
      <c r="AW390" s="81"/>
      <c r="AX390" s="793"/>
    </row>
    <row r="391" spans="1:50" s="29" customFormat="1" x14ac:dyDescent="0.45">
      <c r="A391" s="799" t="s">
        <v>608</v>
      </c>
      <c r="B391" s="106"/>
      <c r="C391" s="785" t="str">
        <f t="shared" ref="C391:AW391" si="346">IFERROR(IF(OR(C311&lt;0,C388&lt;0),"n/a",C311/C388),"n/a")</f>
        <v>n/a</v>
      </c>
      <c r="D391" s="785" t="str">
        <f t="shared" si="346"/>
        <v>n/a</v>
      </c>
      <c r="E391" s="785" t="str">
        <f t="shared" si="346"/>
        <v>n/a</v>
      </c>
      <c r="F391" s="785">
        <f t="shared" si="346"/>
        <v>1055.9065420560742</v>
      </c>
      <c r="G391" s="786" t="str">
        <f t="shared" si="346"/>
        <v>n/a</v>
      </c>
      <c r="H391" s="786">
        <f t="shared" si="346"/>
        <v>113.51707317073172</v>
      </c>
      <c r="I391" s="786" t="str">
        <f t="shared" si="346"/>
        <v>n/a</v>
      </c>
      <c r="J391" s="786" t="str">
        <f t="shared" si="346"/>
        <v>n/a</v>
      </c>
      <c r="K391" s="785" t="str">
        <f t="shared" si="346"/>
        <v>n/a</v>
      </c>
      <c r="L391" s="786" t="str">
        <f t="shared" si="346"/>
        <v>n/a</v>
      </c>
      <c r="M391" s="786" t="str">
        <f t="shared" si="346"/>
        <v>n/a</v>
      </c>
      <c r="N391" s="786">
        <f t="shared" si="346"/>
        <v>199.6219512195122</v>
      </c>
      <c r="O391" s="786">
        <f t="shared" si="346"/>
        <v>75.749077490774866</v>
      </c>
      <c r="P391" s="785">
        <f t="shared" si="346"/>
        <v>298.67391304347808</v>
      </c>
      <c r="Q391" s="786" t="str">
        <f t="shared" si="346"/>
        <v>n/a</v>
      </c>
      <c r="R391" s="786" t="str">
        <f t="shared" si="346"/>
        <v>n/a</v>
      </c>
      <c r="S391" s="786" t="str">
        <f t="shared" si="346"/>
        <v>n/a</v>
      </c>
      <c r="T391" s="786">
        <f t="shared" si="346"/>
        <v>16.507097791798117</v>
      </c>
      <c r="U391" s="785">
        <f t="shared" si="346"/>
        <v>82.914383561643803</v>
      </c>
      <c r="V391" s="786">
        <f t="shared" si="346"/>
        <v>15.717412935323377</v>
      </c>
      <c r="W391" s="786">
        <f t="shared" si="346"/>
        <v>24.981296758104715</v>
      </c>
      <c r="X391" s="786">
        <f t="shared" si="346"/>
        <v>40.58982511923687</v>
      </c>
      <c r="Y391" s="786">
        <f t="shared" si="346"/>
        <v>29.406515580736521</v>
      </c>
      <c r="Z391" s="785">
        <f t="shared" si="346"/>
        <v>26.13717377466584</v>
      </c>
      <c r="AA391" s="786">
        <f t="shared" si="346"/>
        <v>27.356287425149702</v>
      </c>
      <c r="AB391" s="786">
        <f t="shared" si="346"/>
        <v>29.161835748792274</v>
      </c>
      <c r="AC391" s="786">
        <f t="shared" si="346"/>
        <v>24.977715877437333</v>
      </c>
      <c r="AD391" s="786" t="str">
        <f t="shared" si="346"/>
        <v>n/a</v>
      </c>
      <c r="AE391" s="785">
        <f t="shared" si="346"/>
        <v>18.293145654834749</v>
      </c>
      <c r="AF391" s="786">
        <f t="shared" si="346"/>
        <v>23.734664764621996</v>
      </c>
      <c r="AG391" s="786">
        <f t="shared" si="346"/>
        <v>41.514403292181086</v>
      </c>
      <c r="AH391" s="786">
        <f t="shared" si="346"/>
        <v>32.147928994082818</v>
      </c>
      <c r="AI391" s="786">
        <f t="shared" si="346"/>
        <v>46.461382113821131</v>
      </c>
      <c r="AJ391" s="785">
        <f t="shared" si="346"/>
        <v>35.216705157813728</v>
      </c>
      <c r="AK391" s="786">
        <f t="shared" si="346"/>
        <v>50.501272264630998</v>
      </c>
      <c r="AL391" s="786">
        <f t="shared" si="346"/>
        <v>70.814814814814795</v>
      </c>
      <c r="AM391" s="787">
        <f t="shared" si="346"/>
        <v>55.982716049382752</v>
      </c>
      <c r="AN391" s="788">
        <f t="shared" si="346"/>
        <v>27.224070137707201</v>
      </c>
      <c r="AO391" s="85">
        <f t="shared" si="346"/>
        <v>45.328273287858899</v>
      </c>
      <c r="AP391" s="788">
        <f t="shared" ca="1" si="346"/>
        <v>24.377239366382248</v>
      </c>
      <c r="AQ391" s="788">
        <f t="shared" ca="1" si="346"/>
        <v>29.268606000218213</v>
      </c>
      <c r="AR391" s="788">
        <f t="shared" ca="1" si="346"/>
        <v>29.566322135471726</v>
      </c>
      <c r="AS391" s="788">
        <f t="shared" ca="1" si="346"/>
        <v>29.146217820506703</v>
      </c>
      <c r="AT391" s="85">
        <f t="shared" ca="1" si="346"/>
        <v>28.072271534237185</v>
      </c>
      <c r="AU391" s="85">
        <f t="shared" ca="1" si="346"/>
        <v>30.540178317288241</v>
      </c>
      <c r="AV391" s="85">
        <f t="shared" ca="1" si="346"/>
        <v>33.196684716141398</v>
      </c>
      <c r="AW391" s="85">
        <f t="shared" ca="1" si="346"/>
        <v>36.453570600819212</v>
      </c>
      <c r="AX391" s="793"/>
    </row>
    <row r="392" spans="1:50" s="37" customFormat="1" x14ac:dyDescent="0.45">
      <c r="A392" s="64" t="s">
        <v>105</v>
      </c>
      <c r="B392" s="196"/>
      <c r="C392" s="419" t="str">
        <f>IF(C382&lt;0,"n/a",C382/C311)</f>
        <v>n/a</v>
      </c>
      <c r="D392" s="419" t="str">
        <f>IF(D382&lt;0,"n/a",D382/D311)</f>
        <v>n/a</v>
      </c>
      <c r="E392" s="419" t="str">
        <f>IF(E382&lt;0,"n/a",E382/E311)</f>
        <v>n/a</v>
      </c>
      <c r="F392" s="419" t="str">
        <f>IF(F382&lt;0,"n/a",F382/F311)</f>
        <v>n/a</v>
      </c>
      <c r="G392" s="467"/>
      <c r="H392" s="467"/>
      <c r="I392" s="467"/>
      <c r="J392" s="467"/>
      <c r="K392" s="419" t="str">
        <f>IF(K382&lt;0,"n/a",K382/K311)</f>
        <v>n/a</v>
      </c>
      <c r="L392" s="467"/>
      <c r="M392" s="467"/>
      <c r="N392" s="467"/>
      <c r="O392" s="467"/>
      <c r="P392" s="419" t="str">
        <f>IF(P382&lt;0,"n/a",P382/P311)</f>
        <v>n/a</v>
      </c>
      <c r="Q392" s="467"/>
      <c r="R392" s="467"/>
      <c r="S392" s="467"/>
      <c r="T392" s="467"/>
      <c r="U392" s="419">
        <f>IF(U382&lt;0,"n/a",U382/U311)</f>
        <v>0.94346922197899052</v>
      </c>
      <c r="V392" s="467"/>
      <c r="W392" s="467"/>
      <c r="X392" s="382"/>
      <c r="Y392" s="382"/>
      <c r="Z392" s="419" t="str">
        <f>IF(Z382&lt;0,"n/a",Z382/Z311)</f>
        <v>n/a</v>
      </c>
      <c r="AA392" s="382"/>
      <c r="AB392" s="467"/>
      <c r="AC392" s="382"/>
      <c r="AD392" s="382"/>
      <c r="AE392" s="419">
        <f>IF(AE382&lt;0,"n/a",AE382/AE311)</f>
        <v>0.13641229801612537</v>
      </c>
      <c r="AF392" s="382"/>
      <c r="AG392" s="467"/>
      <c r="AH392" s="382"/>
      <c r="AI392" s="382"/>
      <c r="AJ392" s="419" t="str">
        <f>IF(AJ382&lt;0,"n/a",AJ382/AJ311)</f>
        <v>n/a</v>
      </c>
      <c r="AK392" s="382"/>
      <c r="AL392" s="467"/>
      <c r="AM392" s="568"/>
      <c r="AN392" s="120"/>
      <c r="AO392" s="23">
        <f ca="1">IF(AO382&lt;0,"n/a",AO382/AO311)</f>
        <v>0.55521848388233419</v>
      </c>
      <c r="AP392" s="120"/>
      <c r="AQ392" s="120"/>
      <c r="AR392" s="120"/>
      <c r="AS392" s="120"/>
      <c r="AT392" s="23" t="str">
        <f ca="1">IF(AT382&lt;0,"n/a",AT382/AT311)</f>
        <v>n/a</v>
      </c>
      <c r="AU392" s="85" t="str">
        <f ca="1">IF(AU382&lt;0,"n/a",AU382/AU311)</f>
        <v>n/a</v>
      </c>
      <c r="AV392" s="85" t="str">
        <f ca="1">IF(AV382&lt;0,"n/a",AV382/AV311)</f>
        <v>n/a</v>
      </c>
      <c r="AW392" s="85" t="str">
        <f ca="1">IF(AW382&lt;0,"n/a",AW382/AW311)</f>
        <v>n/a</v>
      </c>
      <c r="AX392" s="120"/>
    </row>
    <row r="393" spans="1:50" s="37" customFormat="1" x14ac:dyDescent="0.45">
      <c r="A393" s="64" t="s">
        <v>106</v>
      </c>
      <c r="B393" s="196"/>
      <c r="C393" s="419" t="str">
        <f>IF(C382&lt;0,"n/a",C382/C356)</f>
        <v>n/a</v>
      </c>
      <c r="D393" s="419" t="str">
        <f>IF(D382&lt;0,"n/a",D382/D356)</f>
        <v>n/a</v>
      </c>
      <c r="E393" s="419" t="str">
        <f>IF(E382&lt;0,"n/a",E382/E356)</f>
        <v>n/a</v>
      </c>
      <c r="F393" s="419" t="str">
        <f>IF(F382&lt;0,"n/a",F382/F356)</f>
        <v>n/a</v>
      </c>
      <c r="G393" s="467"/>
      <c r="H393" s="467"/>
      <c r="I393" s="467"/>
      <c r="J393" s="467"/>
      <c r="K393" s="419" t="str">
        <f>IF(K382&lt;0,"n/a",K382/K356)</f>
        <v>n/a</v>
      </c>
      <c r="L393" s="467"/>
      <c r="M393" s="467"/>
      <c r="N393" s="467"/>
      <c r="O393" s="467"/>
      <c r="P393" s="419" t="str">
        <f>IF(P382&lt;0,"n/a",P382/P356)</f>
        <v>n/a</v>
      </c>
      <c r="Q393" s="467"/>
      <c r="R393" s="467"/>
      <c r="S393" s="467"/>
      <c r="T393" s="467"/>
      <c r="U393" s="419">
        <f>IF(U382&lt;0,"n/a",U382/U356)</f>
        <v>0.790665743625245</v>
      </c>
      <c r="V393" s="467"/>
      <c r="W393" s="467"/>
      <c r="X393" s="382"/>
      <c r="Y393" s="382"/>
      <c r="Z393" s="419" t="str">
        <f>IF(Z382&lt;0,"n/a",Z382/Z356)</f>
        <v>n/a</v>
      </c>
      <c r="AA393" s="382"/>
      <c r="AB393" s="467"/>
      <c r="AC393" s="382"/>
      <c r="AD393" s="382"/>
      <c r="AE393" s="419">
        <f>IF(AE382&lt;0,"n/a",AE382/AE356)</f>
        <v>0.12125853121793825</v>
      </c>
      <c r="AF393" s="382"/>
      <c r="AG393" s="467"/>
      <c r="AH393" s="382"/>
      <c r="AI393" s="382"/>
      <c r="AJ393" s="419" t="str">
        <f>IF(AJ382&lt;0,"n/a",AJ382/AJ356)</f>
        <v>n/a</v>
      </c>
      <c r="AK393" s="382"/>
      <c r="AL393" s="467"/>
      <c r="AM393" s="568"/>
      <c r="AN393" s="120"/>
      <c r="AO393" s="23">
        <f ca="1">IF(AO382&lt;0,"n/a",AO382/AO356)</f>
        <v>0.52178320464254235</v>
      </c>
      <c r="AP393" s="120"/>
      <c r="AQ393" s="120"/>
      <c r="AR393" s="120"/>
      <c r="AS393" s="120"/>
      <c r="AT393" s="23" t="str">
        <f ca="1">IF(AT382&lt;0,"n/a",AT382/AT356)</f>
        <v>n/a</v>
      </c>
      <c r="AU393" s="85" t="str">
        <f ca="1">IF(AU382&lt;0,"n/a",AU382/AU356)</f>
        <v>n/a</v>
      </c>
      <c r="AV393" s="85" t="str">
        <f ca="1">IF(AV382&lt;0,"n/a",AV382/AV356)</f>
        <v>n/a</v>
      </c>
      <c r="AW393" s="85" t="str">
        <f ca="1">IF(AW382&lt;0,"n/a",AW382/AW356)</f>
        <v>n/a</v>
      </c>
      <c r="AX393" s="120"/>
    </row>
    <row r="394" spans="1:50" s="50" customFormat="1" x14ac:dyDescent="0.45">
      <c r="A394" s="190"/>
      <c r="B394" s="190"/>
      <c r="C394" s="468"/>
      <c r="D394" s="468"/>
      <c r="E394" s="468"/>
      <c r="F394" s="468"/>
      <c r="G394" s="452"/>
      <c r="H394" s="452"/>
      <c r="I394" s="452"/>
      <c r="J394" s="452"/>
      <c r="K394" s="468"/>
      <c r="L394" s="452"/>
      <c r="M394" s="452"/>
      <c r="N394" s="452"/>
      <c r="O394" s="452"/>
      <c r="P394" s="468"/>
      <c r="Q394" s="452"/>
      <c r="R394" s="452"/>
      <c r="S394" s="452"/>
      <c r="T394" s="452"/>
      <c r="U394" s="468"/>
      <c r="V394" s="452"/>
      <c r="W394" s="452"/>
      <c r="X394" s="452"/>
      <c r="Y394" s="452"/>
      <c r="Z394" s="468"/>
      <c r="AA394" s="452"/>
      <c r="AB394" s="452"/>
      <c r="AC394" s="452"/>
      <c r="AD394" s="452"/>
      <c r="AE394" s="468"/>
      <c r="AF394" s="452"/>
      <c r="AG394" s="452"/>
      <c r="AH394" s="452"/>
      <c r="AI394" s="452"/>
      <c r="AJ394" s="468"/>
      <c r="AK394" s="452"/>
      <c r="AL394" s="452"/>
      <c r="AM394" s="569"/>
      <c r="AN394" s="451"/>
      <c r="AO394" s="450"/>
      <c r="AP394" s="451"/>
      <c r="AQ394" s="451"/>
      <c r="AR394" s="451"/>
      <c r="AS394" s="451"/>
      <c r="AT394" s="450"/>
      <c r="AU394" s="450"/>
      <c r="AV394" s="450"/>
      <c r="AW394" s="450"/>
      <c r="AX394" s="224"/>
    </row>
    <row r="395" spans="1:50" s="7" customFormat="1" x14ac:dyDescent="0.45">
      <c r="A395" s="790" t="s">
        <v>107</v>
      </c>
      <c r="B395" s="790"/>
      <c r="C395" s="812"/>
      <c r="D395" s="812"/>
      <c r="E395" s="812"/>
      <c r="F395" s="812"/>
      <c r="G395" s="812"/>
      <c r="H395" s="812"/>
      <c r="I395" s="812"/>
      <c r="J395" s="812"/>
      <c r="K395" s="812"/>
      <c r="L395" s="812"/>
      <c r="M395" s="812"/>
      <c r="N395" s="812"/>
      <c r="O395" s="812"/>
      <c r="P395" s="812"/>
      <c r="Q395" s="812"/>
      <c r="R395" s="812"/>
      <c r="S395" s="812"/>
      <c r="T395" s="812"/>
      <c r="U395" s="812"/>
      <c r="V395" s="812"/>
      <c r="W395" s="812"/>
      <c r="X395" s="812"/>
      <c r="Y395" s="812"/>
      <c r="Z395" s="812"/>
      <c r="AA395" s="812"/>
      <c r="AB395" s="812"/>
      <c r="AC395" s="812"/>
      <c r="AD395" s="812"/>
      <c r="AE395" s="812"/>
      <c r="AF395" s="812"/>
      <c r="AG395" s="812"/>
      <c r="AH395" s="812"/>
      <c r="AI395" s="812"/>
      <c r="AJ395" s="812"/>
      <c r="AK395" s="812"/>
      <c r="AL395" s="812"/>
      <c r="AM395" s="813"/>
      <c r="AN395" s="814"/>
      <c r="AO395" s="814"/>
      <c r="AP395" s="814"/>
      <c r="AQ395" s="814"/>
      <c r="AR395" s="814"/>
      <c r="AS395" s="814"/>
      <c r="AT395" s="814"/>
      <c r="AU395" s="814"/>
      <c r="AV395" s="814"/>
      <c r="AW395" s="814"/>
      <c r="AX395" s="795"/>
    </row>
    <row r="396" spans="1:50" s="361" customFormat="1" x14ac:dyDescent="0.45">
      <c r="A396" s="362" t="s">
        <v>351</v>
      </c>
      <c r="B396" s="356" t="s">
        <v>108</v>
      </c>
      <c r="C396" s="469">
        <f t="shared" ref="C396:AW396" ca="1" si="347">INDEX(MO_VA_StockPrice_TradingCurrency,1,COLUMN())/INDEX(MO_VA_FX_Average,1,COLUMN())</f>
        <v>28.998125000000002</v>
      </c>
      <c r="D396" s="469">
        <f t="shared" ca="1" si="347"/>
        <v>32.883749999999999</v>
      </c>
      <c r="E396" s="469">
        <f t="shared" ca="1" si="347"/>
        <v>41.912500000000001</v>
      </c>
      <c r="F396" s="469">
        <f t="shared" ca="1" si="347"/>
        <v>23.0825</v>
      </c>
      <c r="G396" s="384">
        <f t="shared" ca="1" si="347"/>
        <v>18.239999999999998</v>
      </c>
      <c r="H396" s="384">
        <f t="shared" ca="1" si="347"/>
        <v>21.105</v>
      </c>
      <c r="I396" s="384">
        <f t="shared" ca="1" si="347"/>
        <v>22.22</v>
      </c>
      <c r="J396" s="384">
        <f t="shared" ca="1" si="347"/>
        <v>18.675000000000001</v>
      </c>
      <c r="K396" s="469">
        <f t="shared" ca="1" si="347"/>
        <v>20.059999999999999</v>
      </c>
      <c r="L396" s="384">
        <f t="shared" ca="1" si="347"/>
        <v>16.495000000000001</v>
      </c>
      <c r="M396" s="384">
        <f t="shared" ca="1" si="347"/>
        <v>15.16</v>
      </c>
      <c r="N396" s="384">
        <f t="shared" ca="1" si="347"/>
        <v>14.5</v>
      </c>
      <c r="O396" s="384">
        <f t="shared" ca="1" si="347"/>
        <v>17.03</v>
      </c>
      <c r="P396" s="469">
        <f t="shared" ca="1" si="347"/>
        <v>15.796250000000001</v>
      </c>
      <c r="Q396" s="384">
        <f t="shared" ca="1" si="347"/>
        <v>16.64</v>
      </c>
      <c r="R396" s="384">
        <f t="shared" ca="1" si="347"/>
        <v>14.535</v>
      </c>
      <c r="S396" s="384">
        <f t="shared" ca="1" si="347"/>
        <v>14.425000000000001</v>
      </c>
      <c r="T396" s="384">
        <f t="shared" ca="1" si="347"/>
        <v>15.005000000000001</v>
      </c>
      <c r="U396" s="469">
        <f t="shared" ca="1" si="347"/>
        <v>15.151249999999999</v>
      </c>
      <c r="V396" s="384">
        <f t="shared" ca="1" si="347"/>
        <v>13.205</v>
      </c>
      <c r="W396" s="384">
        <f t="shared" ca="1" si="347"/>
        <v>12.085000000000001</v>
      </c>
      <c r="X396" s="384">
        <f t="shared" ca="1" si="347"/>
        <v>12.395</v>
      </c>
      <c r="Y396" s="384">
        <f t="shared" ca="1" si="347"/>
        <v>14.484999999999999</v>
      </c>
      <c r="Z396" s="420">
        <f t="shared" ca="1" si="347"/>
        <v>13.0425</v>
      </c>
      <c r="AA396" s="384">
        <f t="shared" ca="1" si="347"/>
        <v>15.5</v>
      </c>
      <c r="AB396" s="384">
        <f t="shared" ca="1" si="347"/>
        <v>16.18</v>
      </c>
      <c r="AC396" s="384">
        <f t="shared" ca="1" si="347"/>
        <v>14.4</v>
      </c>
      <c r="AD396" s="384">
        <f t="shared" ca="1" si="347"/>
        <v>13.295</v>
      </c>
      <c r="AE396" s="420">
        <f t="shared" ca="1" si="347"/>
        <v>14.84375</v>
      </c>
      <c r="AF396" s="384">
        <f t="shared" ca="1" si="347"/>
        <v>15.805468749999999</v>
      </c>
      <c r="AG396" s="384">
        <f t="shared" ca="1" si="347"/>
        <v>21.200952380952401</v>
      </c>
      <c r="AH396" s="384">
        <f t="shared" ca="1" si="347"/>
        <v>17.155396825396799</v>
      </c>
      <c r="AI396" s="384">
        <f t="shared" ca="1" si="347"/>
        <v>17.3393442622951</v>
      </c>
      <c r="AJ396" s="420">
        <f t="shared" ca="1" si="347"/>
        <v>17.8713147410358</v>
      </c>
      <c r="AK396" s="384">
        <f t="shared" ca="1" si="347"/>
        <v>18.674761904761901</v>
      </c>
      <c r="AL396" s="384">
        <f t="shared" ca="1" si="347"/>
        <v>16.632578124999998</v>
      </c>
      <c r="AM396" s="570">
        <f t="shared" ca="1" si="347"/>
        <v>16.522421874999999</v>
      </c>
      <c r="AN396" s="357">
        <f t="shared" ca="1" si="347"/>
        <v>10.1</v>
      </c>
      <c r="AO396" s="358">
        <f t="shared" ca="1" si="347"/>
        <v>10.1</v>
      </c>
      <c r="AP396" s="357">
        <f t="shared" ca="1" si="347"/>
        <v>10.1</v>
      </c>
      <c r="AQ396" s="357">
        <f t="shared" ca="1" si="347"/>
        <v>10.1</v>
      </c>
      <c r="AR396" s="357">
        <f t="shared" ca="1" si="347"/>
        <v>10.1</v>
      </c>
      <c r="AS396" s="357">
        <f t="shared" ca="1" si="347"/>
        <v>10.1</v>
      </c>
      <c r="AT396" s="358">
        <f t="shared" ca="1" si="347"/>
        <v>10.1</v>
      </c>
      <c r="AU396" s="359">
        <f t="shared" ca="1" si="347"/>
        <v>10.1</v>
      </c>
      <c r="AV396" s="359">
        <f t="shared" ca="1" si="347"/>
        <v>10.1</v>
      </c>
      <c r="AW396" s="359">
        <f t="shared" ca="1" si="347"/>
        <v>10.1</v>
      </c>
      <c r="AX396" s="360"/>
    </row>
    <row r="397" spans="1:50" s="29" customFormat="1" x14ac:dyDescent="0.45">
      <c r="A397" s="793" t="str">
        <f>"Market Cap - "&amp;$B$396</f>
        <v>Market Cap - Avg</v>
      </c>
      <c r="B397" s="147"/>
      <c r="C397" s="840">
        <f t="shared" ref="C397:AW397" ca="1" si="348">C353*C396</f>
        <v>1670.060015</v>
      </c>
      <c r="D397" s="840">
        <f t="shared" ca="1" si="348"/>
        <v>1915.0180649999998</v>
      </c>
      <c r="E397" s="840">
        <f t="shared" ca="1" si="348"/>
        <v>2474.8912125000002</v>
      </c>
      <c r="F397" s="840">
        <f t="shared" ca="1" si="348"/>
        <v>1372.5316150000001</v>
      </c>
      <c r="G397" s="841">
        <f t="shared" ca="1" si="348"/>
        <v>1086.59328</v>
      </c>
      <c r="H397" s="841">
        <f t="shared" ca="1" si="348"/>
        <v>1261.0448549999999</v>
      </c>
      <c r="I397" s="841">
        <f t="shared" ca="1" si="348"/>
        <v>1345.3321199999998</v>
      </c>
      <c r="J397" s="841">
        <f t="shared" ca="1" si="348"/>
        <v>1131.5555999999999</v>
      </c>
      <c r="K397" s="840">
        <f t="shared" ca="1" si="348"/>
        <v>1206.2880399999999</v>
      </c>
      <c r="L397" s="841">
        <f t="shared" ca="1" si="348"/>
        <v>1002.4011500000001</v>
      </c>
      <c r="M397" s="841">
        <f t="shared" ca="1" si="348"/>
        <v>921.54607999999996</v>
      </c>
      <c r="N397" s="841">
        <f t="shared" ca="1" si="348"/>
        <v>882.39749999999992</v>
      </c>
      <c r="O397" s="841">
        <f t="shared" ca="1" si="348"/>
        <v>1038.08068</v>
      </c>
      <c r="P397" s="840">
        <f t="shared" ca="1" si="348"/>
        <v>961.18601624999997</v>
      </c>
      <c r="Q397" s="841">
        <f t="shared" ca="1" si="348"/>
        <v>1016.10496</v>
      </c>
      <c r="R397" s="841">
        <f t="shared" ca="1" si="348"/>
        <v>889.45479</v>
      </c>
      <c r="S397" s="841">
        <f t="shared" ca="1" si="348"/>
        <v>883.9495750000001</v>
      </c>
      <c r="T397" s="841">
        <f t="shared" ca="1" si="348"/>
        <v>920.9318750000001</v>
      </c>
      <c r="U397" s="840">
        <f t="shared" ca="1" si="348"/>
        <v>927.75649124999995</v>
      </c>
      <c r="V397" s="841">
        <f t="shared" ca="1" si="348"/>
        <v>814.43158000000005</v>
      </c>
      <c r="W397" s="841">
        <f t="shared" ca="1" si="348"/>
        <v>749.8984200000001</v>
      </c>
      <c r="X397" s="841">
        <f t="shared" ca="1" si="348"/>
        <v>769.64273500000002</v>
      </c>
      <c r="Y397" s="841">
        <f t="shared" ca="1" si="348"/>
        <v>903.11077999999998</v>
      </c>
      <c r="Z397" s="840">
        <f t="shared" ca="1" si="348"/>
        <v>808.76542500000005</v>
      </c>
      <c r="AA397" s="841">
        <f t="shared" ca="1" si="348"/>
        <v>970.9665</v>
      </c>
      <c r="AB397" s="841">
        <f t="shared" ca="1" si="348"/>
        <v>1027.9154000000001</v>
      </c>
      <c r="AC397" s="841">
        <f t="shared" ca="1" si="348"/>
        <v>917.39520000000005</v>
      </c>
      <c r="AD397" s="841">
        <f t="shared" ca="1" si="348"/>
        <v>849.39095999999995</v>
      </c>
      <c r="AE397" s="840">
        <f t="shared" ca="1" si="348"/>
        <v>941.6875</v>
      </c>
      <c r="AF397" s="841">
        <f t="shared" ca="1" si="348"/>
        <v>1012.4034953125</v>
      </c>
      <c r="AG397" s="841">
        <f t="shared" ca="1" si="348"/>
        <v>1375.0301685714298</v>
      </c>
      <c r="AH397" s="841">
        <f t="shared" ca="1" si="348"/>
        <v>1111.2579847619031</v>
      </c>
      <c r="AI397" s="841">
        <f t="shared" ca="1" si="348"/>
        <v>1125.618211475411</v>
      </c>
      <c r="AJ397" s="840">
        <f t="shared" ca="1" si="348"/>
        <v>1154.4869322709126</v>
      </c>
      <c r="AK397" s="841">
        <f t="shared" ca="1" si="348"/>
        <v>1220.4517147619044</v>
      </c>
      <c r="AL397" s="841">
        <f t="shared" ca="1" si="348"/>
        <v>1090.431821875</v>
      </c>
      <c r="AM397" s="842">
        <f t="shared" ca="1" si="348"/>
        <v>1084.92831</v>
      </c>
      <c r="AN397" s="843">
        <f t="shared" ca="1" si="348"/>
        <v>663.20640000000003</v>
      </c>
      <c r="AO397" s="844">
        <f t="shared" ca="1" si="348"/>
        <v>662.15852499999994</v>
      </c>
      <c r="AP397" s="843">
        <f t="shared" ca="1" si="348"/>
        <v>663.20640000000003</v>
      </c>
      <c r="AQ397" s="843">
        <f t="shared" ca="1" si="348"/>
        <v>663.20640000000003</v>
      </c>
      <c r="AR397" s="843">
        <f t="shared" ca="1" si="348"/>
        <v>663.20640000000003</v>
      </c>
      <c r="AS397" s="843">
        <f t="shared" ca="1" si="348"/>
        <v>663.20640000000003</v>
      </c>
      <c r="AT397" s="844">
        <f t="shared" ca="1" si="348"/>
        <v>663.20640000000003</v>
      </c>
      <c r="AU397" s="863">
        <f t="shared" ca="1" si="348"/>
        <v>663.20640000000003</v>
      </c>
      <c r="AV397" s="863">
        <f t="shared" ca="1" si="348"/>
        <v>663.20640000000003</v>
      </c>
      <c r="AW397" s="863">
        <f t="shared" ca="1" si="348"/>
        <v>663.20640000000003</v>
      </c>
      <c r="AX397" s="793"/>
    </row>
    <row r="398" spans="1:50" s="29" customFormat="1" x14ac:dyDescent="0.45">
      <c r="A398" s="793" t="str">
        <f>"Enterprise Value - "&amp;$B$396</f>
        <v>Enterprise Value - Avg</v>
      </c>
      <c r="B398" s="147"/>
      <c r="C398" s="840">
        <f t="shared" ref="C398:AW398" ca="1" si="349">C382+C397+C414+C415+C416</f>
        <v>1578.291015</v>
      </c>
      <c r="D398" s="840">
        <f t="shared" ca="1" si="349"/>
        <v>1797.2810649999997</v>
      </c>
      <c r="E398" s="840">
        <f t="shared" ca="1" si="349"/>
        <v>2335.4602125000001</v>
      </c>
      <c r="F398" s="840">
        <f t="shared" ca="1" si="349"/>
        <v>1254.5206150000001</v>
      </c>
      <c r="G398" s="841">
        <f t="shared" ca="1" si="349"/>
        <v>956.56727999999998</v>
      </c>
      <c r="H398" s="841">
        <f t="shared" ca="1" si="349"/>
        <v>1176.7398549999998</v>
      </c>
      <c r="I398" s="841">
        <f t="shared" ca="1" si="349"/>
        <v>1251.3431199999998</v>
      </c>
      <c r="J398" s="841">
        <f t="shared" ca="1" si="349"/>
        <v>1017.7545999999999</v>
      </c>
      <c r="K398" s="840">
        <f t="shared" ca="1" si="349"/>
        <v>1092.48704</v>
      </c>
      <c r="L398" s="841">
        <f t="shared" ca="1" si="349"/>
        <v>885.9661500000002</v>
      </c>
      <c r="M398" s="841">
        <f t="shared" ca="1" si="349"/>
        <v>798.03008</v>
      </c>
      <c r="N398" s="841">
        <f t="shared" ca="1" si="349"/>
        <v>757.57549999999992</v>
      </c>
      <c r="O398" s="841">
        <f t="shared" ca="1" si="349"/>
        <v>907.49567999999999</v>
      </c>
      <c r="P398" s="840">
        <f t="shared" ca="1" si="349"/>
        <v>830.60101624999993</v>
      </c>
      <c r="Q398" s="841">
        <f t="shared" ca="1" si="349"/>
        <v>899.30795999999998</v>
      </c>
      <c r="R398" s="841">
        <f t="shared" ca="1" si="349"/>
        <v>778.67778999999996</v>
      </c>
      <c r="S398" s="841">
        <f t="shared" ca="1" si="349"/>
        <v>779.13657500000011</v>
      </c>
      <c r="T398" s="841">
        <f t="shared" ca="1" si="349"/>
        <v>989.45887500000015</v>
      </c>
      <c r="U398" s="840">
        <f t="shared" ca="1" si="349"/>
        <v>996.28349125</v>
      </c>
      <c r="V398" s="841">
        <f t="shared" ca="1" si="349"/>
        <v>876.08258000000001</v>
      </c>
      <c r="W398" s="841">
        <f t="shared" ca="1" si="349"/>
        <v>771.65242000000012</v>
      </c>
      <c r="X398" s="841">
        <f t="shared" ca="1" si="349"/>
        <v>770.64873499999999</v>
      </c>
      <c r="Y398" s="841">
        <f t="shared" ca="1" si="349"/>
        <v>880.43777999999998</v>
      </c>
      <c r="Z398" s="840">
        <f t="shared" ca="1" si="349"/>
        <v>786.09242500000005</v>
      </c>
      <c r="AA398" s="841">
        <f t="shared" ca="1" si="349"/>
        <v>992.62950000000001</v>
      </c>
      <c r="AB398" s="841">
        <f t="shared" ca="1" si="349"/>
        <v>1056.3624</v>
      </c>
      <c r="AC398" s="841">
        <f t="shared" ca="1" si="349"/>
        <v>933.03620000000001</v>
      </c>
      <c r="AD398" s="841">
        <f t="shared" ca="1" si="349"/>
        <v>857.54595999999992</v>
      </c>
      <c r="AE398" s="840">
        <f t="shared" ca="1" si="349"/>
        <v>949.84249999999997</v>
      </c>
      <c r="AF398" s="841">
        <f t="shared" ca="1" si="349"/>
        <v>1029.8594953125</v>
      </c>
      <c r="AG398" s="841">
        <f t="shared" ca="1" si="349"/>
        <v>1384.6431685714299</v>
      </c>
      <c r="AH398" s="841">
        <f t="shared" ca="1" si="349"/>
        <v>1108.203984761903</v>
      </c>
      <c r="AI398" s="841">
        <f t="shared" ca="1" si="349"/>
        <v>1103.5392114754111</v>
      </c>
      <c r="AJ398" s="840">
        <f t="shared" ca="1" si="349"/>
        <v>1132.4079322709126</v>
      </c>
      <c r="AK398" s="841">
        <f t="shared" ca="1" si="349"/>
        <v>1251.8697147619043</v>
      </c>
      <c r="AL398" s="841">
        <f t="shared" ca="1" si="349"/>
        <v>1099.0708218749999</v>
      </c>
      <c r="AM398" s="842">
        <f t="shared" ca="1" si="349"/>
        <v>1144.7583099999999</v>
      </c>
      <c r="AN398" s="843">
        <f t="shared" ca="1" si="349"/>
        <v>713.38369688465025</v>
      </c>
      <c r="AO398" s="844">
        <f t="shared" ca="1" si="349"/>
        <v>712.33582188465016</v>
      </c>
      <c r="AP398" s="843">
        <f t="shared" ca="1" si="349"/>
        <v>701.58203215118908</v>
      </c>
      <c r="AQ398" s="843">
        <f t="shared" ca="1" si="349"/>
        <v>686.52351046884246</v>
      </c>
      <c r="AR398" s="843">
        <f t="shared" ca="1" si="349"/>
        <v>672.97863388981864</v>
      </c>
      <c r="AS398" s="843">
        <f t="shared" ca="1" si="349"/>
        <v>659.50465497928201</v>
      </c>
      <c r="AT398" s="844">
        <f t="shared" ca="1" si="349"/>
        <v>659.50465497928201</v>
      </c>
      <c r="AU398" s="863">
        <f t="shared" ca="1" si="349"/>
        <v>602.66112917551618</v>
      </c>
      <c r="AV398" s="863">
        <f t="shared" ca="1" si="349"/>
        <v>545.43927521553303</v>
      </c>
      <c r="AW398" s="863">
        <f t="shared" ca="1" si="349"/>
        <v>485.66448416777041</v>
      </c>
      <c r="AX398" s="793"/>
    </row>
    <row r="399" spans="1:50" s="38" customFormat="1" x14ac:dyDescent="0.45">
      <c r="A399" s="65"/>
      <c r="B399" s="197"/>
      <c r="C399" s="421"/>
      <c r="D399" s="421"/>
      <c r="E399" s="421"/>
      <c r="F399" s="421"/>
      <c r="G399" s="470"/>
      <c r="H399" s="470"/>
      <c r="I399" s="470"/>
      <c r="J399" s="470"/>
      <c r="K399" s="421"/>
      <c r="L399" s="470"/>
      <c r="M399" s="470"/>
      <c r="N399" s="470"/>
      <c r="O399" s="470"/>
      <c r="P399" s="421"/>
      <c r="Q399" s="470"/>
      <c r="R399" s="470"/>
      <c r="S399" s="470"/>
      <c r="T399" s="470"/>
      <c r="U399" s="421"/>
      <c r="V399" s="470"/>
      <c r="W399" s="470"/>
      <c r="X399" s="385"/>
      <c r="Y399" s="385"/>
      <c r="Z399" s="421"/>
      <c r="AA399" s="385"/>
      <c r="AB399" s="470"/>
      <c r="AC399" s="385"/>
      <c r="AD399" s="385"/>
      <c r="AE399" s="421"/>
      <c r="AF399" s="385"/>
      <c r="AG399" s="470"/>
      <c r="AH399" s="385"/>
      <c r="AI399" s="385"/>
      <c r="AJ399" s="421"/>
      <c r="AK399" s="385"/>
      <c r="AL399" s="470"/>
      <c r="AM399" s="571"/>
      <c r="AN399" s="121"/>
      <c r="AO399" s="24"/>
      <c r="AP399" s="121"/>
      <c r="AQ399" s="121"/>
      <c r="AR399" s="121"/>
      <c r="AS399" s="121"/>
      <c r="AT399" s="24"/>
      <c r="AU399" s="24"/>
      <c r="AV399" s="24"/>
      <c r="AW399" s="24"/>
      <c r="AX399" s="121"/>
    </row>
    <row r="400" spans="1:50" s="38" customFormat="1" x14ac:dyDescent="0.45">
      <c r="A400" s="180" t="str">
        <f>"P/E - "&amp;$B$396</f>
        <v>P/E - Avg</v>
      </c>
      <c r="B400" s="197"/>
      <c r="C400" s="421">
        <f ca="1">INDEX(MO_VA_StockPrice,0,COLUMN())/INDEX(MO_RIS_EPS_WAD_Adj,0,COLUMN())</f>
        <v>34.520350048574784</v>
      </c>
      <c r="D400" s="421">
        <f ca="1">INDEX(MO_VA_StockPrice,0,COLUMN())/INDEX(MO_RIS_EPS_WAD_Adj,0,COLUMN())</f>
        <v>31.084927847936878</v>
      </c>
      <c r="E400" s="421">
        <f ca="1">INDEX(MO_VA_StockPrice,0,COLUMN())/INDEX(MO_RIS_EPS_WAD_Adj,0,COLUMN())</f>
        <v>32.711992446171536</v>
      </c>
      <c r="F400" s="421">
        <f ca="1">INDEX(MO_VA_StockPrice,0,COLUMN())/INDEX(MO_RIS_EPS_WAD_Adj,0,COLUMN())</f>
        <v>20.289915368240568</v>
      </c>
      <c r="G400" s="470"/>
      <c r="H400" s="470"/>
      <c r="I400" s="470"/>
      <c r="J400" s="470"/>
      <c r="K400" s="421">
        <f ca="1">INDEX(MO_VA_StockPrice,0,COLUMN())/INDEX(MO_RIS_EPS_WAD_Adj,0,COLUMN())</f>
        <v>28.723879417087335</v>
      </c>
      <c r="L400" s="470"/>
      <c r="M400" s="470"/>
      <c r="N400" s="470"/>
      <c r="O400" s="470"/>
      <c r="P400" s="421">
        <f ca="1">INDEX(MO_VA_StockPrice,0,COLUMN())/INDEX(MO_RIS_EPS_WAD_Adj,0,COLUMN())</f>
        <v>25.474027781458737</v>
      </c>
      <c r="Q400" s="470"/>
      <c r="R400" s="470"/>
      <c r="S400" s="470"/>
      <c r="T400" s="470"/>
      <c r="U400" s="421">
        <f ca="1">INDEX(MO_VA_StockPrice,0,COLUMN())/INDEX(MO_RIS_EPS_WAD_Adj,0,COLUMN())</f>
        <v>21.028025640299187</v>
      </c>
      <c r="V400" s="470"/>
      <c r="W400" s="470"/>
      <c r="X400" s="385"/>
      <c r="Y400" s="385"/>
      <c r="Z400" s="421">
        <f ca="1">INDEX(MO_VA_StockPrice,0,COLUMN())/INDEX(MO_RIS_EPS_WAD_Adj,0,COLUMN())</f>
        <v>15.929986704746876</v>
      </c>
      <c r="AA400" s="385"/>
      <c r="AB400" s="470"/>
      <c r="AC400" s="385"/>
      <c r="AD400" s="385"/>
      <c r="AE400" s="421">
        <f ca="1">INDEX(MO_VA_StockPrice,0,COLUMN())/INDEX(MO_RIS_EPS_WAD_Adj,0,COLUMN())</f>
        <v>21.166273319847175</v>
      </c>
      <c r="AF400" s="385"/>
      <c r="AG400" s="470"/>
      <c r="AH400" s="385"/>
      <c r="AI400" s="385"/>
      <c r="AJ400" s="421">
        <f ca="1">INDEX(MO_VA_StockPrice,0,COLUMN())/INDEX(MO_RIS_EPS_WAD_Adj,0,COLUMN())</f>
        <v>20.680464527916012</v>
      </c>
      <c r="AK400" s="385"/>
      <c r="AL400" s="470"/>
      <c r="AM400" s="571"/>
      <c r="AN400" s="121"/>
      <c r="AO400" s="421">
        <f ca="1">INDEX(MO_VA_StockPrice,0,COLUMN())/INDEX(MO_RIS_EPS_WAD_Adj,0,COLUMN())</f>
        <v>12.414037725393694</v>
      </c>
      <c r="AP400" s="121"/>
      <c r="AQ400" s="121"/>
      <c r="AR400" s="121"/>
      <c r="AS400" s="121"/>
      <c r="AT400" s="421">
        <f ca="1">INDEX(MO_VA_StockPrice,0,COLUMN())/INDEX(MO_RIS_EPS_WAD_Adj,0,COLUMN())</f>
        <v>13.369572053822132</v>
      </c>
      <c r="AU400" s="421">
        <f ca="1">INDEX(MO_VA_StockPrice,0,COLUMN())/INDEX(MO_RIS_EPS_WAD_Adj,0,COLUMN())</f>
        <v>12.369936122717537</v>
      </c>
      <c r="AV400" s="421">
        <f ca="1">INDEX(MO_VA_StockPrice,0,COLUMN())/INDEX(MO_RIS_EPS_WAD_Adj,0,COLUMN())</f>
        <v>11.847840253517131</v>
      </c>
      <c r="AW400" s="421">
        <f ca="1">INDEX(MO_VA_StockPrice,0,COLUMN())/INDEX(MO_RIS_EPS_WAD_Adj,0,COLUMN())</f>
        <v>11.25153611824395</v>
      </c>
      <c r="AX400" s="121"/>
    </row>
    <row r="401" spans="1:50" s="38" customFormat="1" x14ac:dyDescent="0.45">
      <c r="A401" s="180" t="str">
        <f>"EV/Sales - "&amp;$B$396</f>
        <v>EV/Sales - Avg</v>
      </c>
      <c r="B401" s="197"/>
      <c r="C401" s="421">
        <f ca="1">INDEX(MO_VA_EV,0,COLUMN())/INDEX(MO_RIS_REV,0,COLUMN())</f>
        <v>5.4086069921970035</v>
      </c>
      <c r="D401" s="421">
        <f ca="1">INDEX(MO_VA_EV,0,COLUMN())/INDEX(MO_RIS_REV,0,COLUMN())</f>
        <v>5.0862174732498868</v>
      </c>
      <c r="E401" s="421">
        <f ca="1">INDEX(MO_VA_EV,0,COLUMN())/INDEX(MO_RIS_REV,0,COLUMN())</f>
        <v>5.4333877243593474</v>
      </c>
      <c r="F401" s="421">
        <f ca="1">INDEX(MO_VA_EV,0,COLUMN())/INDEX(MO_RIS_REV,0,COLUMN())</f>
        <v>2.7258617231856324</v>
      </c>
      <c r="G401" s="470"/>
      <c r="H401" s="470"/>
      <c r="I401" s="470"/>
      <c r="J401" s="470"/>
      <c r="K401" s="421">
        <f ca="1">INDEX(MO_VA_EV,0,COLUMN())/INDEX(MO_RIS_REV,0,COLUMN())</f>
        <v>2.4568655645685422</v>
      </c>
      <c r="L401" s="470"/>
      <c r="M401" s="470"/>
      <c r="N401" s="470"/>
      <c r="O401" s="470"/>
      <c r="P401" s="421">
        <f ca="1">INDEX(MO_VA_EV,0,COLUMN())/INDEX(MO_RIS_REV,0,COLUMN())</f>
        <v>1.6943261079096332</v>
      </c>
      <c r="Q401" s="470"/>
      <c r="R401" s="470"/>
      <c r="S401" s="470"/>
      <c r="T401" s="470"/>
      <c r="U401" s="421">
        <f ca="1">INDEX(MO_VA_EV,0,COLUMN())/INDEX(MO_RIS_REV,0,COLUMN())</f>
        <v>2.0230051174978732</v>
      </c>
      <c r="V401" s="470"/>
      <c r="W401" s="470"/>
      <c r="X401" s="385"/>
      <c r="Y401" s="385"/>
      <c r="Z401" s="421">
        <f ca="1">INDEX(MO_VA_EV,0,COLUMN())/INDEX(MO_RIS_REV,0,COLUMN())</f>
        <v>1.5424949080106118</v>
      </c>
      <c r="AA401" s="385"/>
      <c r="AB401" s="470"/>
      <c r="AC401" s="385"/>
      <c r="AD401" s="385"/>
      <c r="AE401" s="421">
        <f ca="1">INDEX(MO_VA_EV,0,COLUMN())/INDEX(MO_RIS_REV,0,COLUMN())</f>
        <v>1.7887165995943648</v>
      </c>
      <c r="AF401" s="385"/>
      <c r="AG401" s="470"/>
      <c r="AH401" s="385"/>
      <c r="AI401" s="385"/>
      <c r="AJ401" s="421">
        <f ca="1">INDEX(MO_VA_EV,0,COLUMN())/INDEX(MO_RIS_REV,0,COLUMN())</f>
        <v>2.1399578819609326</v>
      </c>
      <c r="AK401" s="385"/>
      <c r="AL401" s="470"/>
      <c r="AM401" s="571"/>
      <c r="AN401" s="121"/>
      <c r="AO401" s="421">
        <f ca="1">INDEX(MO_VA_EV,0,COLUMN())/INDEX(MO_RIS_REV,0,COLUMN())</f>
        <v>1.3130377276410998</v>
      </c>
      <c r="AP401" s="121"/>
      <c r="AQ401" s="121"/>
      <c r="AR401" s="121"/>
      <c r="AS401" s="121"/>
      <c r="AT401" s="421">
        <f ca="1">INDEX(MO_VA_EV,0,COLUMN())/INDEX(MO_RIS_REV,0,COLUMN())</f>
        <v>1.1775677249723653</v>
      </c>
      <c r="AU401" s="421">
        <f ca="1">INDEX(MO_VA_EV,0,COLUMN())/INDEX(MO_RIS_REV,0,COLUMN())</f>
        <v>1.0447748118155742</v>
      </c>
      <c r="AV401" s="421">
        <f ca="1">INDEX(MO_VA_EV,0,COLUMN())/INDEX(MO_RIS_REV,0,COLUMN())</f>
        <v>0.91747740430827707</v>
      </c>
      <c r="AW401" s="421">
        <f ca="1">INDEX(MO_VA_EV,0,COLUMN())/INDEX(MO_RIS_REV,0,COLUMN())</f>
        <v>0.7921362355855216</v>
      </c>
      <c r="AX401" s="121"/>
    </row>
    <row r="402" spans="1:50" s="38" customFormat="1" x14ac:dyDescent="0.45">
      <c r="A402" s="180" t="str">
        <f>"EV/EBITDA - "&amp;$B$396</f>
        <v>EV/EBITDA - Avg</v>
      </c>
      <c r="B402" s="197"/>
      <c r="C402" s="421">
        <f ca="1">INDEX(MO_VA_EV,0,COLUMN())/INDEX(MO_RIS_EBITDA_Adj,0,COLUMN())</f>
        <v>17.699798306605359</v>
      </c>
      <c r="D402" s="421">
        <f ca="1">INDEX(MO_VA_EV,0,COLUMN())/INDEX(MO_RIS_EBITDA_Adj,0,COLUMN())</f>
        <v>15.9772518890568</v>
      </c>
      <c r="E402" s="421">
        <f ca="1">INDEX(MO_VA_EV,0,COLUMN())/INDEX(MO_RIS_EBITDA_Adj,0,COLUMN())</f>
        <v>16.98887184476613</v>
      </c>
      <c r="F402" s="421">
        <f ca="1">INDEX(MO_VA_EV,0,COLUMN())/INDEX(MO_RIS_EBITDA_Adj,0,COLUMN())</f>
        <v>11.103721079463993</v>
      </c>
      <c r="G402" s="470"/>
      <c r="H402" s="470"/>
      <c r="I402" s="470"/>
      <c r="J402" s="470"/>
      <c r="K402" s="421">
        <f ca="1">INDEX(MO_VA_EV,0,COLUMN())/INDEX(MO_RIS_EBITDA_Adj,0,COLUMN())</f>
        <v>18.151243437230008</v>
      </c>
      <c r="L402" s="470"/>
      <c r="M402" s="470"/>
      <c r="N402" s="470"/>
      <c r="O402" s="470"/>
      <c r="P402" s="421">
        <f ca="1">INDEX(MO_VA_EV,0,COLUMN())/INDEX(MO_RIS_EBITDA_Adj,0,COLUMN())</f>
        <v>12.091142241065585</v>
      </c>
      <c r="Q402" s="470"/>
      <c r="R402" s="470"/>
      <c r="S402" s="470"/>
      <c r="T402" s="470"/>
      <c r="U402" s="421">
        <f ca="1">INDEX(MO_VA_EV,0,COLUMN())/INDEX(MO_RIS_EBITDA_Adj,0,COLUMN())</f>
        <v>13.716678248867598</v>
      </c>
      <c r="V402" s="470"/>
      <c r="W402" s="470"/>
      <c r="X402" s="385"/>
      <c r="Y402" s="385"/>
      <c r="Z402" s="421">
        <f ca="1">INDEX(MO_VA_EV,0,COLUMN())/INDEX(MO_RIS_EBITDA_Adj,0,COLUMN())</f>
        <v>9.5721347856264298</v>
      </c>
      <c r="AA402" s="385"/>
      <c r="AB402" s="470"/>
      <c r="AC402" s="385"/>
      <c r="AD402" s="385"/>
      <c r="AE402" s="421">
        <f ca="1">INDEX(MO_VA_EV,0,COLUMN())/INDEX(MO_RIS_EBITDA_Adj,0,COLUMN())</f>
        <v>15.888436318624347</v>
      </c>
      <c r="AF402" s="385"/>
      <c r="AG402" s="470"/>
      <c r="AH402" s="385"/>
      <c r="AI402" s="385"/>
      <c r="AJ402" s="421">
        <f ca="1">INDEX(MO_VA_EV,0,COLUMN())/INDEX(MO_RIS_EBITDA_Adj,0,COLUMN())</f>
        <v>12.376989849178756</v>
      </c>
      <c r="AK402" s="385"/>
      <c r="AL402" s="470"/>
      <c r="AM402" s="571"/>
      <c r="AN402" s="121"/>
      <c r="AO402" s="421">
        <f ca="1">INDEX(MO_VA_EV,0,COLUMN())/INDEX(MO_RIS_EBITDA_Adj,0,COLUMN())</f>
        <v>7.8820908976238604</v>
      </c>
      <c r="AP402" s="121"/>
      <c r="AQ402" s="121"/>
      <c r="AR402" s="121"/>
      <c r="AS402" s="121"/>
      <c r="AT402" s="421">
        <f ca="1">INDEX(MO_VA_EV,0,COLUMN())/INDEX(MO_RIS_EBITDA_Adj,0,COLUMN())</f>
        <v>7.0985812809340354</v>
      </c>
      <c r="AU402" s="421">
        <f ca="1">INDEX(MO_VA_EV,0,COLUMN())/INDEX(MO_RIS_EBITDA_Adj,0,COLUMN())</f>
        <v>6.1531562672759108</v>
      </c>
      <c r="AV402" s="421">
        <f ca="1">INDEX(MO_VA_EV,0,COLUMN())/INDEX(MO_RIS_EBITDA_Adj,0,COLUMN())</f>
        <v>5.4110034225358419</v>
      </c>
      <c r="AW402" s="421">
        <f ca="1">INDEX(MO_VA_EV,0,COLUMN())/INDEX(MO_RIS_EBITDA_Adj,0,COLUMN())</f>
        <v>4.6504620893494657</v>
      </c>
      <c r="AX402" s="121"/>
    </row>
    <row r="403" spans="1:50" s="38" customFormat="1" x14ac:dyDescent="0.45">
      <c r="A403" s="180" t="str">
        <f>"P/CF - "&amp;$B$396</f>
        <v>P/CF - Avg</v>
      </c>
      <c r="B403" s="197"/>
      <c r="C403" s="421">
        <f ca="1">INDEX(MO_VA_StockPrice,0,COLUMN())/INDEX(MO_CFSum_CFPS,0,COLUMN())</f>
        <v>25.879964900590416</v>
      </c>
      <c r="D403" s="421">
        <f ca="1">INDEX(MO_VA_StockPrice,0,COLUMN())/INDEX(MO_CFSum_CFPS,0,COLUMN())</f>
        <v>24.287157287980826</v>
      </c>
      <c r="E403" s="421">
        <f ca="1">INDEX(MO_VA_StockPrice,0,COLUMN())/INDEX(MO_CFSum_CFPS,0,COLUMN())</f>
        <v>27.319997047102849</v>
      </c>
      <c r="F403" s="421">
        <f ca="1">INDEX(MO_VA_StockPrice,0,COLUMN())/INDEX(MO_CFSum_CFPS,0,COLUMN())</f>
        <v>16.043994190396035</v>
      </c>
      <c r="G403" s="470"/>
      <c r="H403" s="470"/>
      <c r="I403" s="470"/>
      <c r="J403" s="470"/>
      <c r="K403" s="421">
        <f ca="1">INDEX(MO_VA_StockPrice,0,COLUMN())/INDEX(MO_CFSum_CFPS,0,COLUMN())</f>
        <v>17.117509897688407</v>
      </c>
      <c r="L403" s="470"/>
      <c r="M403" s="470"/>
      <c r="N403" s="470"/>
      <c r="O403" s="470"/>
      <c r="P403" s="421">
        <f ca="1">INDEX(MO_VA_StockPrice,0,COLUMN())/INDEX(MO_CFSum_CFPS,0,COLUMN())</f>
        <v>18.891977205275364</v>
      </c>
      <c r="Q403" s="470"/>
      <c r="R403" s="470"/>
      <c r="S403" s="470"/>
      <c r="T403" s="470"/>
      <c r="U403" s="421">
        <f ca="1">INDEX(MO_VA_StockPrice,0,COLUMN())/INDEX(MO_CFSum_CFPS,0,COLUMN())</f>
        <v>10.704470880927653</v>
      </c>
      <c r="V403" s="470"/>
      <c r="W403" s="470"/>
      <c r="X403" s="385"/>
      <c r="Y403" s="385"/>
      <c r="Z403" s="421">
        <f ca="1">INDEX(MO_VA_StockPrice,0,COLUMN())/INDEX(MO_CFSum_CFPS,0,COLUMN())</f>
        <v>10.060773063143753</v>
      </c>
      <c r="AA403" s="385"/>
      <c r="AB403" s="470"/>
      <c r="AC403" s="385"/>
      <c r="AD403" s="385"/>
      <c r="AE403" s="421">
        <f ca="1">INDEX(MO_VA_StockPrice,0,COLUMN())/INDEX(MO_CFSum_CFPS,0,COLUMN())</f>
        <v>14.002163472261458</v>
      </c>
      <c r="AF403" s="385"/>
      <c r="AG403" s="470"/>
      <c r="AH403" s="385"/>
      <c r="AI403" s="385"/>
      <c r="AJ403" s="421">
        <f ca="1">INDEX(MO_VA_StockPrice,0,COLUMN())/INDEX(MO_CFSum_CFPS,0,COLUMN())</f>
        <v>12.666347752736405</v>
      </c>
      <c r="AK403" s="385"/>
      <c r="AL403" s="470"/>
      <c r="AM403" s="571"/>
      <c r="AN403" s="121"/>
      <c r="AO403" s="421">
        <f ca="1">INDEX(MO_VA_StockPrice,0,COLUMN())/INDEX(MO_CFSum_CFPS,0,COLUMN())</f>
        <v>6.8856478648129773</v>
      </c>
      <c r="AP403" s="121"/>
      <c r="AQ403" s="121"/>
      <c r="AR403" s="121"/>
      <c r="AS403" s="121"/>
      <c r="AT403" s="421">
        <f ca="1">INDEX(MO_VA_StockPrice,0,COLUMN())/INDEX(MO_CFSum_CFPS,0,COLUMN())</f>
        <v>7.8432475830073409</v>
      </c>
      <c r="AU403" s="421">
        <f ca="1">INDEX(MO_VA_StockPrice,0,COLUMN())/INDEX(MO_CFSum_CFPS,0,COLUMN())</f>
        <v>7.483901140383403</v>
      </c>
      <c r="AV403" s="421">
        <f ca="1">INDEX(MO_VA_StockPrice,0,COLUMN())/INDEX(MO_CFSum_CFPS,0,COLUMN())</f>
        <v>7.2871303284379882</v>
      </c>
      <c r="AW403" s="421">
        <f ca="1">INDEX(MO_VA_StockPrice,0,COLUMN())/INDEX(MO_CFSum_CFPS,0,COLUMN())</f>
        <v>7.0542376038363939</v>
      </c>
      <c r="AX403" s="121"/>
    </row>
    <row r="404" spans="1:50" s="51" customFormat="1" x14ac:dyDescent="0.45">
      <c r="A404" s="66" t="str">
        <f>"FCF Yield % to "&amp;B396&amp;" Market Cap"</f>
        <v>FCF Yield % to Avg Market Cap</v>
      </c>
      <c r="B404" s="59"/>
      <c r="C404" s="403">
        <f ca="1">INDEX(MO_CFSum_FCF_PreDiv,0,COLUMN())/INDEX(MO_VA_MarketCap,0,COLUMN())</f>
        <v>3.0942001805845276E-2</v>
      </c>
      <c r="D404" s="403">
        <f ca="1">INDEX(MO_CFSum_FCF_PreDiv,0,COLUMN())/INDEX(MO_VA_MarketCap,0,COLUMN())</f>
        <v>3.2036251313378603E-2</v>
      </c>
      <c r="E404" s="403">
        <f ca="1">INDEX(MO_CFSum_FCF_PreDiv,0,COLUMN())/INDEX(MO_VA_MarketCap,0,COLUMN())</f>
        <v>2.7139778775225661E-2</v>
      </c>
      <c r="F404" s="403">
        <f ca="1">INDEX(MO_CFSum_FCF_PreDiv,0,COLUMN())/INDEX(MO_VA_MarketCap,0,COLUMN())</f>
        <v>3.3605054700324696E-2</v>
      </c>
      <c r="G404" s="386"/>
      <c r="H404" s="386"/>
      <c r="I404" s="386"/>
      <c r="J404" s="386"/>
      <c r="K404" s="403">
        <f ca="1">INDEX(MO_CFSum_FCF_PreDiv,0,COLUMN())/INDEX(MO_VA_MarketCap,0,COLUMN())</f>
        <v>3.4612794469884661E-2</v>
      </c>
      <c r="L404" s="386"/>
      <c r="M404" s="386"/>
      <c r="N404" s="386"/>
      <c r="O404" s="386"/>
      <c r="P404" s="403">
        <f ca="1">INDEX(MO_CFSum_FCF_PreDiv,0,COLUMN())/INDEX(MO_VA_MarketCap,0,COLUMN())</f>
        <v>3.0947183476567771E-2</v>
      </c>
      <c r="Q404" s="386"/>
      <c r="R404" s="386"/>
      <c r="S404" s="386"/>
      <c r="T404" s="386"/>
      <c r="U404" s="403">
        <f ca="1">INDEX(MO_CFSum_FCF_PreDiv,0,COLUMN())/INDEX(MO_VA_MarketCap,0,COLUMN())</f>
        <v>6.2497002766187887E-2</v>
      </c>
      <c r="V404" s="386"/>
      <c r="W404" s="386"/>
      <c r="X404" s="386"/>
      <c r="Y404" s="386"/>
      <c r="Z404" s="403">
        <f ca="1">INDEX(MO_CFSum_FCF_PreDiv,0,COLUMN())/INDEX(MO_VA_MarketCap,0,COLUMN())</f>
        <v>7.4154999887637379E-2</v>
      </c>
      <c r="AA404" s="386"/>
      <c r="AB404" s="386"/>
      <c r="AC404" s="386"/>
      <c r="AD404" s="386"/>
      <c r="AE404" s="403">
        <f ca="1">INDEX(MO_CFSum_FCF_PreDiv,0,COLUMN())/INDEX(MO_VA_MarketCap,0,COLUMN())</f>
        <v>4.0976438574367828E-2</v>
      </c>
      <c r="AF404" s="386"/>
      <c r="AG404" s="386"/>
      <c r="AH404" s="386"/>
      <c r="AI404" s="386"/>
      <c r="AJ404" s="403">
        <f ca="1">INDEX(MO_CFSum_FCF_PreDiv,0,COLUMN())/INDEX(MO_VA_MarketCap,0,COLUMN())</f>
        <v>5.6841700122943345E-2</v>
      </c>
      <c r="AK404" s="386"/>
      <c r="AL404" s="386"/>
      <c r="AM404" s="572"/>
      <c r="AN404" s="45"/>
      <c r="AO404" s="403">
        <f ca="1">INDEX(MO_CFSum_FCF_PreDiv,0,COLUMN())/INDEX(MO_VA_MarketCap,0,COLUMN())</f>
        <v>0.10153011133870128</v>
      </c>
      <c r="AP404" s="45"/>
      <c r="AQ404" s="45"/>
      <c r="AR404" s="45"/>
      <c r="AS404" s="45"/>
      <c r="AT404" s="403">
        <f ca="1">INDEX(MO_CFSum_FCF_PreDiv,0,COLUMN())/INDEX(MO_VA_MarketCap,0,COLUMN())</f>
        <v>8.2866550355894769E-2</v>
      </c>
      <c r="AU404" s="403">
        <f ca="1">INDEX(MO_CFSum_FCF_PreDiv,0,COLUMN())/INDEX(MO_VA_MarketCap,0,COLUMN())</f>
        <v>8.6877538082481082E-2</v>
      </c>
      <c r="AV404" s="403">
        <f ca="1">INDEX(MO_CFSum_FCF_PreDiv,0,COLUMN())/INDEX(MO_VA_MarketCap,0,COLUMN())</f>
        <v>8.8374660878390132E-2</v>
      </c>
      <c r="AW404" s="403">
        <f ca="1">INDEX(MO_CFSum_FCF_PreDiv,0,COLUMN())/INDEX(MO_VA_MarketCap,0,COLUMN())</f>
        <v>9.0794237200831171E-2</v>
      </c>
      <c r="AX404" s="58"/>
    </row>
    <row r="405" spans="1:50" s="51" customFormat="1" x14ac:dyDescent="0.45">
      <c r="A405" s="66" t="str">
        <f>"FCF Yield % to "&amp;B396&amp;" Enterprise Value"</f>
        <v>FCF Yield % to Avg Enterprise Value</v>
      </c>
      <c r="B405" s="59"/>
      <c r="C405" s="403">
        <f ca="1">INDEX(MO_CFSum_FCF_PreDiv,0,COLUMN())/INDEX(MO_VA_EV,0,COLUMN())</f>
        <v>3.2741110168456475E-2</v>
      </c>
      <c r="D405" s="403">
        <f ca="1">INDEX(MO_CFSum_FCF_PreDiv,0,COLUMN())/INDEX(MO_VA_EV,0,COLUMN())</f>
        <v>3.4134894755595724E-2</v>
      </c>
      <c r="E405" s="403">
        <f ca="1">INDEX(MO_CFSum_FCF_PreDiv,0,COLUMN())/INDEX(MO_VA_EV,0,COLUMN())</f>
        <v>2.8760070345236078E-2</v>
      </c>
      <c r="F405" s="403">
        <f ca="1">INDEX(MO_CFSum_FCF_PreDiv,0,COLUMN())/INDEX(MO_VA_EV,0,COLUMN())</f>
        <v>3.6766235204512762E-2</v>
      </c>
      <c r="G405" s="386"/>
      <c r="H405" s="386"/>
      <c r="I405" s="386"/>
      <c r="J405" s="386"/>
      <c r="K405" s="403">
        <f ca="1">INDEX(MO_CFSum_FCF_PreDiv,0,COLUMN())/INDEX(MO_VA_EV,0,COLUMN())</f>
        <v>3.8218302342515664E-2</v>
      </c>
      <c r="L405" s="386"/>
      <c r="M405" s="386"/>
      <c r="N405" s="386"/>
      <c r="O405" s="386"/>
      <c r="P405" s="403">
        <f ca="1">INDEX(MO_CFSum_FCF_PreDiv,0,COLUMN())/INDEX(MO_VA_EV,0,COLUMN())</f>
        <v>3.581262172576833E-2</v>
      </c>
      <c r="Q405" s="386"/>
      <c r="R405" s="386"/>
      <c r="S405" s="386"/>
      <c r="T405" s="386"/>
      <c r="U405" s="403">
        <f ca="1">INDEX(MO_CFSum_FCF_PreDiv,0,COLUMN())/INDEX(MO_VA_EV,0,COLUMN())</f>
        <v>5.8198294470635209E-2</v>
      </c>
      <c r="V405" s="386"/>
      <c r="W405" s="386"/>
      <c r="X405" s="386"/>
      <c r="Y405" s="386"/>
      <c r="Z405" s="403">
        <f ca="1">INDEX(MO_CFSum_FCF_PreDiv,0,COLUMN())/INDEX(MO_VA_EV,0,COLUMN())</f>
        <v>7.6293827662822222E-2</v>
      </c>
      <c r="AA405" s="386"/>
      <c r="AB405" s="386"/>
      <c r="AC405" s="386"/>
      <c r="AD405" s="386"/>
      <c r="AE405" s="403">
        <f ca="1">INDEX(MO_CFSum_FCF_PreDiv,0,COLUMN())/INDEX(MO_VA_EV,0,COLUMN())</f>
        <v>4.0624629872847345E-2</v>
      </c>
      <c r="AF405" s="386"/>
      <c r="AG405" s="386"/>
      <c r="AH405" s="386"/>
      <c r="AI405" s="386"/>
      <c r="AJ405" s="403">
        <f ca="1">INDEX(MO_CFSum_FCF_PreDiv,0,COLUMN())/INDEX(MO_VA_EV,0,COLUMN())</f>
        <v>5.7949964963951384E-2</v>
      </c>
      <c r="AK405" s="386"/>
      <c r="AL405" s="386"/>
      <c r="AM405" s="572"/>
      <c r="AN405" s="45"/>
      <c r="AO405" s="403">
        <f ca="1">INDEX(MO_CFSum_FCF_PreDiv,0,COLUMN())/INDEX(MO_VA_EV,0,COLUMN())</f>
        <v>9.4378278757974263E-2</v>
      </c>
      <c r="AP405" s="45"/>
      <c r="AQ405" s="45"/>
      <c r="AR405" s="45"/>
      <c r="AS405" s="45"/>
      <c r="AT405" s="403">
        <f ca="1">INDEX(MO_CFSum_FCF_PreDiv,0,COLUMN())/INDEX(MO_VA_EV,0,COLUMN())</f>
        <v>8.3331673441604678E-2</v>
      </c>
      <c r="AU405" s="403">
        <f ca="1">INDEX(MO_CFSum_FCF_PreDiv,0,COLUMN())/INDEX(MO_VA_EV,0,COLUMN())</f>
        <v>9.5605534326347538E-2</v>
      </c>
      <c r="AV405" s="403">
        <f ca="1">INDEX(MO_CFSum_FCF_PreDiv,0,COLUMN())/INDEX(MO_VA_EV,0,COLUMN())</f>
        <v>0.10745584954295358</v>
      </c>
      <c r="AW405" s="403">
        <f ca="1">INDEX(MO_CFSum_FCF_PreDiv,0,COLUMN())/INDEX(MO_VA_EV,0,COLUMN())</f>
        <v>0.12398542853693258</v>
      </c>
      <c r="AX405" s="58"/>
    </row>
    <row r="406" spans="1:50" s="51" customFormat="1" hidden="1" outlineLevel="1" x14ac:dyDescent="0.45">
      <c r="A406" s="66"/>
      <c r="B406" s="59"/>
      <c r="C406" s="403"/>
      <c r="D406" s="403"/>
      <c r="E406" s="403"/>
      <c r="F406" s="403"/>
      <c r="G406" s="386"/>
      <c r="H406" s="386"/>
      <c r="I406" s="386"/>
      <c r="J406" s="386"/>
      <c r="K406" s="403"/>
      <c r="L406" s="386"/>
      <c r="M406" s="386"/>
      <c r="N406" s="386"/>
      <c r="O406" s="386"/>
      <c r="P406" s="403"/>
      <c r="Q406" s="386"/>
      <c r="R406" s="386"/>
      <c r="S406" s="386"/>
      <c r="T406" s="386"/>
      <c r="U406" s="403"/>
      <c r="V406" s="386"/>
      <c r="W406" s="386"/>
      <c r="X406" s="386"/>
      <c r="Y406" s="386"/>
      <c r="Z406" s="403"/>
      <c r="AA406" s="386"/>
      <c r="AB406" s="386"/>
      <c r="AC406" s="386"/>
      <c r="AD406" s="386"/>
      <c r="AE406" s="403"/>
      <c r="AF406" s="386"/>
      <c r="AG406" s="386"/>
      <c r="AH406" s="386"/>
      <c r="AI406" s="386"/>
      <c r="AJ406" s="403"/>
      <c r="AK406" s="386"/>
      <c r="AL406" s="386"/>
      <c r="AM406" s="572"/>
      <c r="AN406" s="45"/>
      <c r="AO406" s="28"/>
      <c r="AP406" s="45"/>
      <c r="AQ406" s="45"/>
      <c r="AR406" s="45"/>
      <c r="AS406" s="45"/>
      <c r="AT406" s="28"/>
      <c r="AU406" s="77"/>
      <c r="AV406" s="77"/>
      <c r="AW406" s="77"/>
      <c r="AX406" s="58"/>
    </row>
    <row r="407" spans="1:50" s="338" customFormat="1" hidden="1" outlineLevel="1" x14ac:dyDescent="0.45">
      <c r="A407" s="346" t="str">
        <f ca="1">"Stock High, "&amp;HP.TradeCurrency</f>
        <v>Stock High, USD</v>
      </c>
      <c r="B407" s="347"/>
      <c r="C407" s="471">
        <f t="shared" ref="C407:AW407" ca="1" si="350">IF(INDEX(MO_SNA_IsHistoricalPeriod,1,COLUMN())=FALSE,0,INDEX(MO_SPT_StockHigh,1,COLUMN()))</f>
        <v>34.295000000000002</v>
      </c>
      <c r="D407" s="471">
        <f t="shared" ca="1" si="350"/>
        <v>41.84</v>
      </c>
      <c r="E407" s="471">
        <f t="shared" ca="1" si="350"/>
        <v>50.7</v>
      </c>
      <c r="F407" s="471">
        <f t="shared" ca="1" si="350"/>
        <v>44.19</v>
      </c>
      <c r="G407" s="387">
        <f t="shared" ca="1" si="350"/>
        <v>19.47</v>
      </c>
      <c r="H407" s="387">
        <f t="shared" ca="1" si="350"/>
        <v>23.58</v>
      </c>
      <c r="I407" s="387">
        <f t="shared" ca="1" si="350"/>
        <v>24.15</v>
      </c>
      <c r="J407" s="387">
        <f t="shared" ca="1" si="350"/>
        <v>21.07</v>
      </c>
      <c r="K407" s="471">
        <f t="shared" ca="1" si="350"/>
        <v>24.15</v>
      </c>
      <c r="L407" s="387">
        <f t="shared" ca="1" si="350"/>
        <v>18.89</v>
      </c>
      <c r="M407" s="387">
        <f t="shared" ca="1" si="350"/>
        <v>16.63</v>
      </c>
      <c r="N407" s="387">
        <f t="shared" ca="1" si="350"/>
        <v>15.99</v>
      </c>
      <c r="O407" s="387">
        <f t="shared" ca="1" si="350"/>
        <v>18.75</v>
      </c>
      <c r="P407" s="471">
        <f t="shared" ca="1" si="350"/>
        <v>18.89</v>
      </c>
      <c r="Q407" s="387">
        <f t="shared" ca="1" si="350"/>
        <v>17.95</v>
      </c>
      <c r="R407" s="387">
        <f t="shared" ca="1" si="350"/>
        <v>17.059999999999999</v>
      </c>
      <c r="S407" s="387">
        <f t="shared" ca="1" si="350"/>
        <v>16.739999999999998</v>
      </c>
      <c r="T407" s="387">
        <f t="shared" ca="1" si="350"/>
        <v>17.5</v>
      </c>
      <c r="U407" s="471">
        <f t="shared" ca="1" si="350"/>
        <v>17.95</v>
      </c>
      <c r="V407" s="387">
        <f t="shared" ca="1" si="350"/>
        <v>15.31</v>
      </c>
      <c r="W407" s="387">
        <f t="shared" ca="1" si="350"/>
        <v>13.04</v>
      </c>
      <c r="X407" s="387">
        <f t="shared" ca="1" si="350"/>
        <v>14.18</v>
      </c>
      <c r="Y407" s="387">
        <f t="shared" ca="1" si="350"/>
        <v>15.9</v>
      </c>
      <c r="Z407" s="422">
        <f t="shared" ca="1" si="350"/>
        <v>15.9</v>
      </c>
      <c r="AA407" s="387">
        <f t="shared" ca="1" si="350"/>
        <v>17.55</v>
      </c>
      <c r="AB407" s="387">
        <f t="shared" ca="1" si="350"/>
        <v>17.739999999999998</v>
      </c>
      <c r="AC407" s="387">
        <f t="shared" ca="1" si="350"/>
        <v>16.190000000000001</v>
      </c>
      <c r="AD407" s="387">
        <f t="shared" ca="1" si="350"/>
        <v>14.35</v>
      </c>
      <c r="AE407" s="422">
        <f t="shared" ca="1" si="350"/>
        <v>17.739999999999998</v>
      </c>
      <c r="AF407" s="387">
        <f t="shared" ca="1" si="350"/>
        <v>20.25</v>
      </c>
      <c r="AG407" s="387">
        <f t="shared" ca="1" si="350"/>
        <v>22.96</v>
      </c>
      <c r="AH407" s="387">
        <f t="shared" ca="1" si="350"/>
        <v>20.260000000000002</v>
      </c>
      <c r="AI407" s="387">
        <f t="shared" ca="1" si="350"/>
        <v>18.93</v>
      </c>
      <c r="AJ407" s="422">
        <f t="shared" ca="1" si="350"/>
        <v>22.96</v>
      </c>
      <c r="AK407" s="387">
        <f t="shared" ca="1" si="350"/>
        <v>20.13</v>
      </c>
      <c r="AL407" s="387">
        <f t="shared" ca="1" si="350"/>
        <v>20.53</v>
      </c>
      <c r="AM407" s="573">
        <f t="shared" ca="1" si="350"/>
        <v>18.420000000000002</v>
      </c>
      <c r="AN407" s="348">
        <f t="shared" si="350"/>
        <v>0</v>
      </c>
      <c r="AO407" s="349">
        <f t="shared" si="350"/>
        <v>0</v>
      </c>
      <c r="AP407" s="348">
        <f t="shared" si="350"/>
        <v>0</v>
      </c>
      <c r="AQ407" s="348">
        <f t="shared" si="350"/>
        <v>0</v>
      </c>
      <c r="AR407" s="348">
        <f t="shared" si="350"/>
        <v>0</v>
      </c>
      <c r="AS407" s="348">
        <f t="shared" si="350"/>
        <v>0</v>
      </c>
      <c r="AT407" s="349">
        <f t="shared" si="350"/>
        <v>0</v>
      </c>
      <c r="AU407" s="350">
        <f t="shared" si="350"/>
        <v>0</v>
      </c>
      <c r="AV407" s="350">
        <f t="shared" si="350"/>
        <v>0</v>
      </c>
      <c r="AW407" s="350">
        <f t="shared" si="350"/>
        <v>0</v>
      </c>
      <c r="AX407" s="312"/>
    </row>
    <row r="408" spans="1:50" s="338" customFormat="1" hidden="1" outlineLevel="1" x14ac:dyDescent="0.45">
      <c r="A408" s="346" t="str">
        <f ca="1">"Stock Low, "&amp;HP.TradeCurrency</f>
        <v>Stock Low, USD</v>
      </c>
      <c r="B408" s="347"/>
      <c r="C408" s="471">
        <f t="shared" ref="C408:AW408" ca="1" si="351">IF(INDEX(MO_SNA_IsHistoricalPeriod,1,COLUMN())=FALSE,0,INDEX(MO_SPT_StockLow,1,COLUMN()))</f>
        <v>21.72</v>
      </c>
      <c r="D408" s="471">
        <f t="shared" ca="1" si="351"/>
        <v>26.45</v>
      </c>
      <c r="E408" s="471">
        <f t="shared" ca="1" si="351"/>
        <v>33.08</v>
      </c>
      <c r="F408" s="471">
        <f t="shared" ca="1" si="351"/>
        <v>15.04</v>
      </c>
      <c r="G408" s="387">
        <f t="shared" ca="1" si="351"/>
        <v>17.010000000000002</v>
      </c>
      <c r="H408" s="387">
        <f t="shared" ca="1" si="351"/>
        <v>18.63</v>
      </c>
      <c r="I408" s="387">
        <f t="shared" ca="1" si="351"/>
        <v>20.29</v>
      </c>
      <c r="J408" s="387">
        <f t="shared" ca="1" si="351"/>
        <v>16.28</v>
      </c>
      <c r="K408" s="471">
        <f t="shared" ca="1" si="351"/>
        <v>16.28</v>
      </c>
      <c r="L408" s="387">
        <f t="shared" ca="1" si="351"/>
        <v>14.1</v>
      </c>
      <c r="M408" s="387">
        <f t="shared" ca="1" si="351"/>
        <v>13.69</v>
      </c>
      <c r="N408" s="387">
        <f t="shared" ca="1" si="351"/>
        <v>13.01</v>
      </c>
      <c r="O408" s="387">
        <f t="shared" ca="1" si="351"/>
        <v>15.31</v>
      </c>
      <c r="P408" s="471">
        <f t="shared" ca="1" si="351"/>
        <v>13.01</v>
      </c>
      <c r="Q408" s="387">
        <f t="shared" ca="1" si="351"/>
        <v>15.33</v>
      </c>
      <c r="R408" s="387">
        <f t="shared" ca="1" si="351"/>
        <v>12.01</v>
      </c>
      <c r="S408" s="387">
        <f t="shared" ca="1" si="351"/>
        <v>12.11</v>
      </c>
      <c r="T408" s="387">
        <f t="shared" ca="1" si="351"/>
        <v>12.51</v>
      </c>
      <c r="U408" s="471">
        <f t="shared" ca="1" si="351"/>
        <v>12.01</v>
      </c>
      <c r="V408" s="387">
        <f t="shared" ca="1" si="351"/>
        <v>11.1</v>
      </c>
      <c r="W408" s="387">
        <f t="shared" ca="1" si="351"/>
        <v>11.13</v>
      </c>
      <c r="X408" s="387">
        <f t="shared" ca="1" si="351"/>
        <v>10.61</v>
      </c>
      <c r="Y408" s="387">
        <f t="shared" ca="1" si="351"/>
        <v>13.07</v>
      </c>
      <c r="Z408" s="422">
        <f t="shared" ca="1" si="351"/>
        <v>10.61</v>
      </c>
      <c r="AA408" s="387">
        <f t="shared" ca="1" si="351"/>
        <v>13.45</v>
      </c>
      <c r="AB408" s="387">
        <f t="shared" ca="1" si="351"/>
        <v>14.62</v>
      </c>
      <c r="AC408" s="387">
        <f t="shared" ca="1" si="351"/>
        <v>12.61</v>
      </c>
      <c r="AD408" s="387">
        <f t="shared" ca="1" si="351"/>
        <v>12.24</v>
      </c>
      <c r="AE408" s="422">
        <f t="shared" ca="1" si="351"/>
        <v>12.24</v>
      </c>
      <c r="AF408" s="387">
        <f t="shared" ca="1" si="351"/>
        <v>13.28</v>
      </c>
      <c r="AG408" s="387">
        <f t="shared" ca="1" si="351"/>
        <v>19.53</v>
      </c>
      <c r="AH408" s="387">
        <f t="shared" ca="1" si="351"/>
        <v>14.58</v>
      </c>
      <c r="AI408" s="387">
        <f t="shared" ca="1" si="351"/>
        <v>15.15</v>
      </c>
      <c r="AJ408" s="422">
        <f t="shared" ca="1" si="351"/>
        <v>13.28</v>
      </c>
      <c r="AK408" s="387">
        <f t="shared" ca="1" si="351"/>
        <v>16.79</v>
      </c>
      <c r="AL408" s="387">
        <f t="shared" ca="1" si="351"/>
        <v>14.06</v>
      </c>
      <c r="AM408" s="573">
        <f t="shared" ca="1" si="351"/>
        <v>14.74</v>
      </c>
      <c r="AN408" s="348">
        <f t="shared" si="351"/>
        <v>0</v>
      </c>
      <c r="AO408" s="349">
        <f t="shared" si="351"/>
        <v>0</v>
      </c>
      <c r="AP408" s="348">
        <f t="shared" si="351"/>
        <v>0</v>
      </c>
      <c r="AQ408" s="348">
        <f t="shared" si="351"/>
        <v>0</v>
      </c>
      <c r="AR408" s="348">
        <f t="shared" si="351"/>
        <v>0</v>
      </c>
      <c r="AS408" s="348">
        <f t="shared" si="351"/>
        <v>0</v>
      </c>
      <c r="AT408" s="349">
        <f t="shared" si="351"/>
        <v>0</v>
      </c>
      <c r="AU408" s="350">
        <f t="shared" si="351"/>
        <v>0</v>
      </c>
      <c r="AV408" s="350">
        <f t="shared" si="351"/>
        <v>0</v>
      </c>
      <c r="AW408" s="350">
        <f t="shared" si="351"/>
        <v>0</v>
      </c>
      <c r="AX408" s="312"/>
    </row>
    <row r="409" spans="1:50" s="338" customFormat="1" hidden="1" outlineLevel="1" x14ac:dyDescent="0.45">
      <c r="A409" s="346" t="str">
        <f ca="1">"Stock Average, "&amp;HP.TradeCurrency</f>
        <v>Stock Average, USD</v>
      </c>
      <c r="B409" s="347"/>
      <c r="C409" s="471">
        <f t="shared" ref="C409:AW409" ca="1" si="352">IF(INDEX(MO_SNA_IsHistoricalPeriod,1,COLUMN())=FALSE,0,INDEX(MO_SPT_StockAverage,1,COLUMN()))</f>
        <v>28.998125000000002</v>
      </c>
      <c r="D409" s="471">
        <f t="shared" ca="1" si="352"/>
        <v>32.883749999999999</v>
      </c>
      <c r="E409" s="471">
        <f t="shared" ca="1" si="352"/>
        <v>41.912500000000001</v>
      </c>
      <c r="F409" s="471">
        <f t="shared" ca="1" si="352"/>
        <v>23.0825</v>
      </c>
      <c r="G409" s="387">
        <f t="shared" ca="1" si="352"/>
        <v>18.239999999999998</v>
      </c>
      <c r="H409" s="387">
        <f t="shared" ca="1" si="352"/>
        <v>21.105</v>
      </c>
      <c r="I409" s="387">
        <f t="shared" ca="1" si="352"/>
        <v>22.22</v>
      </c>
      <c r="J409" s="387">
        <f t="shared" ca="1" si="352"/>
        <v>18.675000000000001</v>
      </c>
      <c r="K409" s="471">
        <f t="shared" ca="1" si="352"/>
        <v>20.059999999999999</v>
      </c>
      <c r="L409" s="387">
        <f t="shared" ca="1" si="352"/>
        <v>16.495000000000001</v>
      </c>
      <c r="M409" s="387">
        <f t="shared" ca="1" si="352"/>
        <v>15.16</v>
      </c>
      <c r="N409" s="387">
        <f t="shared" ca="1" si="352"/>
        <v>14.5</v>
      </c>
      <c r="O409" s="387">
        <f t="shared" ca="1" si="352"/>
        <v>17.03</v>
      </c>
      <c r="P409" s="471">
        <f t="shared" ca="1" si="352"/>
        <v>15.796250000000001</v>
      </c>
      <c r="Q409" s="387">
        <f t="shared" ca="1" si="352"/>
        <v>16.64</v>
      </c>
      <c r="R409" s="387">
        <f t="shared" ca="1" si="352"/>
        <v>14.535</v>
      </c>
      <c r="S409" s="387">
        <f t="shared" ca="1" si="352"/>
        <v>14.425000000000001</v>
      </c>
      <c r="T409" s="387">
        <f t="shared" ca="1" si="352"/>
        <v>15.005000000000001</v>
      </c>
      <c r="U409" s="471">
        <f t="shared" ca="1" si="352"/>
        <v>15.151249999999999</v>
      </c>
      <c r="V409" s="387">
        <f t="shared" ca="1" si="352"/>
        <v>13.205</v>
      </c>
      <c r="W409" s="387">
        <f t="shared" ca="1" si="352"/>
        <v>12.085000000000001</v>
      </c>
      <c r="X409" s="387">
        <f t="shared" ca="1" si="352"/>
        <v>12.395</v>
      </c>
      <c r="Y409" s="387">
        <f t="shared" ca="1" si="352"/>
        <v>14.484999999999999</v>
      </c>
      <c r="Z409" s="422">
        <f t="shared" ca="1" si="352"/>
        <v>13.0425</v>
      </c>
      <c r="AA409" s="387">
        <f t="shared" ca="1" si="352"/>
        <v>15.5</v>
      </c>
      <c r="AB409" s="387">
        <f t="shared" ca="1" si="352"/>
        <v>16.18</v>
      </c>
      <c r="AC409" s="387">
        <f t="shared" ca="1" si="352"/>
        <v>14.4</v>
      </c>
      <c r="AD409" s="387">
        <f t="shared" ca="1" si="352"/>
        <v>13.295</v>
      </c>
      <c r="AE409" s="422">
        <f t="shared" ca="1" si="352"/>
        <v>14.84375</v>
      </c>
      <c r="AF409" s="387">
        <f t="shared" ca="1" si="352"/>
        <v>15.805468749999999</v>
      </c>
      <c r="AG409" s="387">
        <f t="shared" ca="1" si="352"/>
        <v>21.200952380952401</v>
      </c>
      <c r="AH409" s="387">
        <f t="shared" ca="1" si="352"/>
        <v>17.155396825396799</v>
      </c>
      <c r="AI409" s="387">
        <f t="shared" ca="1" si="352"/>
        <v>17.3393442622951</v>
      </c>
      <c r="AJ409" s="422">
        <f t="shared" ca="1" si="352"/>
        <v>17.8713147410358</v>
      </c>
      <c r="AK409" s="387">
        <f t="shared" ca="1" si="352"/>
        <v>18.674761904761901</v>
      </c>
      <c r="AL409" s="387">
        <f t="shared" ca="1" si="352"/>
        <v>16.632578124999998</v>
      </c>
      <c r="AM409" s="573">
        <f t="shared" ca="1" si="352"/>
        <v>16.522421874999999</v>
      </c>
      <c r="AN409" s="348">
        <f t="shared" si="352"/>
        <v>0</v>
      </c>
      <c r="AO409" s="349">
        <f t="shared" si="352"/>
        <v>0</v>
      </c>
      <c r="AP409" s="348">
        <f t="shared" si="352"/>
        <v>0</v>
      </c>
      <c r="AQ409" s="348">
        <f t="shared" si="352"/>
        <v>0</v>
      </c>
      <c r="AR409" s="348">
        <f t="shared" si="352"/>
        <v>0</v>
      </c>
      <c r="AS409" s="348">
        <f t="shared" si="352"/>
        <v>0</v>
      </c>
      <c r="AT409" s="349">
        <f t="shared" si="352"/>
        <v>0</v>
      </c>
      <c r="AU409" s="350">
        <f t="shared" si="352"/>
        <v>0</v>
      </c>
      <c r="AV409" s="350">
        <f t="shared" si="352"/>
        <v>0</v>
      </c>
      <c r="AW409" s="350">
        <f t="shared" si="352"/>
        <v>0</v>
      </c>
      <c r="AX409" s="312"/>
    </row>
    <row r="410" spans="1:50" s="344" customFormat="1" hidden="1" outlineLevel="1" x14ac:dyDescent="0.45">
      <c r="A410" s="351" t="str">
        <f ca="1">"Average FX Rate, "&amp;HP.TradeCurrency&amp;"/"&amp;MO.ReportCurrency</f>
        <v>Average FX Rate, USD/USD</v>
      </c>
      <c r="B410" s="352"/>
      <c r="C410" s="472">
        <f t="shared" ref="C410:AW410" ca="1" si="353">IF(INDEX(MO_SPT_FXAverage,1,COLUMN())=0,1,INDEX(MO_SPT_FXAverage,1,COLUMN()))</f>
        <v>1</v>
      </c>
      <c r="D410" s="472">
        <f t="shared" ca="1" si="353"/>
        <v>1</v>
      </c>
      <c r="E410" s="472">
        <f t="shared" ca="1" si="353"/>
        <v>1</v>
      </c>
      <c r="F410" s="472">
        <f t="shared" ca="1" si="353"/>
        <v>1</v>
      </c>
      <c r="G410" s="388">
        <f t="shared" ca="1" si="353"/>
        <v>1</v>
      </c>
      <c r="H410" s="388">
        <f t="shared" ca="1" si="353"/>
        <v>1</v>
      </c>
      <c r="I410" s="388">
        <f t="shared" ca="1" si="353"/>
        <v>1</v>
      </c>
      <c r="J410" s="388">
        <f t="shared" ca="1" si="353"/>
        <v>1</v>
      </c>
      <c r="K410" s="472">
        <f t="shared" ca="1" si="353"/>
        <v>1</v>
      </c>
      <c r="L410" s="388">
        <f t="shared" ca="1" si="353"/>
        <v>1</v>
      </c>
      <c r="M410" s="388">
        <f t="shared" ca="1" si="353"/>
        <v>1</v>
      </c>
      <c r="N410" s="388">
        <f t="shared" ca="1" si="353"/>
        <v>1</v>
      </c>
      <c r="O410" s="388">
        <f t="shared" ca="1" si="353"/>
        <v>1</v>
      </c>
      <c r="P410" s="472">
        <f t="shared" ca="1" si="353"/>
        <v>1</v>
      </c>
      <c r="Q410" s="388">
        <f t="shared" ca="1" si="353"/>
        <v>1</v>
      </c>
      <c r="R410" s="388">
        <f t="shared" ca="1" si="353"/>
        <v>1</v>
      </c>
      <c r="S410" s="388">
        <f t="shared" ca="1" si="353"/>
        <v>1</v>
      </c>
      <c r="T410" s="388">
        <f t="shared" ca="1" si="353"/>
        <v>1</v>
      </c>
      <c r="U410" s="472">
        <f t="shared" ca="1" si="353"/>
        <v>1</v>
      </c>
      <c r="V410" s="388">
        <f t="shared" ca="1" si="353"/>
        <v>1</v>
      </c>
      <c r="W410" s="388">
        <f t="shared" ca="1" si="353"/>
        <v>1</v>
      </c>
      <c r="X410" s="388">
        <f t="shared" ca="1" si="353"/>
        <v>1</v>
      </c>
      <c r="Y410" s="388">
        <f t="shared" ca="1" si="353"/>
        <v>1</v>
      </c>
      <c r="Z410" s="423">
        <f t="shared" ca="1" si="353"/>
        <v>1</v>
      </c>
      <c r="AA410" s="388">
        <f t="shared" ca="1" si="353"/>
        <v>1</v>
      </c>
      <c r="AB410" s="388">
        <f t="shared" ca="1" si="353"/>
        <v>1</v>
      </c>
      <c r="AC410" s="388">
        <f t="shared" ca="1" si="353"/>
        <v>1</v>
      </c>
      <c r="AD410" s="388">
        <f t="shared" ca="1" si="353"/>
        <v>1</v>
      </c>
      <c r="AE410" s="423">
        <f t="shared" ca="1" si="353"/>
        <v>1</v>
      </c>
      <c r="AF410" s="388">
        <f t="shared" ca="1" si="353"/>
        <v>1</v>
      </c>
      <c r="AG410" s="388">
        <f t="shared" ca="1" si="353"/>
        <v>1</v>
      </c>
      <c r="AH410" s="388">
        <f t="shared" ca="1" si="353"/>
        <v>1</v>
      </c>
      <c r="AI410" s="388">
        <f t="shared" ca="1" si="353"/>
        <v>1</v>
      </c>
      <c r="AJ410" s="423">
        <f t="shared" ca="1" si="353"/>
        <v>1</v>
      </c>
      <c r="AK410" s="388">
        <f t="shared" ca="1" si="353"/>
        <v>1</v>
      </c>
      <c r="AL410" s="388">
        <f t="shared" ca="1" si="353"/>
        <v>1</v>
      </c>
      <c r="AM410" s="574">
        <f t="shared" ca="1" si="353"/>
        <v>1</v>
      </c>
      <c r="AN410" s="353">
        <f t="shared" ca="1" si="353"/>
        <v>1</v>
      </c>
      <c r="AO410" s="354">
        <f t="shared" ca="1" si="353"/>
        <v>1</v>
      </c>
      <c r="AP410" s="353">
        <f t="shared" ca="1" si="353"/>
        <v>1</v>
      </c>
      <c r="AQ410" s="353">
        <f t="shared" ca="1" si="353"/>
        <v>1</v>
      </c>
      <c r="AR410" s="353">
        <f t="shared" ca="1" si="353"/>
        <v>1</v>
      </c>
      <c r="AS410" s="353">
        <f t="shared" ca="1" si="353"/>
        <v>1</v>
      </c>
      <c r="AT410" s="354">
        <f t="shared" ca="1" si="353"/>
        <v>1</v>
      </c>
      <c r="AU410" s="355">
        <f t="shared" ca="1" si="353"/>
        <v>1</v>
      </c>
      <c r="AV410" s="355">
        <f t="shared" ca="1" si="353"/>
        <v>1</v>
      </c>
      <c r="AW410" s="355">
        <f t="shared" ca="1" si="353"/>
        <v>1</v>
      </c>
      <c r="AX410" s="343"/>
    </row>
    <row r="411" spans="1:50" s="338" customFormat="1" hidden="1" outlineLevel="1" x14ac:dyDescent="0.45">
      <c r="A411" s="346" t="str">
        <f ca="1">"Stock Price (Trading Cur.) - "&amp;MO.ValuationToggle&amp;", "&amp;HP.TradeCurrency</f>
        <v>Stock Price (Trading Cur.) - Avg, USD</v>
      </c>
      <c r="B411" s="347"/>
      <c r="C411" s="471">
        <f t="shared" ref="C411:AW411" ca="1" si="354">IF(INDEX(MO_SNA_IsHistoricalPeriod,1,COLUMN())=FALSE,MO.LastPrice,CHOOSE(VLOOKUP(MO.ValuationToggle,tb_ValuationToggle,COLUMNS(tb_ValuationToggle),FALSE),C407,C408,C409))</f>
        <v>28.998125000000002</v>
      </c>
      <c r="D411" s="471">
        <f t="shared" ca="1" si="354"/>
        <v>32.883749999999999</v>
      </c>
      <c r="E411" s="471">
        <f t="shared" ca="1" si="354"/>
        <v>41.912500000000001</v>
      </c>
      <c r="F411" s="471">
        <f t="shared" ca="1" si="354"/>
        <v>23.0825</v>
      </c>
      <c r="G411" s="387">
        <f t="shared" ca="1" si="354"/>
        <v>18.239999999999998</v>
      </c>
      <c r="H411" s="387">
        <f t="shared" ca="1" si="354"/>
        <v>21.105</v>
      </c>
      <c r="I411" s="387">
        <f t="shared" ca="1" si="354"/>
        <v>22.22</v>
      </c>
      <c r="J411" s="387">
        <f t="shared" ca="1" si="354"/>
        <v>18.675000000000001</v>
      </c>
      <c r="K411" s="471">
        <f t="shared" ca="1" si="354"/>
        <v>20.059999999999999</v>
      </c>
      <c r="L411" s="387">
        <f t="shared" ca="1" si="354"/>
        <v>16.495000000000001</v>
      </c>
      <c r="M411" s="387">
        <f t="shared" ca="1" si="354"/>
        <v>15.16</v>
      </c>
      <c r="N411" s="387">
        <f t="shared" ca="1" si="354"/>
        <v>14.5</v>
      </c>
      <c r="O411" s="387">
        <f t="shared" ca="1" si="354"/>
        <v>17.03</v>
      </c>
      <c r="P411" s="471">
        <f t="shared" ca="1" si="354"/>
        <v>15.796250000000001</v>
      </c>
      <c r="Q411" s="387">
        <f t="shared" ca="1" si="354"/>
        <v>16.64</v>
      </c>
      <c r="R411" s="387">
        <f t="shared" ca="1" si="354"/>
        <v>14.535</v>
      </c>
      <c r="S411" s="387">
        <f t="shared" ca="1" si="354"/>
        <v>14.425000000000001</v>
      </c>
      <c r="T411" s="387">
        <f t="shared" ca="1" si="354"/>
        <v>15.005000000000001</v>
      </c>
      <c r="U411" s="471">
        <f t="shared" ca="1" si="354"/>
        <v>15.151249999999999</v>
      </c>
      <c r="V411" s="387">
        <f t="shared" ca="1" si="354"/>
        <v>13.205</v>
      </c>
      <c r="W411" s="387">
        <f t="shared" ca="1" si="354"/>
        <v>12.085000000000001</v>
      </c>
      <c r="X411" s="387">
        <f t="shared" ca="1" si="354"/>
        <v>12.395</v>
      </c>
      <c r="Y411" s="387">
        <f t="shared" ca="1" si="354"/>
        <v>14.484999999999999</v>
      </c>
      <c r="Z411" s="422">
        <f t="shared" ca="1" si="354"/>
        <v>13.0425</v>
      </c>
      <c r="AA411" s="387">
        <f t="shared" ca="1" si="354"/>
        <v>15.5</v>
      </c>
      <c r="AB411" s="387">
        <f t="shared" ca="1" si="354"/>
        <v>16.18</v>
      </c>
      <c r="AC411" s="387">
        <f t="shared" ca="1" si="354"/>
        <v>14.4</v>
      </c>
      <c r="AD411" s="387">
        <f t="shared" ca="1" si="354"/>
        <v>13.295</v>
      </c>
      <c r="AE411" s="422">
        <f t="shared" ca="1" si="354"/>
        <v>14.84375</v>
      </c>
      <c r="AF411" s="387">
        <f t="shared" ca="1" si="354"/>
        <v>15.805468749999999</v>
      </c>
      <c r="AG411" s="387">
        <f t="shared" ca="1" si="354"/>
        <v>21.200952380952401</v>
      </c>
      <c r="AH411" s="387">
        <f t="shared" ca="1" si="354"/>
        <v>17.155396825396799</v>
      </c>
      <c r="AI411" s="387">
        <f t="shared" ca="1" si="354"/>
        <v>17.3393442622951</v>
      </c>
      <c r="AJ411" s="422">
        <f t="shared" ca="1" si="354"/>
        <v>17.8713147410358</v>
      </c>
      <c r="AK411" s="387">
        <f t="shared" ca="1" si="354"/>
        <v>18.674761904761901</v>
      </c>
      <c r="AL411" s="387">
        <f t="shared" ca="1" si="354"/>
        <v>16.632578124999998</v>
      </c>
      <c r="AM411" s="573">
        <f t="shared" ca="1" si="354"/>
        <v>16.522421874999999</v>
      </c>
      <c r="AN411" s="348">
        <f t="shared" ca="1" si="354"/>
        <v>10.1</v>
      </c>
      <c r="AO411" s="349">
        <f t="shared" ca="1" si="354"/>
        <v>10.1</v>
      </c>
      <c r="AP411" s="348">
        <f t="shared" ca="1" si="354"/>
        <v>10.1</v>
      </c>
      <c r="AQ411" s="348">
        <f t="shared" ca="1" si="354"/>
        <v>10.1</v>
      </c>
      <c r="AR411" s="348">
        <f t="shared" ca="1" si="354"/>
        <v>10.1</v>
      </c>
      <c r="AS411" s="348">
        <f t="shared" ca="1" si="354"/>
        <v>10.1</v>
      </c>
      <c r="AT411" s="349">
        <f t="shared" ca="1" si="354"/>
        <v>10.1</v>
      </c>
      <c r="AU411" s="350">
        <f t="shared" ca="1" si="354"/>
        <v>10.1</v>
      </c>
      <c r="AV411" s="350">
        <f t="shared" ca="1" si="354"/>
        <v>10.1</v>
      </c>
      <c r="AW411" s="350">
        <f t="shared" ca="1" si="354"/>
        <v>10.1</v>
      </c>
      <c r="AX411" s="312"/>
    </row>
    <row r="412" spans="1:50" s="29" customFormat="1" hidden="1" outlineLevel="1" x14ac:dyDescent="0.45">
      <c r="A412" s="61"/>
      <c r="B412" s="147"/>
      <c r="C412" s="840"/>
      <c r="D412" s="840"/>
      <c r="E412" s="840"/>
      <c r="F412" s="840"/>
      <c r="G412" s="841"/>
      <c r="H412" s="841"/>
      <c r="I412" s="841"/>
      <c r="J412" s="841"/>
      <c r="K412" s="840"/>
      <c r="L412" s="841"/>
      <c r="M412" s="841"/>
      <c r="N412" s="841"/>
      <c r="O412" s="841"/>
      <c r="P412" s="840"/>
      <c r="Q412" s="841"/>
      <c r="R412" s="841"/>
      <c r="S412" s="841"/>
      <c r="T412" s="841"/>
      <c r="U412" s="840"/>
      <c r="V412" s="841"/>
      <c r="W412" s="841"/>
      <c r="X412" s="841"/>
      <c r="Y412" s="841"/>
      <c r="Z412" s="840"/>
      <c r="AA412" s="841"/>
      <c r="AB412" s="841"/>
      <c r="AC412" s="841"/>
      <c r="AD412" s="841"/>
      <c r="AE412" s="840"/>
      <c r="AF412" s="841"/>
      <c r="AG412" s="841"/>
      <c r="AH412" s="841"/>
      <c r="AI412" s="841"/>
      <c r="AJ412" s="840"/>
      <c r="AK412" s="841"/>
      <c r="AL412" s="841"/>
      <c r="AM412" s="842"/>
      <c r="AN412" s="843"/>
      <c r="AO412" s="844"/>
      <c r="AP412" s="843"/>
      <c r="AQ412" s="843"/>
      <c r="AR412" s="843"/>
      <c r="AS412" s="843"/>
      <c r="AT412" s="844"/>
      <c r="AU412" s="844"/>
      <c r="AV412" s="844"/>
      <c r="AW412" s="844"/>
      <c r="AX412" s="793"/>
    </row>
    <row r="413" spans="1:50" s="7" customFormat="1" hidden="1" outlineLevel="1" x14ac:dyDescent="0.45">
      <c r="A413" s="67" t="s">
        <v>109</v>
      </c>
      <c r="B413" s="69"/>
      <c r="C413" s="851"/>
      <c r="D413" s="851"/>
      <c r="E413" s="851"/>
      <c r="F413" s="851"/>
      <c r="G413" s="852"/>
      <c r="H413" s="852"/>
      <c r="I413" s="852"/>
      <c r="J413" s="852"/>
      <c r="K413" s="851"/>
      <c r="L413" s="852"/>
      <c r="M413" s="852"/>
      <c r="N413" s="852"/>
      <c r="O413" s="852"/>
      <c r="P413" s="851"/>
      <c r="Q413" s="852"/>
      <c r="R413" s="852"/>
      <c r="S413" s="852"/>
      <c r="T413" s="852"/>
      <c r="U413" s="851"/>
      <c r="V413" s="852"/>
      <c r="W413" s="852"/>
      <c r="X413" s="852"/>
      <c r="Y413" s="852"/>
      <c r="Z413" s="851"/>
      <c r="AA413" s="852"/>
      <c r="AB413" s="852"/>
      <c r="AC413" s="852"/>
      <c r="AD413" s="852"/>
      <c r="AE413" s="851"/>
      <c r="AF413" s="852"/>
      <c r="AG413" s="852"/>
      <c r="AH413" s="852"/>
      <c r="AI413" s="852"/>
      <c r="AJ413" s="851"/>
      <c r="AK413" s="852"/>
      <c r="AL413" s="852"/>
      <c r="AM413" s="853"/>
      <c r="AN413" s="854"/>
      <c r="AO413" s="855"/>
      <c r="AP413" s="854"/>
      <c r="AQ413" s="854"/>
      <c r="AR413" s="854"/>
      <c r="AS413" s="854"/>
      <c r="AT413" s="855"/>
      <c r="AU413" s="855"/>
      <c r="AV413" s="855"/>
      <c r="AW413" s="855"/>
      <c r="AX413" s="795"/>
    </row>
    <row r="414" spans="1:50" s="29" customFormat="1" hidden="1" outlineLevel="1" x14ac:dyDescent="0.45">
      <c r="A414" s="68" t="s">
        <v>110</v>
      </c>
      <c r="B414" s="147"/>
      <c r="C414" s="840">
        <f t="shared" ref="C414:AW414" si="355">C624</f>
        <v>0</v>
      </c>
      <c r="D414" s="840">
        <f t="shared" si="355"/>
        <v>0</v>
      </c>
      <c r="E414" s="840">
        <f t="shared" si="355"/>
        <v>0</v>
      </c>
      <c r="F414" s="840">
        <f t="shared" si="355"/>
        <v>0</v>
      </c>
      <c r="G414" s="841">
        <f t="shared" si="355"/>
        <v>0</v>
      </c>
      <c r="H414" s="841">
        <f t="shared" si="355"/>
        <v>0</v>
      </c>
      <c r="I414" s="841">
        <f t="shared" si="355"/>
        <v>0</v>
      </c>
      <c r="J414" s="841">
        <f t="shared" si="355"/>
        <v>0</v>
      </c>
      <c r="K414" s="840">
        <f t="shared" si="355"/>
        <v>0</v>
      </c>
      <c r="L414" s="841">
        <f t="shared" si="355"/>
        <v>0</v>
      </c>
      <c r="M414" s="841">
        <f t="shared" si="355"/>
        <v>0</v>
      </c>
      <c r="N414" s="841">
        <f t="shared" si="355"/>
        <v>0</v>
      </c>
      <c r="O414" s="841">
        <f t="shared" si="355"/>
        <v>0</v>
      </c>
      <c r="P414" s="840">
        <f t="shared" si="355"/>
        <v>0</v>
      </c>
      <c r="Q414" s="841">
        <f t="shared" si="355"/>
        <v>0</v>
      </c>
      <c r="R414" s="841">
        <f t="shared" si="355"/>
        <v>0</v>
      </c>
      <c r="S414" s="841">
        <f t="shared" si="355"/>
        <v>0</v>
      </c>
      <c r="T414" s="841">
        <f t="shared" si="355"/>
        <v>0</v>
      </c>
      <c r="U414" s="840">
        <f t="shared" si="355"/>
        <v>0</v>
      </c>
      <c r="V414" s="841">
        <f t="shared" si="355"/>
        <v>0</v>
      </c>
      <c r="W414" s="841">
        <f t="shared" si="355"/>
        <v>0</v>
      </c>
      <c r="X414" s="841">
        <f t="shared" si="355"/>
        <v>0</v>
      </c>
      <c r="Y414" s="841">
        <f t="shared" si="355"/>
        <v>0</v>
      </c>
      <c r="Z414" s="840">
        <f t="shared" si="355"/>
        <v>0</v>
      </c>
      <c r="AA414" s="841">
        <f t="shared" si="355"/>
        <v>0</v>
      </c>
      <c r="AB414" s="841">
        <f t="shared" si="355"/>
        <v>0</v>
      </c>
      <c r="AC414" s="841">
        <f t="shared" si="355"/>
        <v>0</v>
      </c>
      <c r="AD414" s="841">
        <f t="shared" si="355"/>
        <v>0</v>
      </c>
      <c r="AE414" s="840">
        <f t="shared" si="355"/>
        <v>0</v>
      </c>
      <c r="AF414" s="841">
        <f t="shared" si="355"/>
        <v>0</v>
      </c>
      <c r="AG414" s="841">
        <f t="shared" si="355"/>
        <v>0</v>
      </c>
      <c r="AH414" s="841">
        <f t="shared" si="355"/>
        <v>0</v>
      </c>
      <c r="AI414" s="841">
        <f t="shared" si="355"/>
        <v>0</v>
      </c>
      <c r="AJ414" s="840">
        <f t="shared" si="355"/>
        <v>0</v>
      </c>
      <c r="AK414" s="841">
        <f t="shared" si="355"/>
        <v>0</v>
      </c>
      <c r="AL414" s="841">
        <f t="shared" si="355"/>
        <v>0</v>
      </c>
      <c r="AM414" s="842">
        <f t="shared" si="355"/>
        <v>0</v>
      </c>
      <c r="AN414" s="862">
        <f t="shared" si="355"/>
        <v>0</v>
      </c>
      <c r="AO414" s="844">
        <f t="shared" si="355"/>
        <v>0</v>
      </c>
      <c r="AP414" s="862">
        <f t="shared" si="355"/>
        <v>0</v>
      </c>
      <c r="AQ414" s="862">
        <f t="shared" si="355"/>
        <v>0</v>
      </c>
      <c r="AR414" s="862">
        <f t="shared" si="355"/>
        <v>0</v>
      </c>
      <c r="AS414" s="862">
        <f t="shared" si="355"/>
        <v>0</v>
      </c>
      <c r="AT414" s="844">
        <f t="shared" si="355"/>
        <v>0</v>
      </c>
      <c r="AU414" s="863">
        <f t="shared" si="355"/>
        <v>0</v>
      </c>
      <c r="AV414" s="863">
        <f t="shared" si="355"/>
        <v>0</v>
      </c>
      <c r="AW414" s="863">
        <f t="shared" si="355"/>
        <v>0</v>
      </c>
      <c r="AX414" s="793"/>
    </row>
    <row r="415" spans="1:50" s="29" customFormat="1" hidden="1" outlineLevel="1" x14ac:dyDescent="0.45">
      <c r="A415" s="68" t="s">
        <v>111</v>
      </c>
      <c r="B415" s="147"/>
      <c r="C415" s="840"/>
      <c r="D415" s="840"/>
      <c r="E415" s="840"/>
      <c r="F415" s="840"/>
      <c r="G415" s="841"/>
      <c r="H415" s="841"/>
      <c r="I415" s="841"/>
      <c r="J415" s="841"/>
      <c r="K415" s="840"/>
      <c r="L415" s="841"/>
      <c r="M415" s="841"/>
      <c r="N415" s="841"/>
      <c r="O415" s="841"/>
      <c r="P415" s="840"/>
      <c r="Q415" s="841"/>
      <c r="R415" s="841"/>
      <c r="S415" s="841"/>
      <c r="T415" s="841"/>
      <c r="U415" s="840"/>
      <c r="V415" s="841"/>
      <c r="W415" s="841"/>
      <c r="X415" s="841"/>
      <c r="Y415" s="841"/>
      <c r="Z415" s="840"/>
      <c r="AA415" s="841"/>
      <c r="AB415" s="841"/>
      <c r="AC415" s="841"/>
      <c r="AD415" s="841"/>
      <c r="AE415" s="840"/>
      <c r="AF415" s="841"/>
      <c r="AG415" s="841"/>
      <c r="AH415" s="841"/>
      <c r="AI415" s="841"/>
      <c r="AJ415" s="840"/>
      <c r="AK415" s="841"/>
      <c r="AL415" s="841"/>
      <c r="AM415" s="842"/>
      <c r="AN415" s="843"/>
      <c r="AO415" s="844"/>
      <c r="AP415" s="843"/>
      <c r="AQ415" s="843"/>
      <c r="AR415" s="843"/>
      <c r="AS415" s="843"/>
      <c r="AT415" s="844"/>
      <c r="AU415" s="844"/>
      <c r="AV415" s="844"/>
      <c r="AW415" s="844"/>
      <c r="AX415" s="793"/>
    </row>
    <row r="416" spans="1:50" s="29" customFormat="1" hidden="1" outlineLevel="1" x14ac:dyDescent="0.45">
      <c r="A416" s="68" t="s">
        <v>112</v>
      </c>
      <c r="B416" s="147"/>
      <c r="C416" s="840"/>
      <c r="D416" s="840"/>
      <c r="E416" s="840"/>
      <c r="F416" s="840"/>
      <c r="G416" s="841"/>
      <c r="H416" s="841"/>
      <c r="I416" s="841"/>
      <c r="J416" s="841"/>
      <c r="K416" s="840"/>
      <c r="L416" s="841"/>
      <c r="M416" s="841"/>
      <c r="N416" s="841"/>
      <c r="O416" s="841"/>
      <c r="P416" s="840"/>
      <c r="Q416" s="841"/>
      <c r="R416" s="841"/>
      <c r="S416" s="841"/>
      <c r="T416" s="841"/>
      <c r="U416" s="840"/>
      <c r="V416" s="841"/>
      <c r="W416" s="841"/>
      <c r="X416" s="841"/>
      <c r="Y416" s="841"/>
      <c r="Z416" s="840"/>
      <c r="AA416" s="841"/>
      <c r="AB416" s="841"/>
      <c r="AC416" s="841"/>
      <c r="AD416" s="841"/>
      <c r="AE416" s="840"/>
      <c r="AF416" s="841"/>
      <c r="AG416" s="841"/>
      <c r="AH416" s="841"/>
      <c r="AI416" s="841"/>
      <c r="AJ416" s="840"/>
      <c r="AK416" s="841"/>
      <c r="AL416" s="841"/>
      <c r="AM416" s="842"/>
      <c r="AN416" s="843"/>
      <c r="AO416" s="844"/>
      <c r="AP416" s="843"/>
      <c r="AQ416" s="843"/>
      <c r="AR416" s="843"/>
      <c r="AS416" s="843"/>
      <c r="AT416" s="844"/>
      <c r="AU416" s="844"/>
      <c r="AV416" s="844"/>
      <c r="AW416" s="844"/>
      <c r="AX416" s="793"/>
    </row>
    <row r="417" spans="1:50" s="29" customFormat="1" collapsed="1" x14ac:dyDescent="0.45">
      <c r="A417" s="68"/>
      <c r="B417" s="147"/>
      <c r="C417" s="840"/>
      <c r="D417" s="840"/>
      <c r="E417" s="840"/>
      <c r="F417" s="840"/>
      <c r="G417" s="841"/>
      <c r="H417" s="841"/>
      <c r="I417" s="841"/>
      <c r="J417" s="841"/>
      <c r="K417" s="840"/>
      <c r="L417" s="841"/>
      <c r="M417" s="841"/>
      <c r="N417" s="841"/>
      <c r="O417" s="841"/>
      <c r="P417" s="840"/>
      <c r="Q417" s="841"/>
      <c r="R417" s="841"/>
      <c r="S417" s="841"/>
      <c r="T417" s="841"/>
      <c r="U417" s="840"/>
      <c r="V417" s="841"/>
      <c r="W417" s="841"/>
      <c r="X417" s="841"/>
      <c r="Y417" s="841"/>
      <c r="Z417" s="840"/>
      <c r="AA417" s="841"/>
      <c r="AB417" s="841"/>
      <c r="AC417" s="841"/>
      <c r="AD417" s="841"/>
      <c r="AE417" s="840"/>
      <c r="AF417" s="841"/>
      <c r="AG417" s="841"/>
      <c r="AH417" s="841"/>
      <c r="AI417" s="841"/>
      <c r="AJ417" s="840"/>
      <c r="AK417" s="841"/>
      <c r="AL417" s="841"/>
      <c r="AM417" s="842"/>
      <c r="AN417" s="843"/>
      <c r="AO417" s="844"/>
      <c r="AP417" s="843"/>
      <c r="AQ417" s="843"/>
      <c r="AR417" s="843"/>
      <c r="AS417" s="843"/>
      <c r="AT417" s="844"/>
      <c r="AU417" s="844"/>
      <c r="AV417" s="844"/>
      <c r="AW417" s="844"/>
      <c r="AX417" s="793"/>
    </row>
    <row r="418" spans="1:50" s="7" customFormat="1" x14ac:dyDescent="0.45">
      <c r="A418" s="790" t="s">
        <v>113</v>
      </c>
      <c r="B418" s="790"/>
      <c r="C418" s="812"/>
      <c r="D418" s="812"/>
      <c r="E418" s="812"/>
      <c r="F418" s="812"/>
      <c r="G418" s="812"/>
      <c r="H418" s="812"/>
      <c r="I418" s="812"/>
      <c r="J418" s="812"/>
      <c r="K418" s="812"/>
      <c r="L418" s="812"/>
      <c r="M418" s="812"/>
      <c r="N418" s="812"/>
      <c r="O418" s="812"/>
      <c r="P418" s="812"/>
      <c r="Q418" s="812"/>
      <c r="R418" s="812"/>
      <c r="S418" s="812"/>
      <c r="T418" s="812"/>
      <c r="U418" s="812"/>
      <c r="V418" s="812"/>
      <c r="W418" s="812"/>
      <c r="X418" s="812"/>
      <c r="Y418" s="812"/>
      <c r="Z418" s="812"/>
      <c r="AA418" s="812"/>
      <c r="AB418" s="812"/>
      <c r="AC418" s="812"/>
      <c r="AD418" s="812"/>
      <c r="AE418" s="812"/>
      <c r="AF418" s="812"/>
      <c r="AG418" s="812"/>
      <c r="AH418" s="812"/>
      <c r="AI418" s="812"/>
      <c r="AJ418" s="812"/>
      <c r="AK418" s="812"/>
      <c r="AL418" s="812"/>
      <c r="AM418" s="813"/>
      <c r="AN418" s="814"/>
      <c r="AO418" s="814"/>
      <c r="AP418" s="814"/>
      <c r="AQ418" s="814"/>
      <c r="AR418" s="814"/>
      <c r="AS418" s="814"/>
      <c r="AT418" s="814"/>
      <c r="AU418" s="814"/>
      <c r="AV418" s="814"/>
      <c r="AW418" s="814"/>
      <c r="AX418" s="795"/>
    </row>
    <row r="419" spans="1:50" s="7" customFormat="1" hidden="1" outlineLevel="1" x14ac:dyDescent="0.45">
      <c r="A419" s="54" t="s">
        <v>114</v>
      </c>
      <c r="B419" s="69"/>
      <c r="C419" s="851"/>
      <c r="D419" s="851"/>
      <c r="E419" s="851"/>
      <c r="F419" s="851"/>
      <c r="G419" s="852"/>
      <c r="H419" s="852"/>
      <c r="I419" s="852"/>
      <c r="J419" s="852"/>
      <c r="K419" s="851"/>
      <c r="L419" s="852"/>
      <c r="M419" s="852"/>
      <c r="N419" s="852"/>
      <c r="O419" s="852"/>
      <c r="P419" s="851"/>
      <c r="Q419" s="852"/>
      <c r="R419" s="852"/>
      <c r="S419" s="852"/>
      <c r="T419" s="852"/>
      <c r="U419" s="851"/>
      <c r="V419" s="852"/>
      <c r="W419" s="852"/>
      <c r="X419" s="852"/>
      <c r="Y419" s="852"/>
      <c r="Z419" s="851"/>
      <c r="AA419" s="852"/>
      <c r="AB419" s="852"/>
      <c r="AC419" s="852"/>
      <c r="AD419" s="852"/>
      <c r="AE419" s="851"/>
      <c r="AF419" s="852"/>
      <c r="AG419" s="852"/>
      <c r="AH419" s="852"/>
      <c r="AI419" s="852"/>
      <c r="AJ419" s="851"/>
      <c r="AK419" s="852"/>
      <c r="AL419" s="852"/>
      <c r="AM419" s="853"/>
      <c r="AN419" s="854"/>
      <c r="AO419" s="855"/>
      <c r="AP419" s="854"/>
      <c r="AQ419" s="854"/>
      <c r="AR419" s="854"/>
      <c r="AS419" s="854"/>
      <c r="AT419" s="855"/>
      <c r="AU419" s="855"/>
      <c r="AV419" s="855"/>
      <c r="AW419" s="855"/>
      <c r="AX419" s="795"/>
    </row>
    <row r="420" spans="1:50" s="29" customFormat="1" hidden="1" outlineLevel="1" x14ac:dyDescent="0.45">
      <c r="A420" s="61" t="s">
        <v>46</v>
      </c>
      <c r="B420" s="147"/>
      <c r="C420" s="840">
        <v>48.378999999999998</v>
      </c>
      <c r="D420" s="840">
        <v>61.606000000000002</v>
      </c>
      <c r="E420" s="840">
        <v>75.656999999999996</v>
      </c>
      <c r="F420" s="840">
        <v>42.723999999999997</v>
      </c>
      <c r="G420" s="841">
        <v>12.945</v>
      </c>
      <c r="H420" s="841">
        <v>23.065999999999999</v>
      </c>
      <c r="I420" s="841">
        <v>10.478999999999999</v>
      </c>
      <c r="J420" s="841">
        <f t="shared" ref="J420:J435" si="356">K420</f>
        <v>15.68</v>
      </c>
      <c r="K420" s="840">
        <v>15.68</v>
      </c>
      <c r="L420" s="841">
        <v>5.1630000000000003</v>
      </c>
      <c r="M420" s="841">
        <v>9.9130000000000003</v>
      </c>
      <c r="N420" s="841">
        <v>16.588999999999999</v>
      </c>
      <c r="O420" s="841">
        <f t="shared" ref="O420:O435" si="357">P420</f>
        <v>27.332000000000001</v>
      </c>
      <c r="P420" s="840">
        <v>27.332000000000001</v>
      </c>
      <c r="Q420" s="841">
        <v>6.3620000000000001</v>
      </c>
      <c r="R420" s="841">
        <v>14.677</v>
      </c>
      <c r="S420" s="841">
        <v>21.978999999999999</v>
      </c>
      <c r="T420" s="841">
        <f t="shared" ref="T420:T435" si="358">U420</f>
        <v>5.657</v>
      </c>
      <c r="U420" s="840">
        <v>5.657</v>
      </c>
      <c r="V420" s="841">
        <v>-0.64700000000000002</v>
      </c>
      <c r="W420" s="841">
        <v>3.34</v>
      </c>
      <c r="X420" s="841">
        <v>13.826000000000001</v>
      </c>
      <c r="Y420" s="841">
        <f t="shared" ref="Y420:Y435" si="359">Z420</f>
        <v>18.241</v>
      </c>
      <c r="Z420" s="840">
        <v>18.241</v>
      </c>
      <c r="AA420" s="841">
        <v>3.8959999999999999</v>
      </c>
      <c r="AB420" s="841">
        <v>11.926</v>
      </c>
      <c r="AC420" s="841">
        <v>13.467000000000001</v>
      </c>
      <c r="AD420" s="841">
        <f t="shared" ref="AD420:AD435" si="360">AE420</f>
        <v>2.42</v>
      </c>
      <c r="AE420" s="840">
        <v>2.42</v>
      </c>
      <c r="AF420" s="841">
        <v>2.6480000000000001</v>
      </c>
      <c r="AG420" s="841">
        <v>15.742000000000001</v>
      </c>
      <c r="AH420" s="841">
        <v>20.565999999999999</v>
      </c>
      <c r="AI420" s="841">
        <f t="shared" ref="AI420:AI435" si="361">AJ420</f>
        <v>24.494</v>
      </c>
      <c r="AJ420" s="840">
        <v>24.494</v>
      </c>
      <c r="AK420" s="841">
        <v>1.244</v>
      </c>
      <c r="AL420" s="841">
        <v>7.3250000000000002</v>
      </c>
      <c r="AM420" s="842">
        <v>11.74</v>
      </c>
      <c r="AN420" s="862"/>
      <c r="AO420" s="844"/>
      <c r="AP420" s="843"/>
      <c r="AQ420" s="843"/>
      <c r="AR420" s="843"/>
      <c r="AS420" s="862"/>
      <c r="AT420" s="844"/>
      <c r="AU420" s="844"/>
      <c r="AV420" s="844"/>
      <c r="AW420" s="844"/>
      <c r="AX420" s="793"/>
    </row>
    <row r="421" spans="1:50" s="29" customFormat="1" hidden="1" outlineLevel="1" x14ac:dyDescent="0.45">
      <c r="A421" s="61" t="s">
        <v>115</v>
      </c>
      <c r="B421" s="147"/>
      <c r="C421" s="840">
        <v>3.6629999999999998</v>
      </c>
      <c r="D421" s="840">
        <v>4.3040000000000003</v>
      </c>
      <c r="E421" s="840">
        <v>5.1950000000000003</v>
      </c>
      <c r="F421" s="840">
        <v>6.9279999999999999</v>
      </c>
      <c r="G421" s="841">
        <v>1.897</v>
      </c>
      <c r="H421" s="841">
        <v>3.8180000000000001</v>
      </c>
      <c r="I421" s="841">
        <v>5.8970000000000002</v>
      </c>
      <c r="J421" s="841">
        <f t="shared" si="356"/>
        <v>8.0690000000000008</v>
      </c>
      <c r="K421" s="840">
        <v>8.0690000000000008</v>
      </c>
      <c r="L421" s="841">
        <v>2.1360000000000001</v>
      </c>
      <c r="M421" s="841">
        <v>4.4020000000000001</v>
      </c>
      <c r="N421" s="841">
        <v>6.7549999999999999</v>
      </c>
      <c r="O421" s="841">
        <f t="shared" si="357"/>
        <v>9.3230000000000004</v>
      </c>
      <c r="P421" s="840">
        <v>9.3230000000000004</v>
      </c>
      <c r="Q421" s="841">
        <v>2.2789999999999999</v>
      </c>
      <c r="R421" s="841">
        <v>4.4489999999999998</v>
      </c>
      <c r="S421" s="841">
        <v>6.577</v>
      </c>
      <c r="T421" s="841">
        <f t="shared" si="358"/>
        <v>8.8339999999999996</v>
      </c>
      <c r="U421" s="840">
        <v>8.8339999999999996</v>
      </c>
      <c r="V421" s="841">
        <v>2.5539999999999998</v>
      </c>
      <c r="W421" s="841">
        <v>5.1059999999999999</v>
      </c>
      <c r="X421" s="841">
        <v>7.5620000000000003</v>
      </c>
      <c r="Y421" s="841">
        <f t="shared" si="359"/>
        <v>10.08</v>
      </c>
      <c r="Z421" s="840">
        <v>10.08</v>
      </c>
      <c r="AA421" s="841">
        <v>2.774</v>
      </c>
      <c r="AB421" s="841">
        <v>5.3739999999999997</v>
      </c>
      <c r="AC421" s="841">
        <v>8.0169999999999995</v>
      </c>
      <c r="AD421" s="841">
        <f t="shared" si="360"/>
        <v>10.497999999999999</v>
      </c>
      <c r="AE421" s="840">
        <v>10.497999999999999</v>
      </c>
      <c r="AF421" s="841">
        <v>2.3929999999999998</v>
      </c>
      <c r="AG421" s="841">
        <v>4.9960000000000004</v>
      </c>
      <c r="AH421" s="841">
        <v>7.7210000000000001</v>
      </c>
      <c r="AI421" s="841">
        <f t="shared" si="361"/>
        <v>10.298</v>
      </c>
      <c r="AJ421" s="840">
        <v>10.298</v>
      </c>
      <c r="AK421" s="841">
        <v>2.0920000000000001</v>
      </c>
      <c r="AL421" s="841">
        <v>4.1020000000000003</v>
      </c>
      <c r="AM421" s="842">
        <v>6.4530000000000003</v>
      </c>
      <c r="AN421" s="862"/>
      <c r="AO421" s="844"/>
      <c r="AP421" s="843"/>
      <c r="AQ421" s="843"/>
      <c r="AR421" s="843"/>
      <c r="AS421" s="862"/>
      <c r="AT421" s="844"/>
      <c r="AU421" s="844"/>
      <c r="AV421" s="844"/>
      <c r="AW421" s="844"/>
      <c r="AX421" s="793"/>
    </row>
    <row r="422" spans="1:50" s="29" customFormat="1" hidden="1" outlineLevel="1" x14ac:dyDescent="0.45">
      <c r="A422" s="61" t="s">
        <v>116</v>
      </c>
      <c r="B422" s="147"/>
      <c r="C422" s="840">
        <v>5.9269999999999996</v>
      </c>
      <c r="D422" s="840">
        <v>7.0910000000000002</v>
      </c>
      <c r="E422" s="840">
        <v>8.2539999999999996</v>
      </c>
      <c r="F422" s="840">
        <v>9.6679999999999993</v>
      </c>
      <c r="G422" s="841">
        <v>2.6789999999999998</v>
      </c>
      <c r="H422" s="841">
        <v>5.3029999999999999</v>
      </c>
      <c r="I422" s="841">
        <v>9.3529999999999998</v>
      </c>
      <c r="J422" s="841">
        <f t="shared" si="356"/>
        <v>12.337999999999999</v>
      </c>
      <c r="K422" s="840">
        <v>12.337999999999999</v>
      </c>
      <c r="L422" s="841">
        <v>3.6019999999999999</v>
      </c>
      <c r="M422" s="841">
        <v>7.117</v>
      </c>
      <c r="N422" s="841">
        <v>10.19</v>
      </c>
      <c r="O422" s="841">
        <f t="shared" si="357"/>
        <v>12.817</v>
      </c>
      <c r="P422" s="840">
        <v>12.817</v>
      </c>
      <c r="Q422" s="841">
        <v>2.4390000000000001</v>
      </c>
      <c r="R422" s="841">
        <v>4.9290000000000003</v>
      </c>
      <c r="S422" s="841">
        <v>7.4279999999999999</v>
      </c>
      <c r="T422" s="841">
        <f t="shared" si="358"/>
        <v>9.891</v>
      </c>
      <c r="U422" s="840">
        <v>9.891</v>
      </c>
      <c r="V422" s="841">
        <v>2.371</v>
      </c>
      <c r="W422" s="841">
        <v>4.819</v>
      </c>
      <c r="X422" s="841">
        <v>6.6260000000000003</v>
      </c>
      <c r="Y422" s="841">
        <f t="shared" si="359"/>
        <v>7.8920000000000003</v>
      </c>
      <c r="Z422" s="840">
        <v>7.8920000000000003</v>
      </c>
      <c r="AA422" s="841">
        <v>1.2709999999999999</v>
      </c>
      <c r="AB422" s="841">
        <v>2.5710000000000002</v>
      </c>
      <c r="AC422" s="841">
        <v>4.4089999999999998</v>
      </c>
      <c r="AD422" s="841">
        <f t="shared" si="360"/>
        <v>6.5179999999999998</v>
      </c>
      <c r="AE422" s="840">
        <v>6.5179999999999998</v>
      </c>
      <c r="AF422" s="841">
        <v>2.2570000000000001</v>
      </c>
      <c r="AG422" s="841">
        <v>4.8920000000000003</v>
      </c>
      <c r="AH422" s="841">
        <v>7.7030000000000003</v>
      </c>
      <c r="AI422" s="841">
        <f t="shared" si="361"/>
        <v>11.337999999999999</v>
      </c>
      <c r="AJ422" s="840">
        <v>11.337999999999999</v>
      </c>
      <c r="AK422" s="841">
        <v>4.125</v>
      </c>
      <c r="AL422" s="841">
        <v>8.68</v>
      </c>
      <c r="AM422" s="842">
        <v>12.962</v>
      </c>
      <c r="AN422" s="862"/>
      <c r="AO422" s="844"/>
      <c r="AP422" s="843"/>
      <c r="AQ422" s="843"/>
      <c r="AR422" s="843"/>
      <c r="AS422" s="862"/>
      <c r="AT422" s="844"/>
      <c r="AU422" s="844"/>
      <c r="AV422" s="844"/>
      <c r="AW422" s="844"/>
      <c r="AX422" s="793"/>
    </row>
    <row r="423" spans="1:50" s="29" customFormat="1" hidden="1" outlineLevel="1" x14ac:dyDescent="0.45">
      <c r="A423" s="61" t="s">
        <v>117</v>
      </c>
      <c r="B423" s="147"/>
      <c r="C423" s="840">
        <v>1.7829999999999999</v>
      </c>
      <c r="D423" s="840">
        <v>3.2549999999999999</v>
      </c>
      <c r="E423" s="840">
        <v>4.5010000000000003</v>
      </c>
      <c r="F423" s="840">
        <v>7.5590000000000002</v>
      </c>
      <c r="G423" s="841">
        <v>1.8660000000000001</v>
      </c>
      <c r="H423" s="841">
        <v>4.0620000000000003</v>
      </c>
      <c r="I423" s="841">
        <v>6.34</v>
      </c>
      <c r="J423" s="841">
        <f t="shared" si="356"/>
        <v>8.33</v>
      </c>
      <c r="K423" s="840">
        <v>8.33</v>
      </c>
      <c r="L423" s="841">
        <v>1.841</v>
      </c>
      <c r="M423" s="841">
        <v>3.6080000000000001</v>
      </c>
      <c r="N423" s="841">
        <v>5.3710000000000004</v>
      </c>
      <c r="O423" s="841">
        <f t="shared" si="357"/>
        <v>7.1269999999999998</v>
      </c>
      <c r="P423" s="840">
        <v>7.1269999999999998</v>
      </c>
      <c r="Q423" s="841">
        <v>1.8</v>
      </c>
      <c r="R423" s="841">
        <v>3.601</v>
      </c>
      <c r="S423" s="841">
        <v>5.4020000000000001</v>
      </c>
      <c r="T423" s="841">
        <f t="shared" si="358"/>
        <v>11.013999999999999</v>
      </c>
      <c r="U423" s="840">
        <v>11.013999999999999</v>
      </c>
      <c r="V423" s="841">
        <v>5.7320000000000002</v>
      </c>
      <c r="W423" s="841">
        <v>11.378</v>
      </c>
      <c r="X423" s="841">
        <v>16.952999999999999</v>
      </c>
      <c r="Y423" s="841">
        <f t="shared" si="359"/>
        <v>22.462</v>
      </c>
      <c r="Z423" s="840">
        <v>22.462</v>
      </c>
      <c r="AA423" s="841">
        <v>5.4480000000000004</v>
      </c>
      <c r="AB423" s="841">
        <v>11.266999999999999</v>
      </c>
      <c r="AC423" s="841">
        <v>17.350000000000001</v>
      </c>
      <c r="AD423" s="841">
        <f t="shared" si="360"/>
        <v>23.38</v>
      </c>
      <c r="AE423" s="840">
        <v>23.38</v>
      </c>
      <c r="AF423" s="841">
        <v>5.4550000000000001</v>
      </c>
      <c r="AG423" s="841">
        <v>10.864000000000001</v>
      </c>
      <c r="AH423" s="841">
        <v>16.18</v>
      </c>
      <c r="AI423" s="841">
        <f t="shared" si="361"/>
        <v>21.495999999999999</v>
      </c>
      <c r="AJ423" s="840">
        <v>21.495999999999999</v>
      </c>
      <c r="AK423" s="841">
        <v>5.1529999999999996</v>
      </c>
      <c r="AL423" s="841">
        <v>10.305</v>
      </c>
      <c r="AM423" s="842">
        <v>15.951000000000001</v>
      </c>
      <c r="AN423" s="862"/>
      <c r="AO423" s="844"/>
      <c r="AP423" s="843"/>
      <c r="AQ423" s="843"/>
      <c r="AR423" s="843"/>
      <c r="AS423" s="862"/>
      <c r="AT423" s="844"/>
      <c r="AU423" s="844"/>
      <c r="AV423" s="844"/>
      <c r="AW423" s="844"/>
      <c r="AX423" s="793"/>
    </row>
    <row r="424" spans="1:50" s="29" customFormat="1" hidden="1" outlineLevel="1" x14ac:dyDescent="0.45">
      <c r="A424" s="61" t="s">
        <v>118</v>
      </c>
      <c r="B424" s="147"/>
      <c r="C424" s="840"/>
      <c r="D424" s="840"/>
      <c r="E424" s="840"/>
      <c r="F424" s="840"/>
      <c r="G424" s="841"/>
      <c r="H424" s="841"/>
      <c r="I424" s="841"/>
      <c r="J424" s="841">
        <f t="shared" si="356"/>
        <v>0</v>
      </c>
      <c r="K424" s="840"/>
      <c r="L424" s="841"/>
      <c r="M424" s="841"/>
      <c r="N424" s="841"/>
      <c r="O424" s="841">
        <f t="shared" si="357"/>
        <v>0</v>
      </c>
      <c r="P424" s="840"/>
      <c r="Q424" s="841"/>
      <c r="R424" s="841"/>
      <c r="S424" s="841"/>
      <c r="T424" s="841">
        <f t="shared" si="358"/>
        <v>0.25800000000000001</v>
      </c>
      <c r="U424" s="840">
        <v>0.25800000000000001</v>
      </c>
      <c r="V424" s="841">
        <v>0.26900000000000002</v>
      </c>
      <c r="W424" s="841">
        <v>0.53800000000000003</v>
      </c>
      <c r="X424" s="841">
        <v>0.80700000000000005</v>
      </c>
      <c r="Y424" s="841">
        <f t="shared" si="359"/>
        <v>1.0760000000000001</v>
      </c>
      <c r="Z424" s="840">
        <v>1.0760000000000001</v>
      </c>
      <c r="AA424" s="841">
        <v>0.26900000000000002</v>
      </c>
      <c r="AB424" s="841">
        <v>0.53800000000000003</v>
      </c>
      <c r="AC424" s="841">
        <v>0.80700000000000005</v>
      </c>
      <c r="AD424" s="841">
        <f t="shared" si="360"/>
        <v>1.61</v>
      </c>
      <c r="AE424" s="840">
        <v>1.61</v>
      </c>
      <c r="AF424" s="841">
        <v>0.17699999999999999</v>
      </c>
      <c r="AG424" s="841">
        <v>0.35499999999999998</v>
      </c>
      <c r="AH424" s="841">
        <v>0.53200000000000003</v>
      </c>
      <c r="AI424" s="841">
        <f t="shared" si="361"/>
        <v>0.71</v>
      </c>
      <c r="AJ424" s="840">
        <v>0.71</v>
      </c>
      <c r="AK424" s="841">
        <v>0.17699999999999999</v>
      </c>
      <c r="AL424" s="841">
        <v>0.35499999999999998</v>
      </c>
      <c r="AM424" s="842">
        <v>0.53200000000000003</v>
      </c>
      <c r="AN424" s="862"/>
      <c r="AO424" s="844"/>
      <c r="AP424" s="843"/>
      <c r="AQ424" s="843"/>
      <c r="AR424" s="843"/>
      <c r="AS424" s="862"/>
      <c r="AT424" s="844"/>
      <c r="AU424" s="844"/>
      <c r="AV424" s="844"/>
      <c r="AW424" s="844"/>
      <c r="AX424" s="793"/>
    </row>
    <row r="425" spans="1:50" s="29" customFormat="1" hidden="1" outlineLevel="1" x14ac:dyDescent="0.45">
      <c r="A425" s="61" t="s">
        <v>119</v>
      </c>
      <c r="B425" s="147"/>
      <c r="C425" s="840"/>
      <c r="D425" s="840">
        <v>-3.3000000000000002E-2</v>
      </c>
      <c r="E425" s="840">
        <v>7.2999999999999995E-2</v>
      </c>
      <c r="F425" s="840"/>
      <c r="G425" s="841"/>
      <c r="H425" s="841"/>
      <c r="I425" s="841"/>
      <c r="J425" s="841">
        <f t="shared" si="356"/>
        <v>0.192</v>
      </c>
      <c r="K425" s="840">
        <v>0.192</v>
      </c>
      <c r="L425" s="841">
        <v>1.2E-2</v>
      </c>
      <c r="M425" s="841">
        <v>1.2E-2</v>
      </c>
      <c r="N425" s="841">
        <v>1.2E-2</v>
      </c>
      <c r="O425" s="841">
        <f t="shared" si="357"/>
        <v>5.0999999999999997E-2</v>
      </c>
      <c r="P425" s="840">
        <v>5.0999999999999997E-2</v>
      </c>
      <c r="Q425" s="841"/>
      <c r="R425" s="841">
        <v>8.1000000000000003E-2</v>
      </c>
      <c r="S425" s="841">
        <v>0.158</v>
      </c>
      <c r="T425" s="841">
        <f t="shared" si="358"/>
        <v>0.20499999999999999</v>
      </c>
      <c r="U425" s="840">
        <v>0.20499999999999999</v>
      </c>
      <c r="V425" s="841">
        <v>0.04</v>
      </c>
      <c r="W425" s="841">
        <v>0.17499999999999999</v>
      </c>
      <c r="X425" s="841">
        <v>0.45200000000000001</v>
      </c>
      <c r="Y425" s="841">
        <f t="shared" si="359"/>
        <v>0.53</v>
      </c>
      <c r="Z425" s="840">
        <v>0.53</v>
      </c>
      <c r="AA425" s="841">
        <v>1.6E-2</v>
      </c>
      <c r="AB425" s="841">
        <v>4.4999999999999998E-2</v>
      </c>
      <c r="AC425" s="841">
        <v>0.15</v>
      </c>
      <c r="AD425" s="841">
        <f t="shared" si="360"/>
        <v>0.16900000000000001</v>
      </c>
      <c r="AE425" s="840">
        <v>0.16900000000000001</v>
      </c>
      <c r="AF425" s="841">
        <v>0.106</v>
      </c>
      <c r="AG425" s="841">
        <v>0.106</v>
      </c>
      <c r="AH425" s="841">
        <v>0.19400000000000001</v>
      </c>
      <c r="AI425" s="841">
        <f t="shared" si="361"/>
        <v>0.19400000000000001</v>
      </c>
      <c r="AJ425" s="840">
        <v>0.19400000000000001</v>
      </c>
      <c r="AK425" s="841">
        <v>4.1000000000000002E-2</v>
      </c>
      <c r="AL425" s="841">
        <v>4.1000000000000002E-2</v>
      </c>
      <c r="AM425" s="842">
        <v>4.1000000000000002E-2</v>
      </c>
      <c r="AN425" s="862"/>
      <c r="AO425" s="844"/>
      <c r="AP425" s="843"/>
      <c r="AQ425" s="843"/>
      <c r="AR425" s="843"/>
      <c r="AS425" s="862"/>
      <c r="AT425" s="844"/>
      <c r="AU425" s="844"/>
      <c r="AV425" s="844"/>
      <c r="AW425" s="844"/>
      <c r="AX425" s="793"/>
    </row>
    <row r="426" spans="1:50" s="29" customFormat="1" hidden="1" outlineLevel="1" x14ac:dyDescent="0.45">
      <c r="A426" s="61" t="s">
        <v>358</v>
      </c>
      <c r="B426" s="147"/>
      <c r="C426" s="840"/>
      <c r="D426" s="840"/>
      <c r="E426" s="840"/>
      <c r="F426" s="840"/>
      <c r="G426" s="841"/>
      <c r="H426" s="841"/>
      <c r="I426" s="841"/>
      <c r="J426" s="841">
        <f t="shared" si="356"/>
        <v>0</v>
      </c>
      <c r="K426" s="840"/>
      <c r="L426" s="841"/>
      <c r="M426" s="841"/>
      <c r="N426" s="841"/>
      <c r="O426" s="841">
        <f t="shared" si="357"/>
        <v>0</v>
      </c>
      <c r="P426" s="840"/>
      <c r="Q426" s="841"/>
      <c r="R426" s="841"/>
      <c r="S426" s="841"/>
      <c r="T426" s="841">
        <f t="shared" si="358"/>
        <v>0</v>
      </c>
      <c r="U426" s="840"/>
      <c r="V426" s="841"/>
      <c r="W426" s="841"/>
      <c r="X426" s="841"/>
      <c r="Y426" s="841">
        <f t="shared" si="359"/>
        <v>0</v>
      </c>
      <c r="Z426" s="840"/>
      <c r="AA426" s="841"/>
      <c r="AB426" s="841"/>
      <c r="AC426" s="841"/>
      <c r="AD426" s="841">
        <f t="shared" si="360"/>
        <v>0</v>
      </c>
      <c r="AE426" s="840"/>
      <c r="AF426" s="841"/>
      <c r="AG426" s="841"/>
      <c r="AH426" s="841"/>
      <c r="AI426" s="841">
        <f t="shared" si="361"/>
        <v>0</v>
      </c>
      <c r="AJ426" s="840"/>
      <c r="AK426" s="841">
        <v>1.8149999999999999</v>
      </c>
      <c r="AL426" s="841">
        <v>3.8420000000000001</v>
      </c>
      <c r="AM426" s="842">
        <v>6.2539999999999996</v>
      </c>
      <c r="AN426" s="862"/>
      <c r="AO426" s="844"/>
      <c r="AP426" s="843"/>
      <c r="AQ426" s="843"/>
      <c r="AR426" s="843"/>
      <c r="AS426" s="862"/>
      <c r="AT426" s="844"/>
      <c r="AU426" s="844"/>
      <c r="AV426" s="844"/>
      <c r="AW426" s="844"/>
      <c r="AX426" s="793"/>
    </row>
    <row r="427" spans="1:50" s="29" customFormat="1" hidden="1" outlineLevel="1" x14ac:dyDescent="0.45">
      <c r="A427" s="61" t="s">
        <v>120</v>
      </c>
      <c r="B427" s="147"/>
      <c r="C427" s="840">
        <v>3.4649999999999999</v>
      </c>
      <c r="D427" s="840">
        <v>3.78</v>
      </c>
      <c r="E427" s="840">
        <v>5.7149999999999999</v>
      </c>
      <c r="F427" s="840">
        <v>6.8849999999999998</v>
      </c>
      <c r="G427" s="841">
        <v>1.8049999999999999</v>
      </c>
      <c r="H427" s="841">
        <v>3.7160000000000002</v>
      </c>
      <c r="I427" s="841">
        <v>2.7909999999999999</v>
      </c>
      <c r="J427" s="841">
        <f t="shared" si="356"/>
        <v>1.4670000000000001</v>
      </c>
      <c r="K427" s="840">
        <v>1.4670000000000001</v>
      </c>
      <c r="L427" s="841">
        <v>-1.1359999999999999</v>
      </c>
      <c r="M427" s="841">
        <v>-0.89100000000000001</v>
      </c>
      <c r="N427" s="841">
        <v>3.7999999999999999E-2</v>
      </c>
      <c r="O427" s="841">
        <f t="shared" si="357"/>
        <v>0.85499999999999998</v>
      </c>
      <c r="P427" s="840">
        <v>0.85499999999999998</v>
      </c>
      <c r="Q427" s="841">
        <v>0.57499999999999996</v>
      </c>
      <c r="R427" s="841">
        <v>0.96299999999999997</v>
      </c>
      <c r="S427" s="841">
        <v>2.1070000000000002</v>
      </c>
      <c r="T427" s="841">
        <f t="shared" si="358"/>
        <v>3.573</v>
      </c>
      <c r="U427" s="840">
        <v>3.573</v>
      </c>
      <c r="V427" s="841">
        <v>0.76200000000000001</v>
      </c>
      <c r="W427" s="841">
        <v>1.9690000000000001</v>
      </c>
      <c r="X427" s="841">
        <v>2.5030000000000001</v>
      </c>
      <c r="Y427" s="841">
        <f t="shared" si="359"/>
        <v>5.0819999999999999</v>
      </c>
      <c r="Z427" s="840">
        <v>5.0819999999999999</v>
      </c>
      <c r="AA427" s="841">
        <v>2.0910000000000002</v>
      </c>
      <c r="AB427" s="841">
        <v>3.8679999999999999</v>
      </c>
      <c r="AC427" s="841">
        <v>5.0839999999999996</v>
      </c>
      <c r="AD427" s="841">
        <f t="shared" si="360"/>
        <v>5.9130000000000003</v>
      </c>
      <c r="AE427" s="840">
        <v>5.9130000000000003</v>
      </c>
      <c r="AF427" s="841">
        <v>0.79200000000000004</v>
      </c>
      <c r="AG427" s="841">
        <v>1.385</v>
      </c>
      <c r="AH427" s="841">
        <v>2.74</v>
      </c>
      <c r="AI427" s="841">
        <f t="shared" si="361"/>
        <v>5.6440000000000001</v>
      </c>
      <c r="AJ427" s="840">
        <v>5.6440000000000001</v>
      </c>
      <c r="AK427" s="841">
        <v>0.60599999999999998</v>
      </c>
      <c r="AL427" s="841">
        <v>1.635</v>
      </c>
      <c r="AM427" s="842">
        <v>2.4260000000000002</v>
      </c>
      <c r="AN427" s="862"/>
      <c r="AO427" s="844"/>
      <c r="AP427" s="843"/>
      <c r="AQ427" s="843"/>
      <c r="AR427" s="843"/>
      <c r="AS427" s="862"/>
      <c r="AT427" s="844"/>
      <c r="AU427" s="844"/>
      <c r="AV427" s="844"/>
      <c r="AW427" s="844"/>
      <c r="AX427" s="793"/>
    </row>
    <row r="428" spans="1:50" s="29" customFormat="1" hidden="1" outlineLevel="1" x14ac:dyDescent="0.45">
      <c r="A428" s="61" t="s">
        <v>121</v>
      </c>
      <c r="B428" s="147"/>
      <c r="C428" s="840">
        <v>2.7E-2</v>
      </c>
      <c r="D428" s="840">
        <v>2.7E-2</v>
      </c>
      <c r="E428" s="840">
        <v>4.2999999999999997E-2</v>
      </c>
      <c r="F428" s="840">
        <v>0.193</v>
      </c>
      <c r="G428" s="841"/>
      <c r="H428" s="841"/>
      <c r="I428" s="841"/>
      <c r="J428" s="841">
        <f t="shared" si="356"/>
        <v>0</v>
      </c>
      <c r="K428" s="840"/>
      <c r="L428" s="841">
        <v>8.9999999999999993E-3</v>
      </c>
      <c r="M428" s="841">
        <v>6.2E-2</v>
      </c>
      <c r="N428" s="841">
        <v>7.0999999999999994E-2</v>
      </c>
      <c r="O428" s="841">
        <f t="shared" si="357"/>
        <v>2.5000000000000001E-2</v>
      </c>
      <c r="P428" s="840">
        <v>2.5000000000000001E-2</v>
      </c>
      <c r="Q428" s="841">
        <v>5.7000000000000002E-2</v>
      </c>
      <c r="R428" s="841">
        <v>9.1999999999999998E-2</v>
      </c>
      <c r="S428" s="841">
        <v>0.11799999999999999</v>
      </c>
      <c r="T428" s="841">
        <f t="shared" si="358"/>
        <v>4.8000000000000001E-2</v>
      </c>
      <c r="U428" s="840">
        <v>4.8000000000000001E-2</v>
      </c>
      <c r="V428" s="841">
        <v>0.13</v>
      </c>
      <c r="W428" s="841">
        <v>0.224</v>
      </c>
      <c r="X428" s="841">
        <v>0.36899999999999999</v>
      </c>
      <c r="Y428" s="841">
        <f t="shared" si="359"/>
        <v>0.41799999999999998</v>
      </c>
      <c r="Z428" s="840">
        <v>0.41799999999999998</v>
      </c>
      <c r="AA428" s="841">
        <v>0.02</v>
      </c>
      <c r="AB428" s="841">
        <v>3.5999999999999997E-2</v>
      </c>
      <c r="AC428" s="841">
        <v>5.5E-2</v>
      </c>
      <c r="AD428" s="841">
        <f t="shared" si="360"/>
        <v>5.0999999999999997E-2</v>
      </c>
      <c r="AE428" s="840">
        <v>5.0999999999999997E-2</v>
      </c>
      <c r="AF428" s="841">
        <v>0.01</v>
      </c>
      <c r="AG428" s="841">
        <v>1.0999999999999999E-2</v>
      </c>
      <c r="AH428" s="841">
        <v>8.0000000000000002E-3</v>
      </c>
      <c r="AI428" s="841">
        <f t="shared" si="361"/>
        <v>-0.01</v>
      </c>
      <c r="AJ428" s="840">
        <v>-0.01</v>
      </c>
      <c r="AK428" s="841"/>
      <c r="AL428" s="841">
        <v>6.0000000000000001E-3</v>
      </c>
      <c r="AM428" s="842">
        <v>6.0000000000000001E-3</v>
      </c>
      <c r="AN428" s="862"/>
      <c r="AO428" s="844"/>
      <c r="AP428" s="843"/>
      <c r="AQ428" s="843"/>
      <c r="AR428" s="843"/>
      <c r="AS428" s="862"/>
      <c r="AT428" s="844"/>
      <c r="AU428" s="844"/>
      <c r="AV428" s="844"/>
      <c r="AW428" s="844"/>
      <c r="AX428" s="793"/>
    </row>
    <row r="429" spans="1:50" s="29" customFormat="1" hidden="1" outlineLevel="1" x14ac:dyDescent="0.45">
      <c r="A429" s="61" t="s">
        <v>51</v>
      </c>
      <c r="B429" s="147"/>
      <c r="C429" s="840">
        <v>2.073</v>
      </c>
      <c r="D429" s="840">
        <v>3.7480000000000002</v>
      </c>
      <c r="E429" s="840">
        <v>3.3210000000000002</v>
      </c>
      <c r="F429" s="840">
        <v>2.327</v>
      </c>
      <c r="G429" s="841">
        <v>0.54100000000000004</v>
      </c>
      <c r="H429" s="841">
        <v>1.125</v>
      </c>
      <c r="I429" s="841">
        <v>1.8320000000000001</v>
      </c>
      <c r="J429" s="841">
        <f t="shared" si="356"/>
        <v>2.4900000000000002</v>
      </c>
      <c r="K429" s="840">
        <v>2.4900000000000002</v>
      </c>
      <c r="L429" s="841">
        <v>0.79</v>
      </c>
      <c r="M429" s="841">
        <v>1.657</v>
      </c>
      <c r="N429" s="841">
        <v>2.6269999999999998</v>
      </c>
      <c r="O429" s="841">
        <f t="shared" si="357"/>
        <v>3.472</v>
      </c>
      <c r="P429" s="840">
        <v>3.472</v>
      </c>
      <c r="Q429" s="841">
        <v>0.68400000000000005</v>
      </c>
      <c r="R429" s="841">
        <v>1.585</v>
      </c>
      <c r="S429" s="841">
        <v>2.3279999999999998</v>
      </c>
      <c r="T429" s="841">
        <f t="shared" si="358"/>
        <v>3.2949999999999999</v>
      </c>
      <c r="U429" s="840">
        <v>3.2949999999999999</v>
      </c>
      <c r="V429" s="841">
        <v>1.2589999999999999</v>
      </c>
      <c r="W429" s="841">
        <v>3.177</v>
      </c>
      <c r="X429" s="841">
        <v>5.1769999999999996</v>
      </c>
      <c r="Y429" s="841">
        <f t="shared" si="359"/>
        <v>7.5979999999999999</v>
      </c>
      <c r="Z429" s="840">
        <v>7.5979999999999999</v>
      </c>
      <c r="AA429" s="841">
        <v>2.0409999999999999</v>
      </c>
      <c r="AB429" s="841">
        <v>5.1319999999999997</v>
      </c>
      <c r="AC429" s="841">
        <v>8.5850000000000009</v>
      </c>
      <c r="AD429" s="841">
        <f t="shared" si="360"/>
        <v>12.297000000000001</v>
      </c>
      <c r="AE429" s="840">
        <v>12.297000000000001</v>
      </c>
      <c r="AF429" s="841">
        <v>3.1160000000000001</v>
      </c>
      <c r="AG429" s="841">
        <v>7.2510000000000003</v>
      </c>
      <c r="AH429" s="841">
        <v>11.949</v>
      </c>
      <c r="AI429" s="841">
        <f t="shared" si="361"/>
        <v>16.102</v>
      </c>
      <c r="AJ429" s="840">
        <v>16.102</v>
      </c>
      <c r="AK429" s="841">
        <v>4.891</v>
      </c>
      <c r="AL429" s="841">
        <v>9.2070000000000007</v>
      </c>
      <c r="AM429" s="842">
        <v>13.827999999999999</v>
      </c>
      <c r="AN429" s="862"/>
      <c r="AO429" s="844"/>
      <c r="AP429" s="843"/>
      <c r="AQ429" s="843"/>
      <c r="AR429" s="843"/>
      <c r="AS429" s="862"/>
      <c r="AT429" s="844"/>
      <c r="AU429" s="844"/>
      <c r="AV429" s="844"/>
      <c r="AW429" s="844"/>
      <c r="AX429" s="793"/>
    </row>
    <row r="430" spans="1:50" s="29" customFormat="1" hidden="1" outlineLevel="1" x14ac:dyDescent="0.45">
      <c r="A430" s="61" t="s">
        <v>122</v>
      </c>
      <c r="B430" s="147"/>
      <c r="C430" s="840">
        <v>-0.78600000000000003</v>
      </c>
      <c r="D430" s="840">
        <v>-4.194</v>
      </c>
      <c r="E430" s="840">
        <v>-8.0250000000000004</v>
      </c>
      <c r="F430" s="840">
        <v>-9.5649999999999995</v>
      </c>
      <c r="G430" s="841">
        <v>0.51700000000000002</v>
      </c>
      <c r="H430" s="841">
        <v>0.82599999999999996</v>
      </c>
      <c r="I430" s="841">
        <v>0.89600000000000002</v>
      </c>
      <c r="J430" s="841">
        <f t="shared" si="356"/>
        <v>-3.984</v>
      </c>
      <c r="K430" s="840">
        <v>-3.984</v>
      </c>
      <c r="L430" s="841">
        <v>1.6E-2</v>
      </c>
      <c r="M430" s="841">
        <v>3.1E-2</v>
      </c>
      <c r="N430" s="841">
        <v>-0.02</v>
      </c>
      <c r="O430" s="841">
        <f t="shared" si="357"/>
        <v>-12.061</v>
      </c>
      <c r="P430" s="840">
        <v>-12.061</v>
      </c>
      <c r="Q430" s="841">
        <v>8.1000000000000003E-2</v>
      </c>
      <c r="R430" s="841">
        <v>0.46800000000000003</v>
      </c>
      <c r="S430" s="841">
        <v>0.74099999999999999</v>
      </c>
      <c r="T430" s="841">
        <f t="shared" si="358"/>
        <v>10.029999999999999</v>
      </c>
      <c r="U430" s="840">
        <v>10.029999999999999</v>
      </c>
      <c r="V430" s="841">
        <v>0.04</v>
      </c>
      <c r="W430" s="841">
        <v>0.18</v>
      </c>
      <c r="X430" s="841">
        <v>1.367</v>
      </c>
      <c r="Y430" s="841">
        <f t="shared" si="359"/>
        <v>-0.129</v>
      </c>
      <c r="Z430" s="840">
        <v>-0.129</v>
      </c>
      <c r="AA430" s="841"/>
      <c r="AB430" s="841">
        <v>1.7999999999999999E-2</v>
      </c>
      <c r="AC430" s="841">
        <v>3.11</v>
      </c>
      <c r="AD430" s="841">
        <f t="shared" si="360"/>
        <v>0.312</v>
      </c>
      <c r="AE430" s="840">
        <v>0.312</v>
      </c>
      <c r="AF430" s="841">
        <v>8.5999999999999993E-2</v>
      </c>
      <c r="AG430" s="841">
        <v>0.17499999999999999</v>
      </c>
      <c r="AH430" s="841">
        <v>2.1999999999999999E-2</v>
      </c>
      <c r="AI430" s="841">
        <f t="shared" si="361"/>
        <v>0.245</v>
      </c>
      <c r="AJ430" s="840">
        <v>0.245</v>
      </c>
      <c r="AK430" s="841">
        <v>-1.2999999999999999E-2</v>
      </c>
      <c r="AL430" s="841">
        <v>2.8000000000000001E-2</v>
      </c>
      <c r="AM430" s="842">
        <v>3.7999999999999999E-2</v>
      </c>
      <c r="AN430" s="862"/>
      <c r="AO430" s="844"/>
      <c r="AP430" s="843"/>
      <c r="AQ430" s="843"/>
      <c r="AR430" s="843"/>
      <c r="AS430" s="862"/>
      <c r="AT430" s="844"/>
      <c r="AU430" s="844"/>
      <c r="AV430" s="844"/>
      <c r="AW430" s="844"/>
      <c r="AX430" s="793"/>
    </row>
    <row r="431" spans="1:50" s="29" customFormat="1" hidden="1" outlineLevel="1" x14ac:dyDescent="0.45">
      <c r="A431" s="61" t="s">
        <v>123</v>
      </c>
      <c r="B431" s="147"/>
      <c r="C431" s="840"/>
      <c r="D431" s="840">
        <v>-1.524</v>
      </c>
      <c r="E431" s="840">
        <v>-4.1449999999999996</v>
      </c>
      <c r="F431" s="840">
        <v>0.157</v>
      </c>
      <c r="G431" s="841">
        <v>-0.05</v>
      </c>
      <c r="H431" s="841">
        <v>-6.2E-2</v>
      </c>
      <c r="I431" s="841">
        <v>-6.2E-2</v>
      </c>
      <c r="J431" s="841">
        <f t="shared" si="356"/>
        <v>-0.183</v>
      </c>
      <c r="K431" s="840">
        <v>-0.183</v>
      </c>
      <c r="L431" s="841"/>
      <c r="M431" s="841"/>
      <c r="N431" s="841"/>
      <c r="O431" s="841">
        <f t="shared" si="357"/>
        <v>0</v>
      </c>
      <c r="P431" s="840"/>
      <c r="Q431" s="841"/>
      <c r="R431" s="841"/>
      <c r="S431" s="841"/>
      <c r="T431" s="841">
        <f t="shared" si="358"/>
        <v>0</v>
      </c>
      <c r="U431" s="840"/>
      <c r="V431" s="841"/>
      <c r="W431" s="841"/>
      <c r="X431" s="841"/>
      <c r="Y431" s="841">
        <f t="shared" si="359"/>
        <v>0</v>
      </c>
      <c r="Z431" s="840"/>
      <c r="AA431" s="841">
        <v>0.42</v>
      </c>
      <c r="AB431" s="841">
        <v>0.34599999999999997</v>
      </c>
      <c r="AC431" s="841">
        <v>0.32800000000000001</v>
      </c>
      <c r="AD431" s="841">
        <f t="shared" si="360"/>
        <v>0.32800000000000001</v>
      </c>
      <c r="AE431" s="840">
        <v>0.32800000000000001</v>
      </c>
      <c r="AF431" s="841">
        <v>-3.3000000000000002E-2</v>
      </c>
      <c r="AG431" s="841">
        <v>-0.26</v>
      </c>
      <c r="AH431" s="841">
        <v>-0.313</v>
      </c>
      <c r="AI431" s="841">
        <f t="shared" si="361"/>
        <v>-0.36499999999999999</v>
      </c>
      <c r="AJ431" s="840">
        <v>-0.36499999999999999</v>
      </c>
      <c r="AK431" s="841">
        <v>-0.189</v>
      </c>
      <c r="AL431" s="841">
        <v>-0.05</v>
      </c>
      <c r="AM431" s="842">
        <v>-4.5999999999999999E-2</v>
      </c>
      <c r="AN431" s="862"/>
      <c r="AO431" s="844"/>
      <c r="AP431" s="843"/>
      <c r="AQ431" s="843"/>
      <c r="AR431" s="843"/>
      <c r="AS431" s="862"/>
      <c r="AT431" s="844"/>
      <c r="AU431" s="844"/>
      <c r="AV431" s="844"/>
      <c r="AW431" s="844"/>
      <c r="AX431" s="793"/>
    </row>
    <row r="432" spans="1:50" s="29" customFormat="1" hidden="1" outlineLevel="1" x14ac:dyDescent="0.45">
      <c r="A432" s="61" t="s">
        <v>124</v>
      </c>
      <c r="B432" s="147"/>
      <c r="C432" s="840"/>
      <c r="D432" s="840">
        <v>0.78900000000000003</v>
      </c>
      <c r="E432" s="840"/>
      <c r="F432" s="840">
        <v>1.272</v>
      </c>
      <c r="G432" s="841">
        <v>4.5999999999999999E-2</v>
      </c>
      <c r="H432" s="841">
        <v>-8.8999999999999996E-2</v>
      </c>
      <c r="I432" s="841">
        <v>-0.38400000000000001</v>
      </c>
      <c r="J432" s="841">
        <f t="shared" si="356"/>
        <v>0.10100000000000001</v>
      </c>
      <c r="K432" s="840">
        <v>0.10100000000000001</v>
      </c>
      <c r="L432" s="841">
        <v>0.60399999999999998</v>
      </c>
      <c r="M432" s="841">
        <v>1.004</v>
      </c>
      <c r="N432" s="841">
        <v>1.5329999999999999</v>
      </c>
      <c r="O432" s="841">
        <f t="shared" si="357"/>
        <v>1.9370000000000001</v>
      </c>
      <c r="P432" s="840">
        <v>1.9370000000000001</v>
      </c>
      <c r="Q432" s="841">
        <v>0.40300000000000002</v>
      </c>
      <c r="R432" s="841">
        <v>0.82199999999999995</v>
      </c>
      <c r="S432" s="841">
        <v>1.2010000000000001</v>
      </c>
      <c r="T432" s="841">
        <f t="shared" si="358"/>
        <v>0.26100000000000001</v>
      </c>
      <c r="U432" s="840">
        <v>0.26100000000000001</v>
      </c>
      <c r="V432" s="841">
        <v>2.5739999999999998</v>
      </c>
      <c r="W432" s="841">
        <v>5.83</v>
      </c>
      <c r="X432" s="841">
        <v>3.7970000000000002</v>
      </c>
      <c r="Y432" s="841">
        <f t="shared" si="359"/>
        <v>4.2469999999999999</v>
      </c>
      <c r="Z432" s="840">
        <v>4.2469999999999999</v>
      </c>
      <c r="AA432" s="841"/>
      <c r="AB432" s="841"/>
      <c r="AC432" s="841"/>
      <c r="AD432" s="841">
        <f t="shared" si="360"/>
        <v>0</v>
      </c>
      <c r="AE432" s="840"/>
      <c r="AF432" s="841"/>
      <c r="AG432" s="841"/>
      <c r="AH432" s="841"/>
      <c r="AI432" s="841">
        <f t="shared" si="361"/>
        <v>1</v>
      </c>
      <c r="AJ432" s="840">
        <v>1</v>
      </c>
      <c r="AK432" s="841"/>
      <c r="AL432" s="841">
        <v>0.4</v>
      </c>
      <c r="AM432" s="842">
        <v>0.42499999999999999</v>
      </c>
      <c r="AN432" s="862"/>
      <c r="AO432" s="844"/>
      <c r="AP432" s="843"/>
      <c r="AQ432" s="843"/>
      <c r="AR432" s="843"/>
      <c r="AS432" s="862"/>
      <c r="AT432" s="844"/>
      <c r="AU432" s="844"/>
      <c r="AV432" s="844"/>
      <c r="AW432" s="844"/>
      <c r="AX432" s="793"/>
    </row>
    <row r="433" spans="1:50" s="29" customFormat="1" hidden="1" outlineLevel="1" x14ac:dyDescent="0.45">
      <c r="A433" s="61" t="s">
        <v>125</v>
      </c>
      <c r="B433" s="147"/>
      <c r="C433" s="840"/>
      <c r="D433" s="840"/>
      <c r="E433" s="840"/>
      <c r="F433" s="840"/>
      <c r="G433" s="841"/>
      <c r="H433" s="841"/>
      <c r="I433" s="841"/>
      <c r="J433" s="841">
        <f t="shared" si="356"/>
        <v>0</v>
      </c>
      <c r="K433" s="840"/>
      <c r="L433" s="841"/>
      <c r="M433" s="841"/>
      <c r="N433" s="841"/>
      <c r="O433" s="841">
        <f t="shared" si="357"/>
        <v>0</v>
      </c>
      <c r="P433" s="840"/>
      <c r="Q433" s="841"/>
      <c r="R433" s="841"/>
      <c r="S433" s="841">
        <v>1.3660000000000001</v>
      </c>
      <c r="T433" s="841">
        <f t="shared" si="358"/>
        <v>1.3660000000000001</v>
      </c>
      <c r="U433" s="840">
        <v>1.3660000000000001</v>
      </c>
      <c r="V433" s="841"/>
      <c r="W433" s="841"/>
      <c r="X433" s="841"/>
      <c r="Y433" s="841">
        <f t="shared" si="359"/>
        <v>0</v>
      </c>
      <c r="Z433" s="840"/>
      <c r="AA433" s="841"/>
      <c r="AB433" s="841"/>
      <c r="AC433" s="841"/>
      <c r="AD433" s="841">
        <f t="shared" si="360"/>
        <v>0</v>
      </c>
      <c r="AE433" s="840"/>
      <c r="AF433" s="841"/>
      <c r="AG433" s="841"/>
      <c r="AH433" s="841"/>
      <c r="AI433" s="841">
        <f t="shared" si="361"/>
        <v>0</v>
      </c>
      <c r="AJ433" s="840"/>
      <c r="AK433" s="841"/>
      <c r="AL433" s="841"/>
      <c r="AM433" s="842"/>
      <c r="AN433" s="862"/>
      <c r="AO433" s="844"/>
      <c r="AP433" s="843"/>
      <c r="AQ433" s="843"/>
      <c r="AR433" s="843"/>
      <c r="AS433" s="862"/>
      <c r="AT433" s="844"/>
      <c r="AU433" s="844"/>
      <c r="AV433" s="844"/>
      <c r="AW433" s="844"/>
      <c r="AX433" s="793"/>
    </row>
    <row r="434" spans="1:50" s="29" customFormat="1" hidden="1" outlineLevel="1" x14ac:dyDescent="0.45">
      <c r="A434" s="61" t="s">
        <v>37</v>
      </c>
      <c r="B434" s="147"/>
      <c r="C434" s="840"/>
      <c r="D434" s="840"/>
      <c r="E434" s="840"/>
      <c r="F434" s="840">
        <v>17.399999999999999</v>
      </c>
      <c r="G434" s="841"/>
      <c r="H434" s="841"/>
      <c r="I434" s="841">
        <v>25.971</v>
      </c>
      <c r="J434" s="841">
        <f t="shared" si="356"/>
        <v>25.971</v>
      </c>
      <c r="K434" s="840">
        <v>25.971</v>
      </c>
      <c r="L434" s="841"/>
      <c r="M434" s="841"/>
      <c r="N434" s="841"/>
      <c r="O434" s="841">
        <f t="shared" si="357"/>
        <v>0</v>
      </c>
      <c r="P434" s="840"/>
      <c r="Q434" s="841"/>
      <c r="R434" s="841"/>
      <c r="S434" s="841"/>
      <c r="T434" s="841">
        <f t="shared" si="358"/>
        <v>32.238</v>
      </c>
      <c r="U434" s="840">
        <v>32.238</v>
      </c>
      <c r="V434" s="841"/>
      <c r="W434" s="841"/>
      <c r="X434" s="841"/>
      <c r="Y434" s="841">
        <f t="shared" si="359"/>
        <v>0</v>
      </c>
      <c r="Z434" s="840"/>
      <c r="AA434" s="841"/>
      <c r="AB434" s="841"/>
      <c r="AC434" s="841"/>
      <c r="AD434" s="841">
        <f t="shared" si="360"/>
        <v>3.7570000000000001</v>
      </c>
      <c r="AE434" s="840">
        <v>3.7570000000000001</v>
      </c>
      <c r="AF434" s="841"/>
      <c r="AG434" s="841"/>
      <c r="AH434" s="841"/>
      <c r="AI434" s="841">
        <f t="shared" si="361"/>
        <v>0</v>
      </c>
      <c r="AJ434" s="840"/>
      <c r="AK434" s="841">
        <v>0.48899999999999999</v>
      </c>
      <c r="AL434" s="841">
        <v>2.4049999999999998</v>
      </c>
      <c r="AM434" s="842">
        <v>4.3529999999999998</v>
      </c>
      <c r="AN434" s="862"/>
      <c r="AO434" s="844"/>
      <c r="AP434" s="843"/>
      <c r="AQ434" s="843"/>
      <c r="AR434" s="843"/>
      <c r="AS434" s="862"/>
      <c r="AT434" s="844"/>
      <c r="AU434" s="844"/>
      <c r="AV434" s="844"/>
      <c r="AW434" s="844"/>
      <c r="AX434" s="793"/>
    </row>
    <row r="435" spans="1:50" s="29" customFormat="1" hidden="1" outlineLevel="1" x14ac:dyDescent="0.45">
      <c r="A435" s="61" t="s">
        <v>126</v>
      </c>
      <c r="B435" s="147"/>
      <c r="C435" s="840"/>
      <c r="D435" s="840"/>
      <c r="E435" s="840"/>
      <c r="F435" s="840"/>
      <c r="G435" s="841"/>
      <c r="H435" s="841"/>
      <c r="I435" s="841"/>
      <c r="J435" s="841">
        <f t="shared" si="356"/>
        <v>0</v>
      </c>
      <c r="K435" s="840"/>
      <c r="L435" s="841"/>
      <c r="M435" s="841"/>
      <c r="N435" s="841"/>
      <c r="O435" s="841">
        <f t="shared" si="357"/>
        <v>0</v>
      </c>
      <c r="P435" s="840"/>
      <c r="Q435" s="841"/>
      <c r="R435" s="841"/>
      <c r="S435" s="841"/>
      <c r="T435" s="841">
        <f t="shared" si="358"/>
        <v>0</v>
      </c>
      <c r="U435" s="840"/>
      <c r="V435" s="841">
        <v>1.3080000000000001</v>
      </c>
      <c r="W435" s="841">
        <v>0.70099999999999996</v>
      </c>
      <c r="X435" s="841"/>
      <c r="Y435" s="841">
        <f t="shared" si="359"/>
        <v>2.891</v>
      </c>
      <c r="Z435" s="840">
        <v>2.891</v>
      </c>
      <c r="AA435" s="841"/>
      <c r="AB435" s="841"/>
      <c r="AC435" s="841"/>
      <c r="AD435" s="841">
        <f t="shared" si="360"/>
        <v>0</v>
      </c>
      <c r="AE435" s="840"/>
      <c r="AF435" s="841"/>
      <c r="AG435" s="841"/>
      <c r="AH435" s="841"/>
      <c r="AI435" s="841">
        <f t="shared" si="361"/>
        <v>0</v>
      </c>
      <c r="AJ435" s="840"/>
      <c r="AK435" s="849">
        <v>1.7070000000000001</v>
      </c>
      <c r="AL435" s="849"/>
      <c r="AM435" s="842">
        <v>0.25700000000000001</v>
      </c>
      <c r="AN435" s="862"/>
      <c r="AO435" s="844"/>
      <c r="AP435" s="843"/>
      <c r="AQ435" s="843"/>
      <c r="AR435" s="843"/>
      <c r="AS435" s="862"/>
      <c r="AT435" s="844"/>
      <c r="AU435" s="844"/>
      <c r="AV435" s="844"/>
      <c r="AW435" s="844"/>
      <c r="AX435" s="793"/>
    </row>
    <row r="436" spans="1:50" s="7" customFormat="1" hidden="1" outlineLevel="1" x14ac:dyDescent="0.45">
      <c r="A436" s="53" t="s">
        <v>127</v>
      </c>
      <c r="B436" s="146"/>
      <c r="C436" s="845">
        <f t="shared" ref="C436:AW436" si="362">SUM(C420:C435)</f>
        <v>64.530999999999992</v>
      </c>
      <c r="D436" s="845">
        <f t="shared" si="362"/>
        <v>78.84899999999999</v>
      </c>
      <c r="E436" s="845">
        <f t="shared" si="362"/>
        <v>90.589000000000013</v>
      </c>
      <c r="F436" s="845">
        <f t="shared" si="362"/>
        <v>85.548000000000002</v>
      </c>
      <c r="G436" s="846">
        <f t="shared" si="362"/>
        <v>22.245999999999999</v>
      </c>
      <c r="H436" s="846">
        <f t="shared" si="362"/>
        <v>41.765000000000001</v>
      </c>
      <c r="I436" s="846">
        <f t="shared" si="362"/>
        <v>63.113</v>
      </c>
      <c r="J436" s="846">
        <f t="shared" si="362"/>
        <v>70.471000000000004</v>
      </c>
      <c r="K436" s="845">
        <f t="shared" si="362"/>
        <v>70.471000000000004</v>
      </c>
      <c r="L436" s="846">
        <f t="shared" si="362"/>
        <v>13.037000000000001</v>
      </c>
      <c r="M436" s="846">
        <f t="shared" si="362"/>
        <v>26.915000000000003</v>
      </c>
      <c r="N436" s="846">
        <f t="shared" si="362"/>
        <v>43.165999999999997</v>
      </c>
      <c r="O436" s="846">
        <f t="shared" si="362"/>
        <v>50.878</v>
      </c>
      <c r="P436" s="845">
        <f t="shared" si="362"/>
        <v>50.878</v>
      </c>
      <c r="Q436" s="846">
        <f t="shared" si="362"/>
        <v>14.68</v>
      </c>
      <c r="R436" s="846">
        <f t="shared" si="362"/>
        <v>31.666999999999998</v>
      </c>
      <c r="S436" s="846">
        <f t="shared" si="362"/>
        <v>49.405000000000001</v>
      </c>
      <c r="T436" s="846">
        <f t="shared" si="362"/>
        <v>86.670000000000016</v>
      </c>
      <c r="U436" s="845">
        <f t="shared" si="362"/>
        <v>86.670000000000016</v>
      </c>
      <c r="V436" s="846">
        <f t="shared" si="362"/>
        <v>16.391999999999999</v>
      </c>
      <c r="W436" s="846">
        <f t="shared" si="362"/>
        <v>37.437000000000005</v>
      </c>
      <c r="X436" s="859">
        <f t="shared" si="362"/>
        <v>59.438999999999993</v>
      </c>
      <c r="Y436" s="846">
        <f t="shared" si="362"/>
        <v>80.388000000000005</v>
      </c>
      <c r="Z436" s="845">
        <f t="shared" si="362"/>
        <v>80.388000000000005</v>
      </c>
      <c r="AA436" s="846">
        <f t="shared" si="362"/>
        <v>18.246000000000002</v>
      </c>
      <c r="AB436" s="846">
        <f t="shared" si="362"/>
        <v>41.121000000000002</v>
      </c>
      <c r="AC436" s="859">
        <f t="shared" si="362"/>
        <v>61.362000000000009</v>
      </c>
      <c r="AD436" s="846">
        <f t="shared" si="362"/>
        <v>67.253</v>
      </c>
      <c r="AE436" s="845">
        <f t="shared" si="362"/>
        <v>67.253</v>
      </c>
      <c r="AF436" s="846">
        <f t="shared" si="362"/>
        <v>17.006999999999998</v>
      </c>
      <c r="AG436" s="846">
        <f t="shared" si="362"/>
        <v>45.516999999999996</v>
      </c>
      <c r="AH436" s="859">
        <f t="shared" si="362"/>
        <v>67.302000000000007</v>
      </c>
      <c r="AI436" s="846">
        <f t="shared" si="362"/>
        <v>91.146000000000015</v>
      </c>
      <c r="AJ436" s="845">
        <f t="shared" si="362"/>
        <v>91.146000000000015</v>
      </c>
      <c r="AK436" s="846">
        <f t="shared" si="362"/>
        <v>22.137999999999998</v>
      </c>
      <c r="AL436" s="846">
        <f t="shared" si="362"/>
        <v>48.280999999999999</v>
      </c>
      <c r="AM436" s="847">
        <f t="shared" si="362"/>
        <v>75.219999999999985</v>
      </c>
      <c r="AN436" s="859">
        <f t="shared" si="362"/>
        <v>0</v>
      </c>
      <c r="AO436" s="845">
        <f t="shared" si="362"/>
        <v>0</v>
      </c>
      <c r="AP436" s="859">
        <f t="shared" si="362"/>
        <v>0</v>
      </c>
      <c r="AQ436" s="859">
        <f t="shared" si="362"/>
        <v>0</v>
      </c>
      <c r="AR436" s="859">
        <f t="shared" si="362"/>
        <v>0</v>
      </c>
      <c r="AS436" s="859">
        <f t="shared" si="362"/>
        <v>0</v>
      </c>
      <c r="AT436" s="845">
        <f t="shared" si="362"/>
        <v>0</v>
      </c>
      <c r="AU436" s="860">
        <f t="shared" si="362"/>
        <v>0</v>
      </c>
      <c r="AV436" s="860">
        <f t="shared" si="362"/>
        <v>0</v>
      </c>
      <c r="AW436" s="860">
        <f t="shared" si="362"/>
        <v>0</v>
      </c>
      <c r="AX436" s="795"/>
    </row>
    <row r="437" spans="1:50" s="29" customFormat="1" hidden="1" outlineLevel="1" x14ac:dyDescent="0.45">
      <c r="A437" s="61" t="s">
        <v>128</v>
      </c>
      <c r="B437" s="147"/>
      <c r="C437" s="840">
        <v>-18.943999999999999</v>
      </c>
      <c r="D437" s="840">
        <v>-36.094000000000001</v>
      </c>
      <c r="E437" s="840">
        <v>-10.388999999999999</v>
      </c>
      <c r="F437" s="840">
        <v>-7.9880000000000004</v>
      </c>
      <c r="G437" s="841">
        <v>7.5030000000000001</v>
      </c>
      <c r="H437" s="841">
        <v>9.298</v>
      </c>
      <c r="I437" s="841">
        <v>23.451000000000001</v>
      </c>
      <c r="J437" s="841">
        <f t="shared" ref="J437:J451" si="363">K437</f>
        <v>37.460999999999999</v>
      </c>
      <c r="K437" s="840">
        <v>37.460999999999999</v>
      </c>
      <c r="L437" s="841">
        <v>3.1720000000000002</v>
      </c>
      <c r="M437" s="841">
        <v>8.7620000000000005</v>
      </c>
      <c r="N437" s="841">
        <v>8.7789999999999999</v>
      </c>
      <c r="O437" s="841">
        <f t="shared" ref="O437:O451" si="364">P437</f>
        <v>4.7439999999999998</v>
      </c>
      <c r="P437" s="840">
        <v>4.7439999999999998</v>
      </c>
      <c r="Q437" s="841">
        <v>7.12</v>
      </c>
      <c r="R437" s="841">
        <v>8.3130000000000006</v>
      </c>
      <c r="S437" s="841">
        <v>11.313000000000001</v>
      </c>
      <c r="T437" s="841">
        <f t="shared" ref="T437:T451" si="365">U437</f>
        <v>9.9290000000000003</v>
      </c>
      <c r="U437" s="840">
        <v>9.9290000000000003</v>
      </c>
      <c r="V437" s="841">
        <v>11.467000000000001</v>
      </c>
      <c r="W437" s="841">
        <v>13.648999999999999</v>
      </c>
      <c r="X437" s="841">
        <v>16.004999999999999</v>
      </c>
      <c r="Y437" s="841">
        <f t="shared" ref="Y437:Y451" si="366">Z437</f>
        <v>5.5350000000000001</v>
      </c>
      <c r="Z437" s="840">
        <v>5.5350000000000001</v>
      </c>
      <c r="AA437" s="841">
        <v>1.546</v>
      </c>
      <c r="AB437" s="841">
        <v>-0.12</v>
      </c>
      <c r="AC437" s="841">
        <v>0.96</v>
      </c>
      <c r="AD437" s="841">
        <f t="shared" ref="AD437:AD451" si="367">AE437</f>
        <v>-5.4089999999999998</v>
      </c>
      <c r="AE437" s="840">
        <v>-5.4089999999999998</v>
      </c>
      <c r="AF437" s="841">
        <v>0.48599999999999999</v>
      </c>
      <c r="AG437" s="841">
        <v>0.40899999999999997</v>
      </c>
      <c r="AH437" s="841">
        <v>0.24199999999999999</v>
      </c>
      <c r="AI437" s="841">
        <f t="shared" ref="AI437:AI451" si="368">AJ437</f>
        <v>-6.1779999999999999</v>
      </c>
      <c r="AJ437" s="840">
        <v>-6.1779999999999999</v>
      </c>
      <c r="AK437" s="841">
        <v>5.1050000000000004</v>
      </c>
      <c r="AL437" s="841">
        <v>2.1160000000000001</v>
      </c>
      <c r="AM437" s="842">
        <v>6.1840000000000002</v>
      </c>
      <c r="AN437" s="862"/>
      <c r="AO437" s="844"/>
      <c r="AP437" s="843"/>
      <c r="AQ437" s="843"/>
      <c r="AR437" s="843"/>
      <c r="AS437" s="862"/>
      <c r="AT437" s="844"/>
      <c r="AU437" s="844"/>
      <c r="AV437" s="844"/>
      <c r="AW437" s="844"/>
      <c r="AX437" s="793"/>
    </row>
    <row r="438" spans="1:50" s="29" customFormat="1" hidden="1" outlineLevel="1" x14ac:dyDescent="0.45">
      <c r="A438" s="61" t="s">
        <v>129</v>
      </c>
      <c r="B438" s="147"/>
      <c r="C438" s="840">
        <v>-0.23799999999999999</v>
      </c>
      <c r="D438" s="840">
        <v>1.052</v>
      </c>
      <c r="E438" s="840">
        <v>-1.024</v>
      </c>
      <c r="F438" s="840">
        <v>0.33900000000000002</v>
      </c>
      <c r="G438" s="841">
        <v>-0.27300000000000002</v>
      </c>
      <c r="H438" s="841">
        <v>-0.24199999999999999</v>
      </c>
      <c r="I438" s="841">
        <v>-0.17399999999999999</v>
      </c>
      <c r="J438" s="841">
        <f t="shared" si="363"/>
        <v>-8.1000000000000003E-2</v>
      </c>
      <c r="K438" s="840">
        <v>-8.1000000000000003E-2</v>
      </c>
      <c r="L438" s="841">
        <v>7.0000000000000007E-2</v>
      </c>
      <c r="M438" s="841">
        <v>2.7E-2</v>
      </c>
      <c r="N438" s="841">
        <v>9.8000000000000004E-2</v>
      </c>
      <c r="O438" s="841">
        <f t="shared" si="364"/>
        <v>0.187</v>
      </c>
      <c r="P438" s="840">
        <v>0.187</v>
      </c>
      <c r="Q438" s="841">
        <v>-8.2000000000000003E-2</v>
      </c>
      <c r="R438" s="841">
        <v>-0.11899999999999999</v>
      </c>
      <c r="S438" s="841">
        <v>-0.16</v>
      </c>
      <c r="T438" s="841">
        <f t="shared" si="365"/>
        <v>1.7000000000000001E-2</v>
      </c>
      <c r="U438" s="840">
        <v>1.7000000000000001E-2</v>
      </c>
      <c r="V438" s="841">
        <v>-5.0000000000000001E-3</v>
      </c>
      <c r="W438" s="841">
        <v>-2.1999999999999999E-2</v>
      </c>
      <c r="X438" s="841">
        <v>-6.6000000000000003E-2</v>
      </c>
      <c r="Y438" s="841">
        <f t="shared" si="366"/>
        <v>-2.1000000000000001E-2</v>
      </c>
      <c r="Z438" s="840">
        <v>-2.1000000000000001E-2</v>
      </c>
      <c r="AA438" s="841">
        <v>3.7999999999999999E-2</v>
      </c>
      <c r="AB438" s="841">
        <v>-2.5000000000000001E-2</v>
      </c>
      <c r="AC438" s="841">
        <v>-5.0999999999999997E-2</v>
      </c>
      <c r="AD438" s="841">
        <f t="shared" si="367"/>
        <v>-7.2999999999999995E-2</v>
      </c>
      <c r="AE438" s="840">
        <v>-7.2999999999999995E-2</v>
      </c>
      <c r="AF438" s="841">
        <v>8.9999999999999993E-3</v>
      </c>
      <c r="AG438" s="841">
        <v>1.6E-2</v>
      </c>
      <c r="AH438" s="841">
        <v>4.2999999999999997E-2</v>
      </c>
      <c r="AI438" s="841">
        <f t="shared" si="368"/>
        <v>7.0000000000000007E-2</v>
      </c>
      <c r="AJ438" s="840">
        <v>7.0000000000000007E-2</v>
      </c>
      <c r="AK438" s="841">
        <v>4.8000000000000001E-2</v>
      </c>
      <c r="AL438" s="841">
        <v>5.6000000000000001E-2</v>
      </c>
      <c r="AM438" s="842">
        <v>3.9E-2</v>
      </c>
      <c r="AN438" s="862"/>
      <c r="AO438" s="844"/>
      <c r="AP438" s="843"/>
      <c r="AQ438" s="843"/>
      <c r="AR438" s="843"/>
      <c r="AS438" s="862"/>
      <c r="AT438" s="844"/>
      <c r="AU438" s="844"/>
      <c r="AV438" s="844"/>
      <c r="AW438" s="844"/>
      <c r="AX438" s="793"/>
    </row>
    <row r="439" spans="1:50" s="29" customFormat="1" hidden="1" outlineLevel="1" x14ac:dyDescent="0.45">
      <c r="A439" s="61" t="s">
        <v>130</v>
      </c>
      <c r="B439" s="147"/>
      <c r="C439" s="840">
        <v>3.875</v>
      </c>
      <c r="D439" s="840">
        <v>2.9529999999999998</v>
      </c>
      <c r="E439" s="840">
        <v>-2.6280000000000001</v>
      </c>
      <c r="F439" s="840">
        <v>2.6280000000000001</v>
      </c>
      <c r="G439" s="841"/>
      <c r="H439" s="841">
        <v>-4.4660000000000002</v>
      </c>
      <c r="I439" s="841">
        <v>-15.27</v>
      </c>
      <c r="J439" s="841">
        <f t="shared" si="363"/>
        <v>0</v>
      </c>
      <c r="K439" s="840"/>
      <c r="L439" s="841"/>
      <c r="M439" s="841"/>
      <c r="N439" s="841"/>
      <c r="O439" s="841">
        <f t="shared" si="364"/>
        <v>0</v>
      </c>
      <c r="P439" s="840"/>
      <c r="Q439" s="841"/>
      <c r="R439" s="841"/>
      <c r="S439" s="841"/>
      <c r="T439" s="841">
        <f t="shared" si="365"/>
        <v>0</v>
      </c>
      <c r="U439" s="840"/>
      <c r="V439" s="841"/>
      <c r="W439" s="841"/>
      <c r="X439" s="841"/>
      <c r="Y439" s="841">
        <f t="shared" si="366"/>
        <v>0</v>
      </c>
      <c r="Z439" s="840"/>
      <c r="AA439" s="841"/>
      <c r="AB439" s="841"/>
      <c r="AC439" s="841"/>
      <c r="AD439" s="841">
        <f t="shared" si="367"/>
        <v>0</v>
      </c>
      <c r="AE439" s="840"/>
      <c r="AF439" s="841"/>
      <c r="AG439" s="841"/>
      <c r="AH439" s="841"/>
      <c r="AI439" s="841">
        <f t="shared" si="368"/>
        <v>0</v>
      </c>
      <c r="AJ439" s="840"/>
      <c r="AK439" s="841"/>
      <c r="AL439" s="841"/>
      <c r="AM439" s="842"/>
      <c r="AN439" s="862"/>
      <c r="AO439" s="844"/>
      <c r="AP439" s="843"/>
      <c r="AQ439" s="843"/>
      <c r="AR439" s="843"/>
      <c r="AS439" s="862"/>
      <c r="AT439" s="844"/>
      <c r="AU439" s="844"/>
      <c r="AV439" s="844"/>
      <c r="AW439" s="844"/>
      <c r="AX439" s="793"/>
    </row>
    <row r="440" spans="1:50" s="29" customFormat="1" hidden="1" outlineLevel="1" x14ac:dyDescent="0.45">
      <c r="A440" s="61" t="s">
        <v>131</v>
      </c>
      <c r="B440" s="147"/>
      <c r="C440" s="840">
        <v>-2.31</v>
      </c>
      <c r="D440" s="840">
        <v>-3.746</v>
      </c>
      <c r="E440" s="840">
        <v>-2.9550000000000001</v>
      </c>
      <c r="F440" s="840">
        <v>-4.0490000000000004</v>
      </c>
      <c r="G440" s="841">
        <v>4.0250000000000004</v>
      </c>
      <c r="H440" s="841">
        <v>3.9590000000000001</v>
      </c>
      <c r="I440" s="841">
        <v>3.5790000000000002</v>
      </c>
      <c r="J440" s="841">
        <f t="shared" si="363"/>
        <v>0</v>
      </c>
      <c r="K440" s="840"/>
      <c r="L440" s="841"/>
      <c r="M440" s="841"/>
      <c r="N440" s="841"/>
      <c r="O440" s="841">
        <f t="shared" si="364"/>
        <v>0</v>
      </c>
      <c r="P440" s="840"/>
      <c r="Q440" s="841"/>
      <c r="R440" s="841"/>
      <c r="S440" s="841"/>
      <c r="T440" s="841">
        <f t="shared" si="365"/>
        <v>0</v>
      </c>
      <c r="U440" s="840"/>
      <c r="V440" s="841"/>
      <c r="W440" s="841"/>
      <c r="X440" s="841"/>
      <c r="Y440" s="841">
        <f t="shared" si="366"/>
        <v>0</v>
      </c>
      <c r="Z440" s="840"/>
      <c r="AA440" s="841"/>
      <c r="AB440" s="841"/>
      <c r="AC440" s="841"/>
      <c r="AD440" s="841">
        <f t="shared" si="367"/>
        <v>0</v>
      </c>
      <c r="AE440" s="840"/>
      <c r="AF440" s="841"/>
      <c r="AG440" s="841"/>
      <c r="AH440" s="841"/>
      <c r="AI440" s="841">
        <f t="shared" si="368"/>
        <v>0</v>
      </c>
      <c r="AJ440" s="840"/>
      <c r="AK440" s="841"/>
      <c r="AL440" s="841"/>
      <c r="AM440" s="842"/>
      <c r="AN440" s="843"/>
      <c r="AO440" s="844"/>
      <c r="AP440" s="843"/>
      <c r="AQ440" s="843"/>
      <c r="AR440" s="843"/>
      <c r="AS440" s="843"/>
      <c r="AT440" s="844"/>
      <c r="AU440" s="844"/>
      <c r="AV440" s="844"/>
      <c r="AW440" s="844"/>
      <c r="AX440" s="793"/>
    </row>
    <row r="441" spans="1:50" s="29" customFormat="1" hidden="1" outlineLevel="1" x14ac:dyDescent="0.45">
      <c r="A441" s="61" t="s">
        <v>132</v>
      </c>
      <c r="B441" s="147"/>
      <c r="C441" s="840">
        <v>-0.89400000000000002</v>
      </c>
      <c r="D441" s="840">
        <v>-1.8169999999999999</v>
      </c>
      <c r="E441" s="840">
        <v>-0.84099999999999997</v>
      </c>
      <c r="F441" s="840">
        <v>-2.7770000000000001</v>
      </c>
      <c r="G441" s="841">
        <v>-0.61</v>
      </c>
      <c r="H441" s="841">
        <v>-0.84499999999999997</v>
      </c>
      <c r="I441" s="841">
        <v>-1.444</v>
      </c>
      <c r="J441" s="841">
        <f t="shared" si="363"/>
        <v>0</v>
      </c>
      <c r="K441" s="840"/>
      <c r="L441" s="841"/>
      <c r="M441" s="841"/>
      <c r="N441" s="841"/>
      <c r="O441" s="841">
        <f t="shared" si="364"/>
        <v>0</v>
      </c>
      <c r="P441" s="840"/>
      <c r="Q441" s="841"/>
      <c r="R441" s="841"/>
      <c r="S441" s="841"/>
      <c r="T441" s="841">
        <f t="shared" si="365"/>
        <v>0</v>
      </c>
      <c r="U441" s="840"/>
      <c r="V441" s="841"/>
      <c r="W441" s="841"/>
      <c r="X441" s="841"/>
      <c r="Y441" s="841">
        <f t="shared" si="366"/>
        <v>0</v>
      </c>
      <c r="Z441" s="840"/>
      <c r="AA441" s="841"/>
      <c r="AB441" s="841"/>
      <c r="AC441" s="841"/>
      <c r="AD441" s="841">
        <f t="shared" si="367"/>
        <v>0</v>
      </c>
      <c r="AE441" s="840"/>
      <c r="AF441" s="841"/>
      <c r="AG441" s="841"/>
      <c r="AH441" s="841"/>
      <c r="AI441" s="841">
        <f t="shared" si="368"/>
        <v>0</v>
      </c>
      <c r="AJ441" s="840"/>
      <c r="AK441" s="841"/>
      <c r="AL441" s="841"/>
      <c r="AM441" s="842"/>
      <c r="AN441" s="843"/>
      <c r="AO441" s="844"/>
      <c r="AP441" s="843"/>
      <c r="AQ441" s="843"/>
      <c r="AR441" s="843"/>
      <c r="AS441" s="843"/>
      <c r="AT441" s="844"/>
      <c r="AU441" s="844"/>
      <c r="AV441" s="844"/>
      <c r="AW441" s="844"/>
      <c r="AX441" s="793"/>
    </row>
    <row r="442" spans="1:50" s="29" customFormat="1" hidden="1" outlineLevel="1" x14ac:dyDescent="0.45">
      <c r="A442" s="61" t="s">
        <v>133</v>
      </c>
      <c r="B442" s="147"/>
      <c r="C442" s="840">
        <v>-1.81</v>
      </c>
      <c r="D442" s="840">
        <v>3.3439999999999999</v>
      </c>
      <c r="E442" s="840">
        <v>-2.1840000000000002</v>
      </c>
      <c r="F442" s="840">
        <v>6.2229999999999999</v>
      </c>
      <c r="G442" s="841">
        <v>-4.0609999999999999</v>
      </c>
      <c r="H442" s="841">
        <v>-2.8159999999999998</v>
      </c>
      <c r="I442" s="841">
        <v>-6.8419999999999996</v>
      </c>
      <c r="J442" s="841">
        <f t="shared" si="363"/>
        <v>-4.17</v>
      </c>
      <c r="K442" s="840">
        <v>-4.17</v>
      </c>
      <c r="L442" s="841">
        <v>0.95499999999999996</v>
      </c>
      <c r="M442" s="841">
        <v>0.77400000000000002</v>
      </c>
      <c r="N442" s="841">
        <v>-1.0840000000000001</v>
      </c>
      <c r="O442" s="841">
        <f t="shared" si="364"/>
        <v>1.2809999999999999</v>
      </c>
      <c r="P442" s="840">
        <v>1.2809999999999999</v>
      </c>
      <c r="Q442" s="841">
        <v>0.88700000000000001</v>
      </c>
      <c r="R442" s="841">
        <v>0.69899999999999995</v>
      </c>
      <c r="S442" s="841">
        <v>6.0000000000000001E-3</v>
      </c>
      <c r="T442" s="841">
        <f t="shared" si="365"/>
        <v>-0.27100000000000002</v>
      </c>
      <c r="U442" s="840">
        <v>-0.27100000000000002</v>
      </c>
      <c r="V442" s="841">
        <v>-7.0289999999999999</v>
      </c>
      <c r="W442" s="841">
        <v>-5.8339999999999996</v>
      </c>
      <c r="X442" s="841">
        <v>-5.9829999999999997</v>
      </c>
      <c r="Y442" s="841">
        <f t="shared" si="366"/>
        <v>-6.59</v>
      </c>
      <c r="Z442" s="840">
        <v>-6.59</v>
      </c>
      <c r="AA442" s="841">
        <v>-0.84099999999999997</v>
      </c>
      <c r="AB442" s="841">
        <v>1.323</v>
      </c>
      <c r="AC442" s="841">
        <v>-2.4420000000000002</v>
      </c>
      <c r="AD442" s="841">
        <f t="shared" si="367"/>
        <v>-1.232</v>
      </c>
      <c r="AE442" s="840">
        <v>-1.232</v>
      </c>
      <c r="AF442" s="841">
        <v>-1.1719999999999999</v>
      </c>
      <c r="AG442" s="841">
        <v>1.843</v>
      </c>
      <c r="AH442" s="841">
        <v>-0.78300000000000003</v>
      </c>
      <c r="AI442" s="841">
        <f t="shared" si="368"/>
        <v>1.07</v>
      </c>
      <c r="AJ442" s="840">
        <v>1.07</v>
      </c>
      <c r="AK442" s="841">
        <v>0.41599999999999998</v>
      </c>
      <c r="AL442" s="841">
        <v>-0.63800000000000001</v>
      </c>
      <c r="AM442" s="842">
        <v>2.323</v>
      </c>
      <c r="AN442" s="843"/>
      <c r="AO442" s="844"/>
      <c r="AP442" s="843"/>
      <c r="AQ442" s="843"/>
      <c r="AR442" s="843"/>
      <c r="AS442" s="843"/>
      <c r="AT442" s="844"/>
      <c r="AU442" s="844"/>
      <c r="AV442" s="844"/>
      <c r="AW442" s="844"/>
      <c r="AX442" s="793"/>
    </row>
    <row r="443" spans="1:50" s="29" customFormat="1" hidden="1" outlineLevel="1" x14ac:dyDescent="0.45">
      <c r="A443" s="61" t="s">
        <v>134</v>
      </c>
      <c r="B443" s="147"/>
      <c r="C443" s="840">
        <v>12.528</v>
      </c>
      <c r="D443" s="840">
        <v>13.211</v>
      </c>
      <c r="E443" s="840">
        <v>5.9930000000000003</v>
      </c>
      <c r="F443" s="840">
        <v>-17.992999999999999</v>
      </c>
      <c r="G443" s="841">
        <v>-2.4159999999999999</v>
      </c>
      <c r="H443" s="841">
        <v>-4.2229999999999999</v>
      </c>
      <c r="I443" s="841">
        <v>2.585</v>
      </c>
      <c r="J443" s="841">
        <f t="shared" si="363"/>
        <v>1.036</v>
      </c>
      <c r="K443" s="840">
        <v>1.036</v>
      </c>
      <c r="L443" s="841">
        <v>-0.57099999999999995</v>
      </c>
      <c r="M443" s="841">
        <v>-1.8240000000000001</v>
      </c>
      <c r="N443" s="841">
        <v>-3.8969999999999998</v>
      </c>
      <c r="O443" s="841">
        <f t="shared" si="364"/>
        <v>-5.61</v>
      </c>
      <c r="P443" s="840">
        <v>-5.61</v>
      </c>
      <c r="Q443" s="841">
        <v>-4.5570000000000004</v>
      </c>
      <c r="R443" s="841">
        <v>-8.8460000000000001</v>
      </c>
      <c r="S443" s="841">
        <v>-10.32</v>
      </c>
      <c r="T443" s="841">
        <f t="shared" si="365"/>
        <v>-8.39</v>
      </c>
      <c r="U443" s="840">
        <v>-8.39</v>
      </c>
      <c r="V443" s="841">
        <v>-3.4329999999999998</v>
      </c>
      <c r="W443" s="841">
        <v>-5.5720000000000001</v>
      </c>
      <c r="X443" s="841">
        <v>-8.1950000000000003</v>
      </c>
      <c r="Y443" s="841">
        <f t="shared" si="366"/>
        <v>-5.4930000000000003</v>
      </c>
      <c r="Z443" s="840">
        <v>-5.4930000000000003</v>
      </c>
      <c r="AA443" s="841">
        <v>-1.1020000000000001</v>
      </c>
      <c r="AB443" s="841">
        <v>-0.92900000000000005</v>
      </c>
      <c r="AC443" s="841">
        <v>-0.70899999999999996</v>
      </c>
      <c r="AD443" s="841">
        <f t="shared" si="367"/>
        <v>0.84699999999999998</v>
      </c>
      <c r="AE443" s="840">
        <v>0.84699999999999998</v>
      </c>
      <c r="AF443" s="841"/>
      <c r="AG443" s="841"/>
      <c r="AH443" s="841"/>
      <c r="AI443" s="841">
        <f t="shared" si="368"/>
        <v>0</v>
      </c>
      <c r="AJ443" s="840"/>
      <c r="AK443" s="841"/>
      <c r="AL443" s="841"/>
      <c r="AM443" s="842"/>
      <c r="AN443" s="862"/>
      <c r="AO443" s="844"/>
      <c r="AP443" s="843"/>
      <c r="AQ443" s="843"/>
      <c r="AR443" s="843"/>
      <c r="AS443" s="862"/>
      <c r="AT443" s="844"/>
      <c r="AU443" s="844"/>
      <c r="AV443" s="844"/>
      <c r="AW443" s="844"/>
      <c r="AX443" s="793"/>
    </row>
    <row r="444" spans="1:50" s="29" customFormat="1" hidden="1" outlineLevel="1" x14ac:dyDescent="0.45">
      <c r="A444" s="61" t="s">
        <v>135</v>
      </c>
      <c r="B444" s="147"/>
      <c r="C444" s="840">
        <v>-1.006</v>
      </c>
      <c r="D444" s="840">
        <v>1.296</v>
      </c>
      <c r="E444" s="840">
        <v>1.623</v>
      </c>
      <c r="F444" s="840">
        <v>4.4999999999999998E-2</v>
      </c>
      <c r="G444" s="841">
        <v>0.158</v>
      </c>
      <c r="H444" s="841">
        <v>6.0999999999999999E-2</v>
      </c>
      <c r="I444" s="841">
        <v>1.7769999999999999</v>
      </c>
      <c r="J444" s="841">
        <f t="shared" si="363"/>
        <v>4.0380000000000003</v>
      </c>
      <c r="K444" s="840">
        <v>4.0380000000000003</v>
      </c>
      <c r="L444" s="841">
        <v>-2.0590000000000002</v>
      </c>
      <c r="M444" s="841">
        <v>-4.0000000000000001E-3</v>
      </c>
      <c r="N444" s="841">
        <v>3.6349999999999998</v>
      </c>
      <c r="O444" s="841">
        <f t="shared" si="364"/>
        <v>8.0980000000000008</v>
      </c>
      <c r="P444" s="840">
        <v>8.0980000000000008</v>
      </c>
      <c r="Q444" s="841">
        <v>-8.4060000000000006</v>
      </c>
      <c r="R444" s="841">
        <v>-7.73</v>
      </c>
      <c r="S444" s="841">
        <v>-7.7060000000000004</v>
      </c>
      <c r="T444" s="841">
        <f t="shared" si="365"/>
        <v>-5.9139999999999997</v>
      </c>
      <c r="U444" s="840">
        <v>-5.9139999999999997</v>
      </c>
      <c r="V444" s="841">
        <v>-5.7210000000000001</v>
      </c>
      <c r="W444" s="841">
        <v>-4.1790000000000003</v>
      </c>
      <c r="X444" s="841">
        <v>-0.05</v>
      </c>
      <c r="Y444" s="841">
        <f t="shared" si="366"/>
        <v>5.2370000000000001</v>
      </c>
      <c r="Z444" s="840">
        <v>5.2370000000000001</v>
      </c>
      <c r="AA444" s="841">
        <v>-10.244999999999999</v>
      </c>
      <c r="AB444" s="841">
        <v>-7.3019999999999996</v>
      </c>
      <c r="AC444" s="841">
        <v>-3.3149999999999999</v>
      </c>
      <c r="AD444" s="841">
        <f t="shared" si="367"/>
        <v>2.2280000000000002</v>
      </c>
      <c r="AE444" s="840">
        <v>2.2280000000000002</v>
      </c>
      <c r="AF444" s="841">
        <v>-11.087999999999999</v>
      </c>
      <c r="AG444" s="841">
        <v>-9.77</v>
      </c>
      <c r="AH444" s="841">
        <v>-4.476</v>
      </c>
      <c r="AI444" s="841">
        <f t="shared" si="368"/>
        <v>-2.992</v>
      </c>
      <c r="AJ444" s="840">
        <v>-2.992</v>
      </c>
      <c r="AK444" s="841">
        <v>-9.9939999999999998</v>
      </c>
      <c r="AL444" s="841">
        <v>-3.8380000000000001</v>
      </c>
      <c r="AM444" s="842">
        <v>-1.159</v>
      </c>
      <c r="AN444" s="862"/>
      <c r="AO444" s="844"/>
      <c r="AP444" s="843"/>
      <c r="AQ444" s="843"/>
      <c r="AR444" s="843"/>
      <c r="AS444" s="862"/>
      <c r="AT444" s="844"/>
      <c r="AU444" s="844"/>
      <c r="AV444" s="844"/>
      <c r="AW444" s="844"/>
      <c r="AX444" s="793"/>
    </row>
    <row r="445" spans="1:50" s="29" customFormat="1" hidden="1" outlineLevel="1" x14ac:dyDescent="0.45">
      <c r="A445" s="61" t="s">
        <v>136</v>
      </c>
      <c r="B445" s="147"/>
      <c r="C445" s="840">
        <v>-1.4039999999999999</v>
      </c>
      <c r="D445" s="840">
        <v>5.0540000000000003</v>
      </c>
      <c r="E445" s="840">
        <v>0.61499999999999999</v>
      </c>
      <c r="F445" s="840">
        <v>1.0820000000000001</v>
      </c>
      <c r="G445" s="841">
        <v>3.823</v>
      </c>
      <c r="H445" s="841">
        <v>-1.899</v>
      </c>
      <c r="I445" s="841">
        <v>-0.70099999999999996</v>
      </c>
      <c r="J445" s="841">
        <f t="shared" si="363"/>
        <v>-9.2270000000000003</v>
      </c>
      <c r="K445" s="840">
        <v>-9.2270000000000003</v>
      </c>
      <c r="L445" s="841">
        <v>2.1890000000000001</v>
      </c>
      <c r="M445" s="841">
        <v>4.399</v>
      </c>
      <c r="N445" s="841">
        <v>4.8680000000000003</v>
      </c>
      <c r="O445" s="841">
        <f t="shared" si="364"/>
        <v>18.178000000000001</v>
      </c>
      <c r="P445" s="840">
        <v>18.178000000000001</v>
      </c>
      <c r="Q445" s="841">
        <v>-7.14</v>
      </c>
      <c r="R445" s="841">
        <v>-12.449</v>
      </c>
      <c r="S445" s="841">
        <v>-18.395</v>
      </c>
      <c r="T445" s="841">
        <f t="shared" si="365"/>
        <v>-40.470999999999997</v>
      </c>
      <c r="U445" s="840">
        <v>-40.470999999999997</v>
      </c>
      <c r="V445" s="841">
        <v>-0.42299999999999999</v>
      </c>
      <c r="W445" s="841">
        <v>17.213000000000001</v>
      </c>
      <c r="X445" s="841">
        <v>18.059999999999999</v>
      </c>
      <c r="Y445" s="841">
        <f t="shared" si="366"/>
        <v>34.74</v>
      </c>
      <c r="Z445" s="840">
        <v>34.74</v>
      </c>
      <c r="AA445" s="841">
        <v>2.157</v>
      </c>
      <c r="AB445" s="841">
        <v>-0.34799999999999998</v>
      </c>
      <c r="AC445" s="841">
        <v>-1.956</v>
      </c>
      <c r="AD445" s="841">
        <f t="shared" si="367"/>
        <v>-8.5299999999999994</v>
      </c>
      <c r="AE445" s="840">
        <v>-8.5299999999999994</v>
      </c>
      <c r="AF445" s="841">
        <v>0.624</v>
      </c>
      <c r="AG445" s="841">
        <v>2.4590000000000001</v>
      </c>
      <c r="AH445" s="841">
        <v>2.5950000000000002</v>
      </c>
      <c r="AI445" s="841">
        <f t="shared" si="368"/>
        <v>4.0490000000000004</v>
      </c>
      <c r="AJ445" s="840">
        <v>4.0490000000000004</v>
      </c>
      <c r="AK445" s="841">
        <v>0.98199999999999998</v>
      </c>
      <c r="AL445" s="841">
        <v>0.39600000000000002</v>
      </c>
      <c r="AM445" s="842">
        <v>-1.821</v>
      </c>
      <c r="AN445" s="862"/>
      <c r="AO445" s="844"/>
      <c r="AP445" s="843"/>
      <c r="AQ445" s="843"/>
      <c r="AR445" s="843"/>
      <c r="AS445" s="862"/>
      <c r="AT445" s="844"/>
      <c r="AU445" s="844"/>
      <c r="AV445" s="844"/>
      <c r="AW445" s="844"/>
      <c r="AX445" s="793"/>
    </row>
    <row r="446" spans="1:50" s="29" customFormat="1" hidden="1" outlineLevel="1" x14ac:dyDescent="0.45">
      <c r="A446" s="61" t="s">
        <v>137</v>
      </c>
      <c r="B446" s="147"/>
      <c r="C446" s="840">
        <v>0.84599999999999997</v>
      </c>
      <c r="D446" s="840">
        <v>12.56</v>
      </c>
      <c r="E446" s="840">
        <v>-1.91</v>
      </c>
      <c r="F446" s="840">
        <v>9.0790000000000006</v>
      </c>
      <c r="G446" s="841">
        <v>0.14899999999999999</v>
      </c>
      <c r="H446" s="841">
        <v>1.8180000000000001</v>
      </c>
      <c r="I446" s="841">
        <v>0.45400000000000001</v>
      </c>
      <c r="J446" s="841">
        <f t="shared" si="363"/>
        <v>0</v>
      </c>
      <c r="K446" s="840"/>
      <c r="L446" s="841"/>
      <c r="M446" s="841"/>
      <c r="N446" s="841"/>
      <c r="O446" s="841">
        <f t="shared" si="364"/>
        <v>0</v>
      </c>
      <c r="P446" s="840"/>
      <c r="Q446" s="841"/>
      <c r="R446" s="841"/>
      <c r="S446" s="841"/>
      <c r="T446" s="841">
        <f t="shared" si="365"/>
        <v>0</v>
      </c>
      <c r="U446" s="840"/>
      <c r="V446" s="841"/>
      <c r="W446" s="841"/>
      <c r="X446" s="841"/>
      <c r="Y446" s="841">
        <f t="shared" si="366"/>
        <v>0</v>
      </c>
      <c r="Z446" s="840"/>
      <c r="AA446" s="841"/>
      <c r="AB446" s="841"/>
      <c r="AC446" s="841"/>
      <c r="AD446" s="841">
        <f t="shared" si="367"/>
        <v>0</v>
      </c>
      <c r="AE446" s="840"/>
      <c r="AF446" s="841"/>
      <c r="AG446" s="841"/>
      <c r="AH446" s="841"/>
      <c r="AI446" s="841">
        <f t="shared" si="368"/>
        <v>0</v>
      </c>
      <c r="AJ446" s="840"/>
      <c r="AK446" s="841"/>
      <c r="AL446" s="841"/>
      <c r="AM446" s="842"/>
      <c r="AN446" s="862"/>
      <c r="AO446" s="844"/>
      <c r="AP446" s="843"/>
      <c r="AQ446" s="843"/>
      <c r="AR446" s="843"/>
      <c r="AS446" s="862"/>
      <c r="AT446" s="844"/>
      <c r="AU446" s="844"/>
      <c r="AV446" s="844"/>
      <c r="AW446" s="844"/>
      <c r="AX446" s="793"/>
    </row>
    <row r="447" spans="1:50" s="29" customFormat="1" hidden="1" outlineLevel="1" x14ac:dyDescent="0.45">
      <c r="A447" s="61" t="s">
        <v>138</v>
      </c>
      <c r="B447" s="147"/>
      <c r="C447" s="840">
        <v>4.5999999999999999E-2</v>
      </c>
      <c r="D447" s="840">
        <v>0.60499999999999998</v>
      </c>
      <c r="E447" s="840">
        <v>1.0089999999999999</v>
      </c>
      <c r="F447" s="840">
        <v>0.312</v>
      </c>
      <c r="G447" s="841">
        <v>0.14099999999999999</v>
      </c>
      <c r="H447" s="841">
        <v>0.48899999999999999</v>
      </c>
      <c r="I447" s="841">
        <v>0.748</v>
      </c>
      <c r="J447" s="841">
        <f t="shared" si="363"/>
        <v>1</v>
      </c>
      <c r="K447" s="840">
        <v>1</v>
      </c>
      <c r="L447" s="841">
        <v>0.373</v>
      </c>
      <c r="M447" s="841">
        <v>0.503</v>
      </c>
      <c r="N447" s="841">
        <v>0.66800000000000004</v>
      </c>
      <c r="O447" s="841">
        <f t="shared" si="364"/>
        <v>0.94099999999999995</v>
      </c>
      <c r="P447" s="840">
        <v>0.94099999999999995</v>
      </c>
      <c r="Q447" s="841">
        <v>0.63500000000000001</v>
      </c>
      <c r="R447" s="841">
        <v>0.57499999999999996</v>
      </c>
      <c r="S447" s="841">
        <v>0.91700000000000004</v>
      </c>
      <c r="T447" s="841">
        <f t="shared" si="365"/>
        <v>0.60699999999999998</v>
      </c>
      <c r="U447" s="840">
        <v>0.60699999999999998</v>
      </c>
      <c r="V447" s="841">
        <v>0.26</v>
      </c>
      <c r="W447" s="841">
        <v>0.437</v>
      </c>
      <c r="X447" s="841">
        <v>0.38100000000000001</v>
      </c>
      <c r="Y447" s="841">
        <f t="shared" si="366"/>
        <v>0.27200000000000002</v>
      </c>
      <c r="Z447" s="840">
        <v>0.27200000000000002</v>
      </c>
      <c r="AA447" s="841">
        <v>-0.24299999999999999</v>
      </c>
      <c r="AB447" s="841">
        <v>-0.191</v>
      </c>
      <c r="AC447" s="841">
        <v>-0.156</v>
      </c>
      <c r="AD447" s="841">
        <f t="shared" si="367"/>
        <v>-0.54300000000000004</v>
      </c>
      <c r="AE447" s="840">
        <v>-0.54300000000000004</v>
      </c>
      <c r="AF447" s="841">
        <v>-0.14899999999999999</v>
      </c>
      <c r="AG447" s="841">
        <v>-0.13500000000000001</v>
      </c>
      <c r="AH447" s="841">
        <v>-0.52200000000000002</v>
      </c>
      <c r="AI447" s="841">
        <f t="shared" si="368"/>
        <v>-0.18099999999999999</v>
      </c>
      <c r="AJ447" s="840">
        <v>-0.18099999999999999</v>
      </c>
      <c r="AK447" s="841">
        <v>0.14099999999999999</v>
      </c>
      <c r="AL447" s="841">
        <v>2.8000000000000001E-2</v>
      </c>
      <c r="AM447" s="842">
        <v>0.29299999999999998</v>
      </c>
      <c r="AN447" s="862"/>
      <c r="AO447" s="844"/>
      <c r="AP447" s="843"/>
      <c r="AQ447" s="843"/>
      <c r="AR447" s="843"/>
      <c r="AS447" s="862"/>
      <c r="AT447" s="844"/>
      <c r="AU447" s="844"/>
      <c r="AV447" s="844"/>
      <c r="AW447" s="844"/>
      <c r="AX447" s="793"/>
    </row>
    <row r="448" spans="1:50" s="29" customFormat="1" hidden="1" outlineLevel="1" x14ac:dyDescent="0.45">
      <c r="A448" s="61" t="s">
        <v>139</v>
      </c>
      <c r="B448" s="147"/>
      <c r="C448" s="840"/>
      <c r="D448" s="840"/>
      <c r="E448" s="840"/>
      <c r="F448" s="840"/>
      <c r="G448" s="841"/>
      <c r="H448" s="841"/>
      <c r="I448" s="841"/>
      <c r="J448" s="841">
        <f t="shared" si="363"/>
        <v>0</v>
      </c>
      <c r="K448" s="840"/>
      <c r="L448" s="841"/>
      <c r="M448" s="841"/>
      <c r="N448" s="841"/>
      <c r="O448" s="841">
        <f t="shared" si="364"/>
        <v>0</v>
      </c>
      <c r="P448" s="840"/>
      <c r="Q448" s="841"/>
      <c r="R448" s="841"/>
      <c r="S448" s="841"/>
      <c r="T448" s="841">
        <f t="shared" si="365"/>
        <v>0</v>
      </c>
      <c r="U448" s="840"/>
      <c r="V448" s="841"/>
      <c r="W448" s="841"/>
      <c r="X448" s="841"/>
      <c r="Y448" s="841">
        <f t="shared" si="366"/>
        <v>0</v>
      </c>
      <c r="Z448" s="840"/>
      <c r="AA448" s="841"/>
      <c r="AB448" s="841"/>
      <c r="AC448" s="841"/>
      <c r="AD448" s="841">
        <f t="shared" si="367"/>
        <v>0</v>
      </c>
      <c r="AE448" s="840"/>
      <c r="AF448" s="841">
        <v>2.9980000000000002</v>
      </c>
      <c r="AG448" s="841">
        <v>2.9820000000000002</v>
      </c>
      <c r="AH448" s="841">
        <v>1.288</v>
      </c>
      <c r="AI448" s="841">
        <f t="shared" si="368"/>
        <v>-0.81200000000000006</v>
      </c>
      <c r="AJ448" s="840">
        <v>-0.81200000000000006</v>
      </c>
      <c r="AK448" s="841">
        <v>1.3959999999999999</v>
      </c>
      <c r="AL448" s="841">
        <v>1.841</v>
      </c>
      <c r="AM448" s="842">
        <v>1.081</v>
      </c>
      <c r="AN448" s="862"/>
      <c r="AO448" s="844"/>
      <c r="AP448" s="843"/>
      <c r="AQ448" s="843"/>
      <c r="AR448" s="843"/>
      <c r="AS448" s="862"/>
      <c r="AT448" s="844"/>
      <c r="AU448" s="844"/>
      <c r="AV448" s="844"/>
      <c r="AW448" s="844"/>
      <c r="AX448" s="793"/>
    </row>
    <row r="449" spans="1:50" s="29" customFormat="1" hidden="1" outlineLevel="1" x14ac:dyDescent="0.45">
      <c r="A449" s="61" t="s">
        <v>140</v>
      </c>
      <c r="B449" s="147"/>
      <c r="C449" s="840"/>
      <c r="D449" s="840"/>
      <c r="E449" s="840"/>
      <c r="F449" s="840"/>
      <c r="G449" s="841"/>
      <c r="H449" s="841"/>
      <c r="I449" s="841"/>
      <c r="J449" s="841">
        <f t="shared" si="363"/>
        <v>0</v>
      </c>
      <c r="K449" s="840"/>
      <c r="L449" s="841"/>
      <c r="M449" s="841"/>
      <c r="N449" s="841"/>
      <c r="O449" s="841">
        <f t="shared" si="364"/>
        <v>0</v>
      </c>
      <c r="P449" s="840"/>
      <c r="Q449" s="841"/>
      <c r="R449" s="841"/>
      <c r="S449" s="841"/>
      <c r="T449" s="841">
        <f t="shared" si="365"/>
        <v>0</v>
      </c>
      <c r="U449" s="840"/>
      <c r="V449" s="841"/>
      <c r="W449" s="841"/>
      <c r="X449" s="841"/>
      <c r="Y449" s="841">
        <f t="shared" si="366"/>
        <v>0</v>
      </c>
      <c r="Z449" s="840"/>
      <c r="AA449" s="841"/>
      <c r="AB449" s="841"/>
      <c r="AC449" s="841"/>
      <c r="AD449" s="841">
        <f t="shared" si="367"/>
        <v>0</v>
      </c>
      <c r="AE449" s="840"/>
      <c r="AF449" s="841">
        <v>-6.0570000000000004</v>
      </c>
      <c r="AG449" s="841">
        <v>-8.23</v>
      </c>
      <c r="AH449" s="841">
        <v>-7.8040000000000003</v>
      </c>
      <c r="AI449" s="841">
        <f t="shared" si="368"/>
        <v>-4.1310000000000002</v>
      </c>
      <c r="AJ449" s="840">
        <v>-4.1310000000000002</v>
      </c>
      <c r="AK449" s="841">
        <v>-2.0459999999999998</v>
      </c>
      <c r="AL449" s="841">
        <v>-1.9079999999999999</v>
      </c>
      <c r="AM449" s="842">
        <v>-4.0140000000000002</v>
      </c>
      <c r="AN449" s="862"/>
      <c r="AO449" s="844"/>
      <c r="AP449" s="843"/>
      <c r="AQ449" s="843"/>
      <c r="AR449" s="843"/>
      <c r="AS449" s="862"/>
      <c r="AT449" s="844"/>
      <c r="AU449" s="844"/>
      <c r="AV449" s="844"/>
      <c r="AW449" s="844"/>
      <c r="AX449" s="793"/>
    </row>
    <row r="450" spans="1:50" s="29" customFormat="1" hidden="1" outlineLevel="1" x14ac:dyDescent="0.45">
      <c r="A450" s="61" t="s">
        <v>359</v>
      </c>
      <c r="B450" s="147"/>
      <c r="C450" s="840"/>
      <c r="D450" s="840"/>
      <c r="E450" s="840"/>
      <c r="F450" s="840"/>
      <c r="G450" s="841"/>
      <c r="H450" s="841"/>
      <c r="I450" s="841"/>
      <c r="J450" s="841">
        <f t="shared" si="363"/>
        <v>0</v>
      </c>
      <c r="K450" s="840"/>
      <c r="L450" s="841"/>
      <c r="M450" s="841"/>
      <c r="N450" s="841"/>
      <c r="O450" s="841">
        <f t="shared" si="364"/>
        <v>0</v>
      </c>
      <c r="P450" s="840"/>
      <c r="Q450" s="841"/>
      <c r="R450" s="841"/>
      <c r="S450" s="841"/>
      <c r="T450" s="841">
        <f t="shared" si="365"/>
        <v>0</v>
      </c>
      <c r="U450" s="840"/>
      <c r="V450" s="841"/>
      <c r="W450" s="841"/>
      <c r="X450" s="841"/>
      <c r="Y450" s="841">
        <f t="shared" si="366"/>
        <v>0</v>
      </c>
      <c r="Z450" s="840"/>
      <c r="AA450" s="841"/>
      <c r="AB450" s="841"/>
      <c r="AC450" s="841"/>
      <c r="AD450" s="841">
        <f t="shared" si="367"/>
        <v>0</v>
      </c>
      <c r="AE450" s="840"/>
      <c r="AF450" s="841"/>
      <c r="AG450" s="841"/>
      <c r="AH450" s="841"/>
      <c r="AI450" s="841">
        <f t="shared" si="368"/>
        <v>0</v>
      </c>
      <c r="AJ450" s="840"/>
      <c r="AK450" s="841">
        <v>-2.286</v>
      </c>
      <c r="AL450" s="841">
        <v>-4.657</v>
      </c>
      <c r="AM450" s="842">
        <v>-7.1420000000000003</v>
      </c>
      <c r="AN450" s="862"/>
      <c r="AO450" s="844"/>
      <c r="AP450" s="843"/>
      <c r="AQ450" s="843"/>
      <c r="AR450" s="843"/>
      <c r="AS450" s="862"/>
      <c r="AT450" s="844"/>
      <c r="AU450" s="844"/>
      <c r="AV450" s="844"/>
      <c r="AW450" s="844"/>
      <c r="AX450" s="793"/>
    </row>
    <row r="451" spans="1:50" s="29" customFormat="1" hidden="1" outlineLevel="1" x14ac:dyDescent="0.45">
      <c r="A451" s="61" t="s">
        <v>141</v>
      </c>
      <c r="B451" s="147"/>
      <c r="C451" s="840"/>
      <c r="D451" s="840">
        <v>-6.95</v>
      </c>
      <c r="E451" s="840">
        <v>0.20699999999999999</v>
      </c>
      <c r="F451" s="840">
        <v>-4.3840000000000003</v>
      </c>
      <c r="G451" s="841">
        <v>0.84199999999999997</v>
      </c>
      <c r="H451" s="841">
        <v>0.502</v>
      </c>
      <c r="I451" s="841">
        <v>0.29499999999999998</v>
      </c>
      <c r="J451" s="841">
        <f t="shared" si="363"/>
        <v>3.5230000000000001</v>
      </c>
      <c r="K451" s="840">
        <v>3.5230000000000001</v>
      </c>
      <c r="L451" s="841">
        <v>1.399</v>
      </c>
      <c r="M451" s="841">
        <v>3.1890000000000001</v>
      </c>
      <c r="N451" s="841">
        <v>2.4729999999999999</v>
      </c>
      <c r="O451" s="841">
        <f t="shared" si="364"/>
        <v>4.0609999999999999</v>
      </c>
      <c r="P451" s="840">
        <v>4.0609999999999999</v>
      </c>
      <c r="Q451" s="841">
        <v>0.56999999999999995</v>
      </c>
      <c r="R451" s="841">
        <v>1.776</v>
      </c>
      <c r="S451" s="841">
        <v>2.2320000000000002</v>
      </c>
      <c r="T451" s="841">
        <f t="shared" si="365"/>
        <v>-1.381</v>
      </c>
      <c r="U451" s="840">
        <v>-1.381</v>
      </c>
      <c r="V451" s="841">
        <v>1.425</v>
      </c>
      <c r="W451" s="841">
        <v>3.2559999999999998</v>
      </c>
      <c r="X451" s="841">
        <v>1.8320000000000001</v>
      </c>
      <c r="Y451" s="841">
        <f t="shared" si="366"/>
        <v>-3.476</v>
      </c>
      <c r="Z451" s="840">
        <v>-3.476</v>
      </c>
      <c r="AA451" s="841">
        <v>4.2370000000000001</v>
      </c>
      <c r="AB451" s="841">
        <v>4.5650000000000004</v>
      </c>
      <c r="AC451" s="841">
        <v>1.5589999999999999</v>
      </c>
      <c r="AD451" s="841">
        <f t="shared" si="367"/>
        <v>19.501999999999999</v>
      </c>
      <c r="AE451" s="840">
        <v>19.501999999999999</v>
      </c>
      <c r="AF451" s="841">
        <v>0.35399999999999998</v>
      </c>
      <c r="AG451" s="841">
        <v>-20.175000000000001</v>
      </c>
      <c r="AH451" s="841">
        <v>-24.606000000000002</v>
      </c>
      <c r="AI451" s="841">
        <f t="shared" si="368"/>
        <v>-31.565999999999999</v>
      </c>
      <c r="AJ451" s="840">
        <v>-31.565999999999999</v>
      </c>
      <c r="AK451" s="849">
        <v>1.097</v>
      </c>
      <c r="AL451" s="849">
        <v>-0.91300000000000003</v>
      </c>
      <c r="AM451" s="842">
        <v>-6.633</v>
      </c>
      <c r="AN451" s="862"/>
      <c r="AO451" s="844"/>
      <c r="AP451" s="843"/>
      <c r="AQ451" s="843"/>
      <c r="AR451" s="843"/>
      <c r="AS451" s="862"/>
      <c r="AT451" s="844"/>
      <c r="AU451" s="844"/>
      <c r="AV451" s="844"/>
      <c r="AW451" s="844"/>
      <c r="AX451" s="793"/>
    </row>
    <row r="452" spans="1:50" s="7" customFormat="1" hidden="1" outlineLevel="1" x14ac:dyDescent="0.45">
      <c r="A452" s="53" t="s">
        <v>142</v>
      </c>
      <c r="B452" s="146"/>
      <c r="C452" s="845">
        <f t="shared" ref="C452:AW452" si="369">SUM(C436:C451)</f>
        <v>55.219999999999985</v>
      </c>
      <c r="D452" s="845">
        <f t="shared" si="369"/>
        <v>70.316999999999993</v>
      </c>
      <c r="E452" s="845">
        <f t="shared" si="369"/>
        <v>78.105000000000018</v>
      </c>
      <c r="F452" s="845">
        <f t="shared" si="369"/>
        <v>68.064999999999998</v>
      </c>
      <c r="G452" s="846">
        <f t="shared" si="369"/>
        <v>31.526999999999997</v>
      </c>
      <c r="H452" s="846">
        <f t="shared" si="369"/>
        <v>43.401000000000003</v>
      </c>
      <c r="I452" s="846">
        <f t="shared" si="369"/>
        <v>71.570999999999984</v>
      </c>
      <c r="J452" s="846">
        <f t="shared" si="369"/>
        <v>104.05099999999999</v>
      </c>
      <c r="K452" s="845">
        <f t="shared" si="369"/>
        <v>104.05099999999999</v>
      </c>
      <c r="L452" s="846">
        <f t="shared" si="369"/>
        <v>18.564999999999998</v>
      </c>
      <c r="M452" s="846">
        <f t="shared" si="369"/>
        <v>42.741000000000014</v>
      </c>
      <c r="N452" s="846">
        <f t="shared" si="369"/>
        <v>58.705999999999989</v>
      </c>
      <c r="O452" s="846">
        <f t="shared" si="369"/>
        <v>82.75800000000001</v>
      </c>
      <c r="P452" s="845">
        <f t="shared" si="369"/>
        <v>82.75800000000001</v>
      </c>
      <c r="Q452" s="846">
        <f t="shared" si="369"/>
        <v>3.7070000000000012</v>
      </c>
      <c r="R452" s="846">
        <f t="shared" si="369"/>
        <v>13.885999999999994</v>
      </c>
      <c r="S452" s="846">
        <f t="shared" si="369"/>
        <v>27.292000000000005</v>
      </c>
      <c r="T452" s="846">
        <f t="shared" si="369"/>
        <v>40.796000000000014</v>
      </c>
      <c r="U452" s="845">
        <f t="shared" si="369"/>
        <v>40.796000000000014</v>
      </c>
      <c r="V452" s="846">
        <f t="shared" si="369"/>
        <v>12.933000000000003</v>
      </c>
      <c r="W452" s="846">
        <f t="shared" si="369"/>
        <v>56.384999999999998</v>
      </c>
      <c r="X452" s="859">
        <f t="shared" si="369"/>
        <v>81.422999999999973</v>
      </c>
      <c r="Y452" s="846">
        <f t="shared" si="369"/>
        <v>110.592</v>
      </c>
      <c r="Z452" s="845">
        <f t="shared" si="369"/>
        <v>110.592</v>
      </c>
      <c r="AA452" s="846">
        <f t="shared" si="369"/>
        <v>13.793000000000001</v>
      </c>
      <c r="AB452" s="846">
        <f t="shared" si="369"/>
        <v>38.094000000000001</v>
      </c>
      <c r="AC452" s="859">
        <f t="shared" si="369"/>
        <v>55.252000000000002</v>
      </c>
      <c r="AD452" s="846">
        <f t="shared" si="369"/>
        <v>74.043000000000006</v>
      </c>
      <c r="AE452" s="845">
        <f t="shared" si="369"/>
        <v>74.043000000000006</v>
      </c>
      <c r="AF452" s="846">
        <f t="shared" si="369"/>
        <v>3.0119999999999996</v>
      </c>
      <c r="AG452" s="846">
        <f t="shared" si="369"/>
        <v>14.916000000000007</v>
      </c>
      <c r="AH452" s="859">
        <f t="shared" si="369"/>
        <v>33.279000000000003</v>
      </c>
      <c r="AI452" s="846">
        <f t="shared" si="369"/>
        <v>50.475000000000009</v>
      </c>
      <c r="AJ452" s="845">
        <f t="shared" si="369"/>
        <v>50.475000000000009</v>
      </c>
      <c r="AK452" s="846">
        <f t="shared" si="369"/>
        <v>16.996999999999996</v>
      </c>
      <c r="AL452" s="846">
        <f t="shared" si="369"/>
        <v>40.763999999999996</v>
      </c>
      <c r="AM452" s="847">
        <f t="shared" si="369"/>
        <v>64.370999999999995</v>
      </c>
      <c r="AN452" s="859">
        <f t="shared" si="369"/>
        <v>0</v>
      </c>
      <c r="AO452" s="845">
        <f t="shared" si="369"/>
        <v>0</v>
      </c>
      <c r="AP452" s="859">
        <f t="shared" si="369"/>
        <v>0</v>
      </c>
      <c r="AQ452" s="859">
        <f t="shared" si="369"/>
        <v>0</v>
      </c>
      <c r="AR452" s="859">
        <f t="shared" si="369"/>
        <v>0</v>
      </c>
      <c r="AS452" s="859">
        <f t="shared" si="369"/>
        <v>0</v>
      </c>
      <c r="AT452" s="845">
        <f t="shared" si="369"/>
        <v>0</v>
      </c>
      <c r="AU452" s="860">
        <f t="shared" si="369"/>
        <v>0</v>
      </c>
      <c r="AV452" s="860">
        <f t="shared" si="369"/>
        <v>0</v>
      </c>
      <c r="AW452" s="860">
        <f t="shared" si="369"/>
        <v>0</v>
      </c>
      <c r="AX452" s="795"/>
    </row>
    <row r="453" spans="1:50" s="7" customFormat="1" hidden="1" outlineLevel="1" x14ac:dyDescent="0.45">
      <c r="A453" s="54"/>
      <c r="B453" s="69"/>
      <c r="C453" s="851"/>
      <c r="D453" s="851"/>
      <c r="E453" s="851"/>
      <c r="F453" s="851"/>
      <c r="G453" s="852"/>
      <c r="H453" s="852"/>
      <c r="I453" s="852"/>
      <c r="J453" s="852"/>
      <c r="K453" s="851"/>
      <c r="L453" s="852"/>
      <c r="M453" s="852"/>
      <c r="N453" s="852"/>
      <c r="O453" s="852"/>
      <c r="P453" s="851"/>
      <c r="Q453" s="852"/>
      <c r="R453" s="852"/>
      <c r="S453" s="852"/>
      <c r="T453" s="852"/>
      <c r="U453" s="851"/>
      <c r="V453" s="852"/>
      <c r="W453" s="852"/>
      <c r="X453" s="852"/>
      <c r="Y453" s="852"/>
      <c r="Z453" s="851"/>
      <c r="AA453" s="852"/>
      <c r="AB453" s="852"/>
      <c r="AC453" s="852"/>
      <c r="AD453" s="852"/>
      <c r="AE453" s="851"/>
      <c r="AF453" s="852"/>
      <c r="AG453" s="852"/>
      <c r="AH453" s="852"/>
      <c r="AI453" s="852"/>
      <c r="AJ453" s="851"/>
      <c r="AK453" s="852"/>
      <c r="AL453" s="852"/>
      <c r="AM453" s="853"/>
      <c r="AN453" s="854"/>
      <c r="AO453" s="855"/>
      <c r="AP453" s="854"/>
      <c r="AQ453" s="854"/>
      <c r="AR453" s="854"/>
      <c r="AS453" s="854"/>
      <c r="AT453" s="855"/>
      <c r="AU453" s="855"/>
      <c r="AV453" s="855"/>
      <c r="AW453" s="855"/>
      <c r="AX453" s="795"/>
    </row>
    <row r="454" spans="1:50" s="7" customFormat="1" hidden="1" outlineLevel="1" x14ac:dyDescent="0.45">
      <c r="A454" s="54" t="s">
        <v>143</v>
      </c>
      <c r="B454" s="69"/>
      <c r="C454" s="851"/>
      <c r="D454" s="851"/>
      <c r="E454" s="851"/>
      <c r="F454" s="851"/>
      <c r="G454" s="852"/>
      <c r="H454" s="852"/>
      <c r="I454" s="852"/>
      <c r="J454" s="852"/>
      <c r="K454" s="851"/>
      <c r="L454" s="852"/>
      <c r="M454" s="852"/>
      <c r="N454" s="852"/>
      <c r="O454" s="852"/>
      <c r="P454" s="851"/>
      <c r="Q454" s="852"/>
      <c r="R454" s="852"/>
      <c r="S454" s="852"/>
      <c r="T454" s="852"/>
      <c r="U454" s="851"/>
      <c r="V454" s="852"/>
      <c r="W454" s="852"/>
      <c r="X454" s="852"/>
      <c r="Y454" s="852"/>
      <c r="Z454" s="851"/>
      <c r="AA454" s="852"/>
      <c r="AB454" s="852"/>
      <c r="AC454" s="852"/>
      <c r="AD454" s="852"/>
      <c r="AE454" s="851"/>
      <c r="AF454" s="852"/>
      <c r="AG454" s="852"/>
      <c r="AH454" s="852"/>
      <c r="AI454" s="852"/>
      <c r="AJ454" s="851"/>
      <c r="AK454" s="852"/>
      <c r="AL454" s="852"/>
      <c r="AM454" s="853"/>
      <c r="AN454" s="854"/>
      <c r="AO454" s="855"/>
      <c r="AP454" s="854"/>
      <c r="AQ454" s="854"/>
      <c r="AR454" s="854"/>
      <c r="AS454" s="854"/>
      <c r="AT454" s="855"/>
      <c r="AU454" s="855"/>
      <c r="AV454" s="855"/>
      <c r="AW454" s="855"/>
      <c r="AX454" s="795"/>
    </row>
    <row r="455" spans="1:50" s="29" customFormat="1" hidden="1" outlineLevel="1" x14ac:dyDescent="0.45">
      <c r="A455" s="61" t="s">
        <v>144</v>
      </c>
      <c r="B455" s="147"/>
      <c r="C455" s="840">
        <v>-7.9210000000000003</v>
      </c>
      <c r="D455" s="840">
        <v>-10.695</v>
      </c>
      <c r="E455" s="840">
        <v>-13.098000000000001</v>
      </c>
      <c r="F455" s="840">
        <v>-29.454999999999998</v>
      </c>
      <c r="G455" s="841">
        <v>-7.3</v>
      </c>
      <c r="H455" s="841">
        <v>-15.295</v>
      </c>
      <c r="I455" s="841">
        <v>-18.914000000000001</v>
      </c>
      <c r="J455" s="841">
        <f t="shared" ref="J455:J462" si="370">K455</f>
        <v>-20.783999999999999</v>
      </c>
      <c r="K455" s="840">
        <v>-20.783999999999999</v>
      </c>
      <c r="L455" s="841">
        <v>-2.9020000000000001</v>
      </c>
      <c r="M455" s="841">
        <v>-6.3689999999999998</v>
      </c>
      <c r="N455" s="841">
        <v>-9.5350000000000001</v>
      </c>
      <c r="O455" s="841">
        <f t="shared" ref="O455:O462" si="371">P455</f>
        <v>-14.601000000000001</v>
      </c>
      <c r="P455" s="840">
        <v>-14.601000000000001</v>
      </c>
      <c r="Q455" s="841">
        <v>-3.6349999999999998</v>
      </c>
      <c r="R455" s="841">
        <v>-6.6870000000000003</v>
      </c>
      <c r="S455" s="841">
        <v>-11.603999999999999</v>
      </c>
      <c r="T455" s="841">
        <f t="shared" ref="T455:T462" si="372">U455</f>
        <v>-14.675000000000001</v>
      </c>
      <c r="U455" s="840">
        <v>-14.675000000000001</v>
      </c>
      <c r="V455" s="841">
        <v>-2.948</v>
      </c>
      <c r="W455" s="841">
        <v>-5.319</v>
      </c>
      <c r="X455" s="841">
        <v>-6.3710000000000004</v>
      </c>
      <c r="Y455" s="841">
        <f t="shared" ref="Y455:Y462" si="373">Z455</f>
        <v>-8.2490000000000006</v>
      </c>
      <c r="Z455" s="840">
        <v>-8.2490000000000006</v>
      </c>
      <c r="AA455" s="841">
        <v>-5.2480000000000002</v>
      </c>
      <c r="AB455" s="841">
        <v>-9.6240000000000006</v>
      </c>
      <c r="AC455" s="841">
        <v>-13.647</v>
      </c>
      <c r="AD455" s="841">
        <f t="shared" ref="AD455:AD462" si="374">AE455</f>
        <v>-18.864999999999998</v>
      </c>
      <c r="AE455" s="840">
        <v>-18.864999999999998</v>
      </c>
      <c r="AF455" s="841">
        <v>-4.7850000000000001</v>
      </c>
      <c r="AG455" s="841">
        <v>-10.379</v>
      </c>
      <c r="AH455" s="841">
        <v>-14.853</v>
      </c>
      <c r="AI455" s="841">
        <f t="shared" ref="AI455:AI462" si="375">AJ455</f>
        <v>-20.571000000000002</v>
      </c>
      <c r="AJ455" s="840">
        <v>-20.571000000000002</v>
      </c>
      <c r="AK455" s="841">
        <v>-4.7350000000000003</v>
      </c>
      <c r="AL455" s="841">
        <v>-9.9009999999999998</v>
      </c>
      <c r="AM455" s="842">
        <v>-14.785</v>
      </c>
      <c r="AN455" s="862"/>
      <c r="AO455" s="844"/>
      <c r="AP455" s="843"/>
      <c r="AQ455" s="843"/>
      <c r="AR455" s="843"/>
      <c r="AS455" s="862"/>
      <c r="AT455" s="844"/>
      <c r="AU455" s="844"/>
      <c r="AV455" s="844"/>
      <c r="AW455" s="844"/>
      <c r="AX455" s="793"/>
    </row>
    <row r="456" spans="1:50" s="29" customFormat="1" hidden="1" outlineLevel="1" x14ac:dyDescent="0.45">
      <c r="A456" s="61" t="s">
        <v>145</v>
      </c>
      <c r="B456" s="147"/>
      <c r="C456" s="840">
        <v>0.42499999999999999</v>
      </c>
      <c r="D456" s="840">
        <v>7.7</v>
      </c>
      <c r="E456" s="840"/>
      <c r="F456" s="840">
        <v>4.96</v>
      </c>
      <c r="G456" s="841"/>
      <c r="H456" s="841">
        <v>7.9</v>
      </c>
      <c r="I456" s="841">
        <v>12.99</v>
      </c>
      <c r="J456" s="841">
        <f t="shared" si="370"/>
        <v>15.475</v>
      </c>
      <c r="K456" s="840">
        <v>15.475</v>
      </c>
      <c r="L456" s="841">
        <v>1.9359999999999999</v>
      </c>
      <c r="M456" s="841">
        <v>6.431</v>
      </c>
      <c r="N456" s="841">
        <v>10.352</v>
      </c>
      <c r="O456" s="841">
        <f t="shared" si="371"/>
        <v>11.077</v>
      </c>
      <c r="P456" s="840">
        <v>11.077</v>
      </c>
      <c r="Q456" s="841">
        <v>1.1200000000000001</v>
      </c>
      <c r="R456" s="841">
        <v>3.81</v>
      </c>
      <c r="S456" s="841">
        <v>5.31</v>
      </c>
      <c r="T456" s="841">
        <f t="shared" si="372"/>
        <v>8.7949999999999999</v>
      </c>
      <c r="U456" s="840">
        <v>8.7949999999999999</v>
      </c>
      <c r="V456" s="841">
        <v>9.2910000000000004</v>
      </c>
      <c r="W456" s="841">
        <v>9.2910000000000004</v>
      </c>
      <c r="X456" s="841">
        <v>9.2910000000000004</v>
      </c>
      <c r="Y456" s="841">
        <f t="shared" si="373"/>
        <v>9.2910000000000004</v>
      </c>
      <c r="Z456" s="840">
        <v>9.2910000000000004</v>
      </c>
      <c r="AA456" s="841"/>
      <c r="AB456" s="841"/>
      <c r="AC456" s="841"/>
      <c r="AD456" s="841">
        <f t="shared" si="374"/>
        <v>0</v>
      </c>
      <c r="AE456" s="840"/>
      <c r="AF456" s="841"/>
      <c r="AG456" s="841"/>
      <c r="AH456" s="841"/>
      <c r="AI456" s="841">
        <f t="shared" si="375"/>
        <v>0</v>
      </c>
      <c r="AJ456" s="840"/>
      <c r="AK456" s="841"/>
      <c r="AL456" s="841"/>
      <c r="AM456" s="842"/>
      <c r="AN456" s="862"/>
      <c r="AO456" s="844"/>
      <c r="AP456" s="843"/>
      <c r="AQ456" s="843"/>
      <c r="AR456" s="843"/>
      <c r="AS456" s="862"/>
      <c r="AT456" s="844"/>
      <c r="AU456" s="844"/>
      <c r="AV456" s="844"/>
      <c r="AW456" s="844"/>
      <c r="AX456" s="793"/>
    </row>
    <row r="457" spans="1:50" s="29" customFormat="1" hidden="1" outlineLevel="1" x14ac:dyDescent="0.45">
      <c r="A457" s="61" t="s">
        <v>146</v>
      </c>
      <c r="B457" s="147"/>
      <c r="C457" s="840">
        <v>-4.9349999999999996</v>
      </c>
      <c r="D457" s="840">
        <v>-6.8040000000000003</v>
      </c>
      <c r="E457" s="840">
        <v>-10.323</v>
      </c>
      <c r="F457" s="840">
        <v>-9.9689999999999994</v>
      </c>
      <c r="G457" s="841">
        <v>-1.835</v>
      </c>
      <c r="H457" s="841">
        <v>-4.6109999999999998</v>
      </c>
      <c r="I457" s="841">
        <v>-7.4480000000000004</v>
      </c>
      <c r="J457" s="841">
        <f t="shared" si="370"/>
        <v>-7.9340000000000002</v>
      </c>
      <c r="K457" s="840">
        <v>-7.9340000000000002</v>
      </c>
      <c r="L457" s="841">
        <v>-2.2549999999999999</v>
      </c>
      <c r="M457" s="841">
        <v>-4.5030000000000001</v>
      </c>
      <c r="N457" s="841">
        <v>-5.444</v>
      </c>
      <c r="O457" s="841">
        <f t="shared" si="371"/>
        <v>-6.5309999999999997</v>
      </c>
      <c r="P457" s="840">
        <v>-6.5309999999999997</v>
      </c>
      <c r="Q457" s="841">
        <v>-3.3370000000000002</v>
      </c>
      <c r="R457" s="841">
        <v>-6.0119999999999996</v>
      </c>
      <c r="S457" s="841">
        <v>-9.9260000000000002</v>
      </c>
      <c r="T457" s="841">
        <f t="shared" si="372"/>
        <v>-14.013</v>
      </c>
      <c r="U457" s="840">
        <v>-14.013</v>
      </c>
      <c r="V457" s="841">
        <v>-3.4620000000000002</v>
      </c>
      <c r="W457" s="841">
        <v>-4.9889999999999999</v>
      </c>
      <c r="X457" s="841">
        <v>-8.2420000000000009</v>
      </c>
      <c r="Y457" s="841">
        <f t="shared" si="373"/>
        <v>-12.164999999999999</v>
      </c>
      <c r="Z457" s="840">
        <v>-12.164999999999999</v>
      </c>
      <c r="AA457" s="841">
        <v>-2.4710000000000001</v>
      </c>
      <c r="AB457" s="841">
        <v>-5.423</v>
      </c>
      <c r="AC457" s="841">
        <v>-7.6059999999999999</v>
      </c>
      <c r="AD457" s="841">
        <f t="shared" si="374"/>
        <v>-9.8010000000000002</v>
      </c>
      <c r="AE457" s="840">
        <v>-9.8010000000000002</v>
      </c>
      <c r="AF457" s="841">
        <v>-2.1789999999999998</v>
      </c>
      <c r="AG457" s="841">
        <v>-2.9409999999999998</v>
      </c>
      <c r="AH457" s="841">
        <v>-4.1079999999999997</v>
      </c>
      <c r="AI457" s="841">
        <f t="shared" si="375"/>
        <v>-4.952</v>
      </c>
      <c r="AJ457" s="840">
        <v>-4.952</v>
      </c>
      <c r="AK457" s="841">
        <v>-3.6890000000000001</v>
      </c>
      <c r="AL457" s="841">
        <v>-5.1929999999999996</v>
      </c>
      <c r="AM457" s="842">
        <v>-6.9509999999999996</v>
      </c>
      <c r="AN457" s="862"/>
      <c r="AO457" s="844"/>
      <c r="AP457" s="843"/>
      <c r="AQ457" s="843"/>
      <c r="AR457" s="843"/>
      <c r="AS457" s="862"/>
      <c r="AT457" s="844"/>
      <c r="AU457" s="844"/>
      <c r="AV457" s="844"/>
      <c r="AW457" s="844"/>
      <c r="AX457" s="793"/>
    </row>
    <row r="458" spans="1:50" s="29" customFormat="1" hidden="1" outlineLevel="1" x14ac:dyDescent="0.45">
      <c r="A458" s="61" t="s">
        <v>368</v>
      </c>
      <c r="B458" s="147"/>
      <c r="C458" s="840"/>
      <c r="D458" s="840"/>
      <c r="E458" s="840"/>
      <c r="F458" s="840"/>
      <c r="G458" s="841"/>
      <c r="H458" s="841"/>
      <c r="I458" s="841"/>
      <c r="J458" s="841">
        <f t="shared" si="370"/>
        <v>0</v>
      </c>
      <c r="K458" s="840"/>
      <c r="L458" s="841"/>
      <c r="M458" s="841"/>
      <c r="N458" s="841"/>
      <c r="O458" s="841">
        <f t="shared" si="371"/>
        <v>0</v>
      </c>
      <c r="P458" s="840"/>
      <c r="Q458" s="841"/>
      <c r="R458" s="841"/>
      <c r="S458" s="841"/>
      <c r="T458" s="841">
        <f t="shared" si="372"/>
        <v>0</v>
      </c>
      <c r="U458" s="840"/>
      <c r="V458" s="841"/>
      <c r="W458" s="841"/>
      <c r="X458" s="841"/>
      <c r="Y458" s="841">
        <f t="shared" si="373"/>
        <v>0</v>
      </c>
      <c r="Z458" s="840"/>
      <c r="AA458" s="841"/>
      <c r="AB458" s="841"/>
      <c r="AC458" s="841"/>
      <c r="AD458" s="841">
        <f t="shared" si="374"/>
        <v>0</v>
      </c>
      <c r="AE458" s="840"/>
      <c r="AF458" s="841"/>
      <c r="AG458" s="841"/>
      <c r="AH458" s="841"/>
      <c r="AI458" s="841">
        <f t="shared" si="375"/>
        <v>0</v>
      </c>
      <c r="AJ458" s="840"/>
      <c r="AK458" s="841"/>
      <c r="AL458" s="841">
        <v>2.5</v>
      </c>
      <c r="AM458" s="842">
        <v>2.5</v>
      </c>
      <c r="AN458" s="862"/>
      <c r="AO458" s="844"/>
      <c r="AP458" s="843"/>
      <c r="AQ458" s="843"/>
      <c r="AR458" s="843"/>
      <c r="AS458" s="862"/>
      <c r="AT458" s="844"/>
      <c r="AU458" s="844"/>
      <c r="AV458" s="844"/>
      <c r="AW458" s="844"/>
      <c r="AX458" s="793"/>
    </row>
    <row r="459" spans="1:50" s="29" customFormat="1" hidden="1" outlineLevel="1" x14ac:dyDescent="0.45">
      <c r="A459" s="61" t="s">
        <v>147</v>
      </c>
      <c r="B459" s="147"/>
      <c r="C459" s="840"/>
      <c r="D459" s="840">
        <v>0.33600000000000002</v>
      </c>
      <c r="E459" s="840">
        <v>1.0999999999999999E-2</v>
      </c>
      <c r="F459" s="840"/>
      <c r="G459" s="841"/>
      <c r="H459" s="841"/>
      <c r="I459" s="841"/>
      <c r="J459" s="841">
        <f t="shared" si="370"/>
        <v>0</v>
      </c>
      <c r="K459" s="840"/>
      <c r="L459" s="841"/>
      <c r="M459" s="841"/>
      <c r="N459" s="841"/>
      <c r="O459" s="841">
        <f t="shared" si="371"/>
        <v>0</v>
      </c>
      <c r="P459" s="840"/>
      <c r="Q459" s="841"/>
      <c r="R459" s="841"/>
      <c r="S459" s="841"/>
      <c r="T459" s="841">
        <f t="shared" si="372"/>
        <v>0</v>
      </c>
      <c r="U459" s="840"/>
      <c r="V459" s="841"/>
      <c r="W459" s="841"/>
      <c r="X459" s="841"/>
      <c r="Y459" s="841">
        <f t="shared" si="373"/>
        <v>0</v>
      </c>
      <c r="Z459" s="840"/>
      <c r="AA459" s="841"/>
      <c r="AB459" s="841"/>
      <c r="AC459" s="841"/>
      <c r="AD459" s="841">
        <f t="shared" si="374"/>
        <v>0</v>
      </c>
      <c r="AE459" s="840"/>
      <c r="AF459" s="841"/>
      <c r="AG459" s="841"/>
      <c r="AH459" s="841"/>
      <c r="AI459" s="841">
        <f t="shared" si="375"/>
        <v>0</v>
      </c>
      <c r="AJ459" s="840"/>
      <c r="AK459" s="841"/>
      <c r="AL459" s="841"/>
      <c r="AM459" s="842"/>
      <c r="AN459" s="862"/>
      <c r="AO459" s="844"/>
      <c r="AP459" s="843"/>
      <c r="AQ459" s="843"/>
      <c r="AR459" s="843"/>
      <c r="AS459" s="862"/>
      <c r="AT459" s="844"/>
      <c r="AU459" s="844"/>
      <c r="AV459" s="844"/>
      <c r="AW459" s="844"/>
      <c r="AX459" s="793"/>
    </row>
    <row r="460" spans="1:50" s="29" customFormat="1" hidden="1" outlineLevel="1" x14ac:dyDescent="0.45">
      <c r="A460" s="61" t="s">
        <v>148</v>
      </c>
      <c r="B460" s="147"/>
      <c r="C460" s="840"/>
      <c r="D460" s="840">
        <v>-1.1200000000000001</v>
      </c>
      <c r="E460" s="840"/>
      <c r="F460" s="840">
        <v>-12.084</v>
      </c>
      <c r="G460" s="841"/>
      <c r="H460" s="841">
        <v>-8.5350000000000001</v>
      </c>
      <c r="I460" s="841">
        <v>-14.090999999999999</v>
      </c>
      <c r="J460" s="841">
        <f t="shared" si="370"/>
        <v>-15.385999999999999</v>
      </c>
      <c r="K460" s="840">
        <v>-15.385999999999999</v>
      </c>
      <c r="L460" s="841"/>
      <c r="M460" s="841">
        <v>-4.3490000000000002</v>
      </c>
      <c r="N460" s="841">
        <v>-10.994999999999999</v>
      </c>
      <c r="O460" s="841">
        <f t="shared" si="371"/>
        <v>-12.122999999999999</v>
      </c>
      <c r="P460" s="840">
        <v>-12.122999999999999</v>
      </c>
      <c r="Q460" s="841">
        <v>-1.514</v>
      </c>
      <c r="R460" s="841">
        <v>-4.4189999999999996</v>
      </c>
      <c r="S460" s="841">
        <v>-6.024</v>
      </c>
      <c r="T460" s="841">
        <f t="shared" si="372"/>
        <v>-6.6369999999999996</v>
      </c>
      <c r="U460" s="840">
        <v>-6.6369999999999996</v>
      </c>
      <c r="V460" s="841"/>
      <c r="W460" s="841"/>
      <c r="X460" s="841"/>
      <c r="Y460" s="841">
        <f t="shared" si="373"/>
        <v>0</v>
      </c>
      <c r="Z460" s="840"/>
      <c r="AA460" s="841"/>
      <c r="AB460" s="841"/>
      <c r="AC460" s="841"/>
      <c r="AD460" s="841">
        <f t="shared" si="374"/>
        <v>0</v>
      </c>
      <c r="AE460" s="840"/>
      <c r="AF460" s="841"/>
      <c r="AG460" s="841"/>
      <c r="AH460" s="841"/>
      <c r="AI460" s="841">
        <f t="shared" si="375"/>
        <v>0</v>
      </c>
      <c r="AJ460" s="840"/>
      <c r="AK460" s="841"/>
      <c r="AL460" s="841"/>
      <c r="AM460" s="842"/>
      <c r="AN460" s="862"/>
      <c r="AO460" s="844"/>
      <c r="AP460" s="843"/>
      <c r="AQ460" s="843"/>
      <c r="AR460" s="843"/>
      <c r="AS460" s="862"/>
      <c r="AT460" s="844"/>
      <c r="AU460" s="844"/>
      <c r="AV460" s="844"/>
      <c r="AW460" s="844"/>
      <c r="AX460" s="793"/>
    </row>
    <row r="461" spans="1:50" s="29" customFormat="1" hidden="1" outlineLevel="1" x14ac:dyDescent="0.45">
      <c r="A461" s="61" t="s">
        <v>149</v>
      </c>
      <c r="B461" s="147"/>
      <c r="C461" s="840">
        <f>-0.25+2.036-0.3-3</f>
        <v>-1.514</v>
      </c>
      <c r="D461" s="840"/>
      <c r="E461" s="840">
        <f>0.01-5.71+0.222-2.737-3.279</f>
        <v>-11.494</v>
      </c>
      <c r="F461" s="840">
        <f>-2.033-5.073</f>
        <v>-7.1059999999999999</v>
      </c>
      <c r="G461" s="841"/>
      <c r="H461" s="841">
        <v>-34.802</v>
      </c>
      <c r="I461" s="841">
        <v>-35.033000000000001</v>
      </c>
      <c r="J461" s="841">
        <f t="shared" si="370"/>
        <v>-35.033000000000001</v>
      </c>
      <c r="K461" s="840">
        <v>-35.033000000000001</v>
      </c>
      <c r="L461" s="841"/>
      <c r="M461" s="841"/>
      <c r="N461" s="841"/>
      <c r="O461" s="841">
        <f t="shared" si="371"/>
        <v>-2.3450000000000002</v>
      </c>
      <c r="P461" s="840">
        <v>-2.3450000000000002</v>
      </c>
      <c r="Q461" s="841"/>
      <c r="R461" s="841"/>
      <c r="S461" s="841"/>
      <c r="T461" s="841">
        <f t="shared" si="372"/>
        <v>-163.84299999999999</v>
      </c>
      <c r="U461" s="840">
        <v>-163.84299999999999</v>
      </c>
      <c r="V461" s="841"/>
      <c r="W461" s="841"/>
      <c r="X461" s="841"/>
      <c r="Y461" s="841">
        <f t="shared" si="373"/>
        <v>0</v>
      </c>
      <c r="Z461" s="840"/>
      <c r="AA461" s="841">
        <v>-33.856000000000002</v>
      </c>
      <c r="AB461" s="841">
        <v>-58.892000000000003</v>
      </c>
      <c r="AC461" s="841">
        <v>-58.892000000000003</v>
      </c>
      <c r="AD461" s="841">
        <f t="shared" si="374"/>
        <v>-62.866999999999997</v>
      </c>
      <c r="AE461" s="840">
        <v>-62.866999999999997</v>
      </c>
      <c r="AF461" s="841"/>
      <c r="AG461" s="841"/>
      <c r="AH461" s="841"/>
      <c r="AI461" s="841">
        <f t="shared" si="375"/>
        <v>0</v>
      </c>
      <c r="AJ461" s="840"/>
      <c r="AK461" s="841"/>
      <c r="AL461" s="841"/>
      <c r="AM461" s="842">
        <v>-71.605000000000004</v>
      </c>
      <c r="AN461" s="843"/>
      <c r="AO461" s="844"/>
      <c r="AP461" s="843"/>
      <c r="AQ461" s="843"/>
      <c r="AR461" s="843"/>
      <c r="AS461" s="843"/>
      <c r="AT461" s="844"/>
      <c r="AU461" s="844"/>
      <c r="AV461" s="844"/>
      <c r="AW461" s="844"/>
      <c r="AX461" s="793"/>
    </row>
    <row r="462" spans="1:50" s="29" customFormat="1" hidden="1" outlineLevel="1" x14ac:dyDescent="0.45">
      <c r="A462" s="61" t="s">
        <v>150</v>
      </c>
      <c r="B462" s="147"/>
      <c r="C462" s="840"/>
      <c r="D462" s="840"/>
      <c r="E462" s="840"/>
      <c r="F462" s="840"/>
      <c r="G462" s="841"/>
      <c r="H462" s="841"/>
      <c r="I462" s="841"/>
      <c r="J462" s="841">
        <f t="shared" si="370"/>
        <v>0</v>
      </c>
      <c r="K462" s="840"/>
      <c r="L462" s="841"/>
      <c r="M462" s="841"/>
      <c r="N462" s="841"/>
      <c r="O462" s="841">
        <f t="shared" si="371"/>
        <v>0</v>
      </c>
      <c r="P462" s="840"/>
      <c r="Q462" s="841"/>
      <c r="R462" s="841"/>
      <c r="S462" s="841"/>
      <c r="T462" s="841">
        <f t="shared" si="372"/>
        <v>0</v>
      </c>
      <c r="U462" s="840"/>
      <c r="V462" s="841"/>
      <c r="W462" s="841"/>
      <c r="X462" s="841">
        <v>-0.28199999999999997</v>
      </c>
      <c r="Y462" s="841">
        <f t="shared" si="373"/>
        <v>-0.28199999999999997</v>
      </c>
      <c r="Z462" s="840">
        <v>-0.28199999999999997</v>
      </c>
      <c r="AA462" s="841"/>
      <c r="AB462" s="841"/>
      <c r="AC462" s="841"/>
      <c r="AD462" s="841">
        <f t="shared" si="374"/>
        <v>0</v>
      </c>
      <c r="AE462" s="840"/>
      <c r="AF462" s="841"/>
      <c r="AG462" s="841"/>
      <c r="AH462" s="841"/>
      <c r="AI462" s="841">
        <f t="shared" si="375"/>
        <v>0</v>
      </c>
      <c r="AJ462" s="840"/>
      <c r="AK462" s="849"/>
      <c r="AL462" s="849"/>
      <c r="AM462" s="842"/>
      <c r="AN462" s="843"/>
      <c r="AO462" s="844"/>
      <c r="AP462" s="843"/>
      <c r="AQ462" s="843"/>
      <c r="AR462" s="843"/>
      <c r="AS462" s="843"/>
      <c r="AT462" s="844"/>
      <c r="AU462" s="844"/>
      <c r="AV462" s="844"/>
      <c r="AW462" s="844"/>
      <c r="AX462" s="793"/>
    </row>
    <row r="463" spans="1:50" s="7" customFormat="1" hidden="1" outlineLevel="1" x14ac:dyDescent="0.45">
      <c r="A463" s="53" t="s">
        <v>151</v>
      </c>
      <c r="B463" s="146"/>
      <c r="C463" s="845">
        <f t="shared" ref="C463:AW463" si="376">SUM(C455:C462)</f>
        <v>-13.945</v>
      </c>
      <c r="D463" s="845">
        <f t="shared" si="376"/>
        <v>-10.582999999999998</v>
      </c>
      <c r="E463" s="845">
        <f t="shared" si="376"/>
        <v>-34.903999999999996</v>
      </c>
      <c r="F463" s="845">
        <f t="shared" si="376"/>
        <v>-53.654000000000003</v>
      </c>
      <c r="G463" s="846">
        <f t="shared" si="376"/>
        <v>-9.1349999999999998</v>
      </c>
      <c r="H463" s="846">
        <f t="shared" si="376"/>
        <v>-55.343000000000004</v>
      </c>
      <c r="I463" s="846">
        <f t="shared" si="376"/>
        <v>-62.496000000000002</v>
      </c>
      <c r="J463" s="846">
        <f t="shared" si="376"/>
        <v>-63.661999999999999</v>
      </c>
      <c r="K463" s="845">
        <f t="shared" si="376"/>
        <v>-63.661999999999999</v>
      </c>
      <c r="L463" s="846">
        <f t="shared" si="376"/>
        <v>-3.2210000000000001</v>
      </c>
      <c r="M463" s="846">
        <f t="shared" si="376"/>
        <v>-8.7899999999999991</v>
      </c>
      <c r="N463" s="846">
        <f t="shared" si="376"/>
        <v>-15.622</v>
      </c>
      <c r="O463" s="846">
        <f t="shared" si="376"/>
        <v>-24.522999999999996</v>
      </c>
      <c r="P463" s="845">
        <f t="shared" si="376"/>
        <v>-24.522999999999996</v>
      </c>
      <c r="Q463" s="846">
        <f t="shared" si="376"/>
        <v>-7.3660000000000005</v>
      </c>
      <c r="R463" s="846">
        <f t="shared" si="376"/>
        <v>-13.308</v>
      </c>
      <c r="S463" s="846">
        <f t="shared" si="376"/>
        <v>-22.244</v>
      </c>
      <c r="T463" s="846">
        <f t="shared" si="376"/>
        <v>-190.37299999999999</v>
      </c>
      <c r="U463" s="845">
        <f t="shared" si="376"/>
        <v>-190.37299999999999</v>
      </c>
      <c r="V463" s="846">
        <f t="shared" si="376"/>
        <v>2.8809999999999998</v>
      </c>
      <c r="W463" s="846">
        <f t="shared" si="376"/>
        <v>-1.0169999999999995</v>
      </c>
      <c r="X463" s="859">
        <f t="shared" si="376"/>
        <v>-5.604000000000001</v>
      </c>
      <c r="Y463" s="846">
        <f t="shared" si="376"/>
        <v>-11.404999999999999</v>
      </c>
      <c r="Z463" s="845">
        <f t="shared" si="376"/>
        <v>-11.404999999999999</v>
      </c>
      <c r="AA463" s="846">
        <f t="shared" si="376"/>
        <v>-41.575000000000003</v>
      </c>
      <c r="AB463" s="846">
        <f t="shared" si="376"/>
        <v>-73.939000000000007</v>
      </c>
      <c r="AC463" s="859">
        <f t="shared" si="376"/>
        <v>-80.14500000000001</v>
      </c>
      <c r="AD463" s="846">
        <f t="shared" si="376"/>
        <v>-91.532999999999987</v>
      </c>
      <c r="AE463" s="845">
        <f t="shared" si="376"/>
        <v>-91.532999999999987</v>
      </c>
      <c r="AF463" s="846">
        <f t="shared" si="376"/>
        <v>-6.9640000000000004</v>
      </c>
      <c r="AG463" s="846">
        <f t="shared" si="376"/>
        <v>-13.32</v>
      </c>
      <c r="AH463" s="859">
        <f t="shared" si="376"/>
        <v>-18.960999999999999</v>
      </c>
      <c r="AI463" s="846">
        <f t="shared" si="376"/>
        <v>-25.523000000000003</v>
      </c>
      <c r="AJ463" s="845">
        <f t="shared" si="376"/>
        <v>-25.523000000000003</v>
      </c>
      <c r="AK463" s="846">
        <f t="shared" si="376"/>
        <v>-8.4239999999999995</v>
      </c>
      <c r="AL463" s="846">
        <f t="shared" si="376"/>
        <v>-12.593999999999999</v>
      </c>
      <c r="AM463" s="847">
        <f t="shared" si="376"/>
        <v>-90.841000000000008</v>
      </c>
      <c r="AN463" s="859">
        <f t="shared" si="376"/>
        <v>0</v>
      </c>
      <c r="AO463" s="845">
        <f t="shared" si="376"/>
        <v>0</v>
      </c>
      <c r="AP463" s="859">
        <f t="shared" si="376"/>
        <v>0</v>
      </c>
      <c r="AQ463" s="859">
        <f t="shared" si="376"/>
        <v>0</v>
      </c>
      <c r="AR463" s="859">
        <f t="shared" si="376"/>
        <v>0</v>
      </c>
      <c r="AS463" s="859">
        <f t="shared" si="376"/>
        <v>0</v>
      </c>
      <c r="AT463" s="845">
        <f t="shared" si="376"/>
        <v>0</v>
      </c>
      <c r="AU463" s="860">
        <f t="shared" si="376"/>
        <v>0</v>
      </c>
      <c r="AV463" s="860">
        <f t="shared" si="376"/>
        <v>0</v>
      </c>
      <c r="AW463" s="860">
        <f t="shared" si="376"/>
        <v>0</v>
      </c>
      <c r="AX463" s="795"/>
    </row>
    <row r="464" spans="1:50" s="7" customFormat="1" hidden="1" outlineLevel="1" x14ac:dyDescent="0.45">
      <c r="A464" s="54"/>
      <c r="B464" s="69"/>
      <c r="C464" s="851"/>
      <c r="D464" s="851"/>
      <c r="E464" s="851"/>
      <c r="F464" s="851"/>
      <c r="G464" s="852"/>
      <c r="H464" s="852"/>
      <c r="I464" s="852"/>
      <c r="J464" s="852"/>
      <c r="K464" s="851"/>
      <c r="L464" s="852"/>
      <c r="M464" s="852"/>
      <c r="N464" s="852"/>
      <c r="O464" s="852"/>
      <c r="P464" s="851"/>
      <c r="Q464" s="852"/>
      <c r="R464" s="852"/>
      <c r="S464" s="852"/>
      <c r="T464" s="852"/>
      <c r="U464" s="851"/>
      <c r="V464" s="852"/>
      <c r="W464" s="852"/>
      <c r="X464" s="852"/>
      <c r="Y464" s="852"/>
      <c r="Z464" s="851"/>
      <c r="AA464" s="852"/>
      <c r="AB464" s="852"/>
      <c r="AC464" s="852"/>
      <c r="AD464" s="852"/>
      <c r="AE464" s="851"/>
      <c r="AF464" s="852"/>
      <c r="AG464" s="852"/>
      <c r="AH464" s="852"/>
      <c r="AI464" s="852"/>
      <c r="AJ464" s="851"/>
      <c r="AK464" s="852"/>
      <c r="AL464" s="852"/>
      <c r="AM464" s="853"/>
      <c r="AN464" s="854"/>
      <c r="AO464" s="855"/>
      <c r="AP464" s="854"/>
      <c r="AQ464" s="854"/>
      <c r="AR464" s="854"/>
      <c r="AS464" s="854"/>
      <c r="AT464" s="855"/>
      <c r="AU464" s="855"/>
      <c r="AV464" s="855"/>
      <c r="AW464" s="855"/>
      <c r="AX464" s="795"/>
    </row>
    <row r="465" spans="1:50" s="7" customFormat="1" hidden="1" outlineLevel="1" x14ac:dyDescent="0.45">
      <c r="A465" s="54" t="s">
        <v>152</v>
      </c>
      <c r="B465" s="69"/>
      <c r="C465" s="851"/>
      <c r="D465" s="851"/>
      <c r="E465" s="851"/>
      <c r="F465" s="851"/>
      <c r="G465" s="852"/>
      <c r="H465" s="852"/>
      <c r="I465" s="852"/>
      <c r="J465" s="852"/>
      <c r="K465" s="851"/>
      <c r="L465" s="852"/>
      <c r="M465" s="852"/>
      <c r="N465" s="852"/>
      <c r="O465" s="852"/>
      <c r="P465" s="851"/>
      <c r="Q465" s="852"/>
      <c r="R465" s="852"/>
      <c r="S465" s="852"/>
      <c r="T465" s="852"/>
      <c r="U465" s="851"/>
      <c r="V465" s="852"/>
      <c r="W465" s="852"/>
      <c r="X465" s="852"/>
      <c r="Y465" s="852"/>
      <c r="Z465" s="851"/>
      <c r="AA465" s="852"/>
      <c r="AB465" s="852"/>
      <c r="AC465" s="852"/>
      <c r="AD465" s="852"/>
      <c r="AE465" s="851"/>
      <c r="AF465" s="852"/>
      <c r="AG465" s="852"/>
      <c r="AH465" s="852"/>
      <c r="AI465" s="852"/>
      <c r="AJ465" s="851"/>
      <c r="AK465" s="852"/>
      <c r="AL465" s="852"/>
      <c r="AM465" s="853"/>
      <c r="AN465" s="854"/>
      <c r="AO465" s="855"/>
      <c r="AP465" s="854"/>
      <c r="AQ465" s="854"/>
      <c r="AR465" s="854"/>
      <c r="AS465" s="854"/>
      <c r="AT465" s="855"/>
      <c r="AU465" s="855"/>
      <c r="AV465" s="855"/>
      <c r="AW465" s="855"/>
      <c r="AX465" s="795"/>
    </row>
    <row r="466" spans="1:50" s="29" customFormat="1" hidden="1" outlineLevel="1" x14ac:dyDescent="0.45">
      <c r="A466" s="61" t="s">
        <v>153</v>
      </c>
      <c r="B466" s="147"/>
      <c r="C466" s="840">
        <v>1.5760000000000001</v>
      </c>
      <c r="D466" s="840">
        <v>1.524</v>
      </c>
      <c r="E466" s="840">
        <v>4.1449999999999996</v>
      </c>
      <c r="F466" s="840">
        <v>8.4000000000000005E-2</v>
      </c>
      <c r="G466" s="841">
        <v>0.05</v>
      </c>
      <c r="H466" s="841">
        <v>6.2E-2</v>
      </c>
      <c r="I466" s="841">
        <v>6.2E-2</v>
      </c>
      <c r="J466" s="841">
        <f t="shared" ref="J466:J473" si="377">K466</f>
        <v>0.183</v>
      </c>
      <c r="K466" s="840">
        <v>0.183</v>
      </c>
      <c r="L466" s="841"/>
      <c r="M466" s="841"/>
      <c r="N466" s="841"/>
      <c r="O466" s="841">
        <f t="shared" ref="O466:O473" si="378">P466</f>
        <v>0</v>
      </c>
      <c r="P466" s="840"/>
      <c r="Q466" s="841"/>
      <c r="R466" s="841"/>
      <c r="S466" s="841"/>
      <c r="T466" s="841">
        <f t="shared" ref="T466:T473" si="379">U466</f>
        <v>173.50899999999999</v>
      </c>
      <c r="U466" s="840">
        <v>173.50899999999999</v>
      </c>
      <c r="V466" s="841"/>
      <c r="W466" s="841"/>
      <c r="X466" s="841"/>
      <c r="Y466" s="841">
        <f t="shared" ref="Y466:Y473" si="380">Z466</f>
        <v>0</v>
      </c>
      <c r="Z466" s="840"/>
      <c r="AA466" s="841">
        <v>30</v>
      </c>
      <c r="AB466" s="841">
        <v>50</v>
      </c>
      <c r="AC466" s="841">
        <v>50</v>
      </c>
      <c r="AD466" s="841">
        <f t="shared" ref="AD466:AD473" si="381">AE466</f>
        <v>50</v>
      </c>
      <c r="AE466" s="840">
        <v>50</v>
      </c>
      <c r="AF466" s="841">
        <v>20</v>
      </c>
      <c r="AG466" s="841">
        <v>26</v>
      </c>
      <c r="AH466" s="841">
        <v>26</v>
      </c>
      <c r="AI466" s="841">
        <f t="shared" ref="AI466:AI473" si="382">AJ466</f>
        <v>26</v>
      </c>
      <c r="AJ466" s="840">
        <v>26</v>
      </c>
      <c r="AK466" s="841"/>
      <c r="AL466" s="841"/>
      <c r="AM466" s="842">
        <v>37</v>
      </c>
      <c r="AN466" s="862"/>
      <c r="AO466" s="844"/>
      <c r="AP466" s="843"/>
      <c r="AQ466" s="843"/>
      <c r="AR466" s="843"/>
      <c r="AS466" s="862"/>
      <c r="AT466" s="844"/>
      <c r="AU466" s="844"/>
      <c r="AV466" s="844"/>
      <c r="AW466" s="844"/>
      <c r="AX466" s="793"/>
    </row>
    <row r="467" spans="1:50" s="29" customFormat="1" hidden="1" outlineLevel="1" x14ac:dyDescent="0.45">
      <c r="A467" s="61" t="s">
        <v>154</v>
      </c>
      <c r="B467" s="147"/>
      <c r="C467" s="840"/>
      <c r="D467" s="840"/>
      <c r="E467" s="840"/>
      <c r="F467" s="840"/>
      <c r="G467" s="841"/>
      <c r="H467" s="841"/>
      <c r="I467" s="841"/>
      <c r="J467" s="841">
        <f t="shared" si="377"/>
        <v>0</v>
      </c>
      <c r="K467" s="840"/>
      <c r="L467" s="841"/>
      <c r="M467" s="841"/>
      <c r="N467" s="841"/>
      <c r="O467" s="841">
        <f t="shared" si="378"/>
        <v>0</v>
      </c>
      <c r="P467" s="840"/>
      <c r="Q467" s="841"/>
      <c r="R467" s="841"/>
      <c r="S467" s="841"/>
      <c r="T467" s="841">
        <f t="shared" si="379"/>
        <v>-68.509</v>
      </c>
      <c r="U467" s="840">
        <v>-68.509</v>
      </c>
      <c r="V467" s="841">
        <v>-17</v>
      </c>
      <c r="W467" s="841">
        <v>-57</v>
      </c>
      <c r="X467" s="841">
        <v>-80</v>
      </c>
      <c r="Y467" s="841">
        <f t="shared" si="380"/>
        <v>-90</v>
      </c>
      <c r="Z467" s="840">
        <v>-90</v>
      </c>
      <c r="AA467" s="841"/>
      <c r="AB467" s="841">
        <v>-10</v>
      </c>
      <c r="AC467" s="841">
        <v>-26</v>
      </c>
      <c r="AD467" s="841">
        <f t="shared" si="381"/>
        <v>-28</v>
      </c>
      <c r="AE467" s="840">
        <v>-28</v>
      </c>
      <c r="AF467" s="841">
        <v>-13</v>
      </c>
      <c r="AG467" s="841">
        <v>-21</v>
      </c>
      <c r="AH467" s="841">
        <v>-36</v>
      </c>
      <c r="AI467" s="841">
        <f t="shared" si="382"/>
        <v>-52</v>
      </c>
      <c r="AJ467" s="840">
        <v>-52</v>
      </c>
      <c r="AK467" s="841">
        <v>-5</v>
      </c>
      <c r="AL467" s="841">
        <v>-11</v>
      </c>
      <c r="AM467" s="842">
        <v>-11</v>
      </c>
      <c r="AN467" s="862"/>
      <c r="AO467" s="844"/>
      <c r="AP467" s="843"/>
      <c r="AQ467" s="843"/>
      <c r="AR467" s="843"/>
      <c r="AS467" s="862"/>
      <c r="AT467" s="844"/>
      <c r="AU467" s="844"/>
      <c r="AV467" s="844"/>
      <c r="AW467" s="844"/>
      <c r="AX467" s="793"/>
    </row>
    <row r="468" spans="1:50" s="29" customFormat="1" hidden="1" outlineLevel="1" x14ac:dyDescent="0.45">
      <c r="A468" s="61" t="s">
        <v>155</v>
      </c>
      <c r="B468" s="147"/>
      <c r="C468" s="840">
        <v>5.8550000000000004</v>
      </c>
      <c r="D468" s="840">
        <v>5.7169999999999996</v>
      </c>
      <c r="E468" s="840">
        <v>12.789</v>
      </c>
      <c r="F468" s="840">
        <v>0.94799999999999995</v>
      </c>
      <c r="G468" s="841">
        <v>0.25</v>
      </c>
      <c r="H468" s="841">
        <v>1.5349999999999999</v>
      </c>
      <c r="I468" s="841">
        <v>2.2000000000000002</v>
      </c>
      <c r="J468" s="841">
        <f t="shared" si="377"/>
        <v>2.2000000000000002</v>
      </c>
      <c r="K468" s="840">
        <v>2.2000000000000002</v>
      </c>
      <c r="L468" s="841">
        <v>-5.3999999999999999E-2</v>
      </c>
      <c r="M468" s="841">
        <v>-5.5E-2</v>
      </c>
      <c r="N468" s="841">
        <v>0.17</v>
      </c>
      <c r="O468" s="841">
        <f t="shared" si="378"/>
        <v>0.38300000000000001</v>
      </c>
      <c r="P468" s="840">
        <v>0.38300000000000001</v>
      </c>
      <c r="Q468" s="841">
        <v>0.22500000000000001</v>
      </c>
      <c r="R468" s="841">
        <v>0.47899999999999998</v>
      </c>
      <c r="S468" s="841">
        <v>0.73199999999999998</v>
      </c>
      <c r="T468" s="841">
        <f t="shared" si="379"/>
        <v>0.99199999999999999</v>
      </c>
      <c r="U468" s="840">
        <v>0.99199999999999999</v>
      </c>
      <c r="V468" s="841">
        <v>0.35899999999999999</v>
      </c>
      <c r="W468" s="841">
        <v>0.70199999999999996</v>
      </c>
      <c r="X468" s="841">
        <v>0.999</v>
      </c>
      <c r="Y468" s="841">
        <f t="shared" si="380"/>
        <v>1.31</v>
      </c>
      <c r="Z468" s="840">
        <v>1.31</v>
      </c>
      <c r="AA468" s="841">
        <v>3.97</v>
      </c>
      <c r="AB468" s="841">
        <v>4.32</v>
      </c>
      <c r="AC468" s="841">
        <v>4.6399999999999997</v>
      </c>
      <c r="AD468" s="841">
        <f t="shared" si="381"/>
        <v>4.8890000000000002</v>
      </c>
      <c r="AE468" s="840">
        <v>4.8890000000000002</v>
      </c>
      <c r="AF468" s="841">
        <v>1.3520000000000001</v>
      </c>
      <c r="AG468" s="841">
        <v>4.1079999999999997</v>
      </c>
      <c r="AH468" s="841">
        <v>4.5049999999999999</v>
      </c>
      <c r="AI468" s="841">
        <f t="shared" si="382"/>
        <v>7.5330000000000004</v>
      </c>
      <c r="AJ468" s="840">
        <v>7.5330000000000004</v>
      </c>
      <c r="AK468" s="841">
        <v>1.0960000000000001</v>
      </c>
      <c r="AL468" s="841">
        <v>1.5820000000000001</v>
      </c>
      <c r="AM468" s="842">
        <v>2.0760000000000001</v>
      </c>
      <c r="AN468" s="862"/>
      <c r="AO468" s="844"/>
      <c r="AP468" s="843"/>
      <c r="AQ468" s="843"/>
      <c r="AR468" s="843"/>
      <c r="AS468" s="862"/>
      <c r="AT468" s="844"/>
      <c r="AU468" s="844"/>
      <c r="AV468" s="844"/>
      <c r="AW468" s="844"/>
      <c r="AX468" s="793"/>
    </row>
    <row r="469" spans="1:50" s="29" customFormat="1" hidden="1" outlineLevel="1" x14ac:dyDescent="0.45">
      <c r="A469" s="61" t="s">
        <v>156</v>
      </c>
      <c r="B469" s="147"/>
      <c r="C469" s="840">
        <v>-34.274999999999999</v>
      </c>
      <c r="D469" s="840">
        <v>-34.716000000000001</v>
      </c>
      <c r="E469" s="840">
        <v>-40.988999999999997</v>
      </c>
      <c r="F469" s="840">
        <v>-41.534999999999997</v>
      </c>
      <c r="G469" s="841">
        <v>-10.417</v>
      </c>
      <c r="H469" s="841">
        <v>-20.843</v>
      </c>
      <c r="I469" s="841">
        <v>-31.515000000000001</v>
      </c>
      <c r="J469" s="841">
        <f t="shared" si="377"/>
        <v>-42.203000000000003</v>
      </c>
      <c r="K469" s="840">
        <v>-42.203000000000003</v>
      </c>
      <c r="L469" s="841">
        <v>-10.686999999999999</v>
      </c>
      <c r="M469" s="841">
        <v>-21.375</v>
      </c>
      <c r="N469" s="841">
        <v>-32.073</v>
      </c>
      <c r="O469" s="841">
        <f t="shared" si="378"/>
        <v>-42.77</v>
      </c>
      <c r="P469" s="840">
        <v>-42.77</v>
      </c>
      <c r="Q469" s="841">
        <v>-10.7</v>
      </c>
      <c r="R469" s="841">
        <v>-21.402999999999999</v>
      </c>
      <c r="S469" s="841">
        <v>-32.125</v>
      </c>
      <c r="T469" s="841">
        <f t="shared" si="379"/>
        <v>-42.85</v>
      </c>
      <c r="U469" s="840">
        <v>-42.85</v>
      </c>
      <c r="V469" s="841"/>
      <c r="W469" s="841"/>
      <c r="X469" s="841"/>
      <c r="Y469" s="841">
        <f t="shared" si="380"/>
        <v>0</v>
      </c>
      <c r="Z469" s="840"/>
      <c r="AA469" s="841"/>
      <c r="AB469" s="841"/>
      <c r="AC469" s="841"/>
      <c r="AD469" s="841">
        <f t="shared" si="381"/>
        <v>0</v>
      </c>
      <c r="AE469" s="840"/>
      <c r="AF469" s="841"/>
      <c r="AG469" s="841"/>
      <c r="AH469" s="841"/>
      <c r="AI469" s="841">
        <f t="shared" si="382"/>
        <v>0</v>
      </c>
      <c r="AJ469" s="840"/>
      <c r="AK469" s="841"/>
      <c r="AL469" s="841"/>
      <c r="AM469" s="842"/>
      <c r="AN469" s="862"/>
      <c r="AO469" s="844"/>
      <c r="AP469" s="843"/>
      <c r="AQ469" s="843"/>
      <c r="AR469" s="843"/>
      <c r="AS469" s="862"/>
      <c r="AT469" s="844"/>
      <c r="AU469" s="844"/>
      <c r="AV469" s="844"/>
      <c r="AW469" s="844"/>
      <c r="AX469" s="793"/>
    </row>
    <row r="470" spans="1:50" s="29" customFormat="1" hidden="1" outlineLevel="1" x14ac:dyDescent="0.45">
      <c r="A470" s="61" t="s">
        <v>157</v>
      </c>
      <c r="B470" s="147"/>
      <c r="C470" s="840"/>
      <c r="D470" s="840"/>
      <c r="E470" s="840"/>
      <c r="F470" s="840"/>
      <c r="G470" s="841"/>
      <c r="H470" s="841"/>
      <c r="I470" s="841"/>
      <c r="J470" s="841">
        <f t="shared" si="377"/>
        <v>0</v>
      </c>
      <c r="K470" s="840"/>
      <c r="L470" s="841"/>
      <c r="M470" s="841"/>
      <c r="N470" s="841"/>
      <c r="O470" s="841">
        <f t="shared" si="378"/>
        <v>0</v>
      </c>
      <c r="P470" s="840"/>
      <c r="Q470" s="841"/>
      <c r="R470" s="841"/>
      <c r="S470" s="841"/>
      <c r="T470" s="841">
        <f t="shared" si="379"/>
        <v>-5.3819999999999997</v>
      </c>
      <c r="U470" s="840">
        <v>-5.3819999999999997</v>
      </c>
      <c r="V470" s="841"/>
      <c r="W470" s="841"/>
      <c r="X470" s="841"/>
      <c r="Y470" s="841">
        <f t="shared" si="380"/>
        <v>0</v>
      </c>
      <c r="Z470" s="840"/>
      <c r="AA470" s="841"/>
      <c r="AB470" s="841"/>
      <c r="AC470" s="841"/>
      <c r="AD470" s="841">
        <f t="shared" si="381"/>
        <v>-1.105</v>
      </c>
      <c r="AE470" s="840">
        <v>-1.105</v>
      </c>
      <c r="AF470" s="841"/>
      <c r="AG470" s="841"/>
      <c r="AH470" s="841"/>
      <c r="AI470" s="841">
        <f t="shared" si="382"/>
        <v>0</v>
      </c>
      <c r="AJ470" s="840"/>
      <c r="AK470" s="841"/>
      <c r="AL470" s="841"/>
      <c r="AM470" s="842"/>
      <c r="AN470" s="862"/>
      <c r="AO470" s="844"/>
      <c r="AP470" s="843"/>
      <c r="AQ470" s="843"/>
      <c r="AR470" s="843"/>
      <c r="AS470" s="862"/>
      <c r="AT470" s="844"/>
      <c r="AU470" s="844"/>
      <c r="AV470" s="844"/>
      <c r="AW470" s="844"/>
      <c r="AX470" s="793"/>
    </row>
    <row r="471" spans="1:50" s="29" customFormat="1" hidden="1" outlineLevel="1" x14ac:dyDescent="0.45">
      <c r="A471" s="61" t="s">
        <v>158</v>
      </c>
      <c r="B471" s="147"/>
      <c r="C471" s="840"/>
      <c r="D471" s="840">
        <v>-0.253</v>
      </c>
      <c r="E471" s="840">
        <v>-1.319</v>
      </c>
      <c r="F471" s="840">
        <v>-2.3530000000000002</v>
      </c>
      <c r="G471" s="841">
        <v>-6.2E-2</v>
      </c>
      <c r="H471" s="841">
        <v>-1.9950000000000001</v>
      </c>
      <c r="I471" s="841">
        <v>-3.72</v>
      </c>
      <c r="J471" s="841">
        <f t="shared" si="377"/>
        <v>-3.423</v>
      </c>
      <c r="K471" s="840">
        <v>-3.423</v>
      </c>
      <c r="L471" s="841"/>
      <c r="M471" s="841">
        <v>-0.68600000000000005</v>
      </c>
      <c r="N471" s="841">
        <v>-0.68600000000000005</v>
      </c>
      <c r="O471" s="841">
        <f t="shared" si="378"/>
        <v>0</v>
      </c>
      <c r="P471" s="840"/>
      <c r="Q471" s="841"/>
      <c r="R471" s="841"/>
      <c r="S471" s="841"/>
      <c r="T471" s="841">
        <f t="shared" si="379"/>
        <v>0</v>
      </c>
      <c r="U471" s="840"/>
      <c r="V471" s="841"/>
      <c r="W471" s="841"/>
      <c r="X471" s="841"/>
      <c r="Y471" s="841">
        <f t="shared" si="380"/>
        <v>0</v>
      </c>
      <c r="Z471" s="840"/>
      <c r="AA471" s="841">
        <v>-18.817</v>
      </c>
      <c r="AB471" s="841">
        <v>-18.817</v>
      </c>
      <c r="AC471" s="841">
        <v>-18.817</v>
      </c>
      <c r="AD471" s="841">
        <f t="shared" si="381"/>
        <v>-18.817</v>
      </c>
      <c r="AE471" s="840">
        <v>-18.817</v>
      </c>
      <c r="AF471" s="841"/>
      <c r="AG471" s="841"/>
      <c r="AH471" s="841"/>
      <c r="AI471" s="841">
        <f t="shared" si="382"/>
        <v>0</v>
      </c>
      <c r="AJ471" s="840"/>
      <c r="AK471" s="841"/>
      <c r="AL471" s="841"/>
      <c r="AM471" s="842"/>
      <c r="AN471" s="862"/>
      <c r="AO471" s="844"/>
      <c r="AP471" s="843"/>
      <c r="AQ471" s="843"/>
      <c r="AR471" s="843"/>
      <c r="AS471" s="862"/>
      <c r="AT471" s="844"/>
      <c r="AU471" s="844"/>
      <c r="AV471" s="844"/>
      <c r="AW471" s="844"/>
      <c r="AX471" s="793"/>
    </row>
    <row r="472" spans="1:50" s="29" customFormat="1" hidden="1" outlineLevel="1" x14ac:dyDescent="0.45">
      <c r="A472" s="61" t="s">
        <v>593</v>
      </c>
      <c r="B472" s="147"/>
      <c r="C472" s="840"/>
      <c r="D472" s="840"/>
      <c r="E472" s="840"/>
      <c r="F472" s="840"/>
      <c r="G472" s="841"/>
      <c r="H472" s="841"/>
      <c r="I472" s="841"/>
      <c r="J472" s="841">
        <f>K472</f>
        <v>0</v>
      </c>
      <c r="K472" s="840"/>
      <c r="L472" s="841"/>
      <c r="M472" s="841"/>
      <c r="N472" s="841"/>
      <c r="O472" s="841">
        <f>P472</f>
        <v>0</v>
      </c>
      <c r="P472" s="840"/>
      <c r="Q472" s="841"/>
      <c r="R472" s="841"/>
      <c r="S472" s="841"/>
      <c r="T472" s="841">
        <f>U472</f>
        <v>0</v>
      </c>
      <c r="U472" s="840"/>
      <c r="V472" s="841"/>
      <c r="W472" s="841"/>
      <c r="X472" s="841"/>
      <c r="Y472" s="841">
        <f>Z472</f>
        <v>0</v>
      </c>
      <c r="Z472" s="840"/>
      <c r="AA472" s="841"/>
      <c r="AB472" s="841"/>
      <c r="AC472" s="841"/>
      <c r="AD472" s="841">
        <f>AE472</f>
        <v>0</v>
      </c>
      <c r="AE472" s="840"/>
      <c r="AF472" s="841"/>
      <c r="AG472" s="841"/>
      <c r="AH472" s="841"/>
      <c r="AI472" s="841">
        <f>AJ472</f>
        <v>0</v>
      </c>
      <c r="AJ472" s="840"/>
      <c r="AK472" s="841"/>
      <c r="AL472" s="841"/>
      <c r="AM472" s="842"/>
      <c r="AN472" s="862"/>
      <c r="AO472" s="844"/>
      <c r="AP472" s="843"/>
      <c r="AQ472" s="843"/>
      <c r="AR472" s="843"/>
      <c r="AS472" s="862"/>
      <c r="AT472" s="844"/>
      <c r="AU472" s="844"/>
      <c r="AV472" s="844"/>
      <c r="AW472" s="844"/>
      <c r="AX472" s="793"/>
    </row>
    <row r="473" spans="1:50" s="29" customFormat="1" hidden="1" outlineLevel="1" x14ac:dyDescent="0.45">
      <c r="A473" s="61" t="s">
        <v>159</v>
      </c>
      <c r="B473" s="147"/>
      <c r="C473" s="840"/>
      <c r="D473" s="840"/>
      <c r="E473" s="840"/>
      <c r="F473" s="840"/>
      <c r="G473" s="841"/>
      <c r="H473" s="841"/>
      <c r="I473" s="841"/>
      <c r="J473" s="841">
        <f t="shared" si="377"/>
        <v>0</v>
      </c>
      <c r="K473" s="840"/>
      <c r="L473" s="841"/>
      <c r="M473" s="841"/>
      <c r="N473" s="841"/>
      <c r="O473" s="841">
        <f t="shared" si="378"/>
        <v>0</v>
      </c>
      <c r="P473" s="840"/>
      <c r="Q473" s="841"/>
      <c r="R473" s="841"/>
      <c r="S473" s="841"/>
      <c r="T473" s="841">
        <f t="shared" si="379"/>
        <v>0</v>
      </c>
      <c r="U473" s="840"/>
      <c r="V473" s="841"/>
      <c r="W473" s="841"/>
      <c r="X473" s="841"/>
      <c r="Y473" s="841">
        <f t="shared" si="380"/>
        <v>0</v>
      </c>
      <c r="Z473" s="840"/>
      <c r="AA473" s="841">
        <v>-0.70799999999999996</v>
      </c>
      <c r="AB473" s="841">
        <v>-0.77800000000000002</v>
      </c>
      <c r="AC473" s="841">
        <v>-0.76700000000000002</v>
      </c>
      <c r="AD473" s="841">
        <f t="shared" si="381"/>
        <v>-0.84799999999999998</v>
      </c>
      <c r="AE473" s="840">
        <v>-0.84799999999999998</v>
      </c>
      <c r="AF473" s="841">
        <v>-1.554</v>
      </c>
      <c r="AG473" s="841">
        <v>-2.2040000000000002</v>
      </c>
      <c r="AH473" s="841">
        <v>-2.5979999999999999</v>
      </c>
      <c r="AI473" s="841">
        <f t="shared" si="382"/>
        <v>-3.181</v>
      </c>
      <c r="AJ473" s="840">
        <v>-3.181</v>
      </c>
      <c r="AK473" s="849">
        <v>-2.4009999999999998</v>
      </c>
      <c r="AL473" s="849">
        <v>-2.843</v>
      </c>
      <c r="AM473" s="842">
        <v>-3.6419999999999999</v>
      </c>
      <c r="AN473" s="862"/>
      <c r="AO473" s="844"/>
      <c r="AP473" s="843"/>
      <c r="AQ473" s="843"/>
      <c r="AR473" s="843"/>
      <c r="AS473" s="862"/>
      <c r="AT473" s="844"/>
      <c r="AU473" s="844"/>
      <c r="AV473" s="844"/>
      <c r="AW473" s="844"/>
      <c r="AX473" s="793"/>
    </row>
    <row r="474" spans="1:50" s="7" customFormat="1" hidden="1" outlineLevel="1" x14ac:dyDescent="0.45">
      <c r="A474" s="53" t="s">
        <v>160</v>
      </c>
      <c r="B474" s="146"/>
      <c r="C474" s="845">
        <f t="shared" ref="C474:AW474" si="383">SUM(C466:C473)</f>
        <v>-26.843999999999998</v>
      </c>
      <c r="D474" s="845">
        <f t="shared" si="383"/>
        <v>-27.728000000000002</v>
      </c>
      <c r="E474" s="845">
        <f t="shared" si="383"/>
        <v>-25.373999999999999</v>
      </c>
      <c r="F474" s="845">
        <f t="shared" si="383"/>
        <v>-42.856000000000002</v>
      </c>
      <c r="G474" s="846">
        <f t="shared" si="383"/>
        <v>-10.178999999999998</v>
      </c>
      <c r="H474" s="846">
        <f t="shared" si="383"/>
        <v>-21.241</v>
      </c>
      <c r="I474" s="846">
        <f t="shared" si="383"/>
        <v>-32.972999999999999</v>
      </c>
      <c r="J474" s="846">
        <f t="shared" si="383"/>
        <v>-43.243000000000002</v>
      </c>
      <c r="K474" s="845">
        <f t="shared" si="383"/>
        <v>-43.243000000000002</v>
      </c>
      <c r="L474" s="846">
        <f t="shared" si="383"/>
        <v>-10.741</v>
      </c>
      <c r="M474" s="846">
        <f t="shared" si="383"/>
        <v>-22.116</v>
      </c>
      <c r="N474" s="846">
        <f t="shared" si="383"/>
        <v>-32.588999999999999</v>
      </c>
      <c r="O474" s="846">
        <f t="shared" si="383"/>
        <v>-42.387</v>
      </c>
      <c r="P474" s="845">
        <f t="shared" si="383"/>
        <v>-42.387</v>
      </c>
      <c r="Q474" s="846">
        <f t="shared" si="383"/>
        <v>-10.475</v>
      </c>
      <c r="R474" s="846">
        <f t="shared" si="383"/>
        <v>-20.923999999999999</v>
      </c>
      <c r="S474" s="846">
        <f t="shared" si="383"/>
        <v>-31.393000000000001</v>
      </c>
      <c r="T474" s="846">
        <f t="shared" si="383"/>
        <v>57.759999999999991</v>
      </c>
      <c r="U474" s="845">
        <f t="shared" si="383"/>
        <v>57.759999999999991</v>
      </c>
      <c r="V474" s="846">
        <f t="shared" si="383"/>
        <v>-16.640999999999998</v>
      </c>
      <c r="W474" s="846">
        <f t="shared" si="383"/>
        <v>-56.298000000000002</v>
      </c>
      <c r="X474" s="859">
        <f t="shared" si="383"/>
        <v>-79.001000000000005</v>
      </c>
      <c r="Y474" s="846">
        <f t="shared" si="383"/>
        <v>-88.69</v>
      </c>
      <c r="Z474" s="845">
        <f t="shared" si="383"/>
        <v>-88.69</v>
      </c>
      <c r="AA474" s="846">
        <f t="shared" si="383"/>
        <v>14.444999999999999</v>
      </c>
      <c r="AB474" s="846">
        <f t="shared" si="383"/>
        <v>24.725000000000001</v>
      </c>
      <c r="AC474" s="859">
        <f t="shared" si="383"/>
        <v>9.0560000000000009</v>
      </c>
      <c r="AD474" s="846">
        <f t="shared" si="383"/>
        <v>6.1189999999999989</v>
      </c>
      <c r="AE474" s="845">
        <f t="shared" si="383"/>
        <v>6.1189999999999989</v>
      </c>
      <c r="AF474" s="846">
        <f t="shared" si="383"/>
        <v>6.798</v>
      </c>
      <c r="AG474" s="846">
        <f t="shared" si="383"/>
        <v>6.9039999999999999</v>
      </c>
      <c r="AH474" s="859">
        <f t="shared" si="383"/>
        <v>-8.093</v>
      </c>
      <c r="AI474" s="846">
        <f t="shared" si="383"/>
        <v>-21.648</v>
      </c>
      <c r="AJ474" s="845">
        <f t="shared" si="383"/>
        <v>-21.648</v>
      </c>
      <c r="AK474" s="846">
        <f t="shared" si="383"/>
        <v>-6.3049999999999997</v>
      </c>
      <c r="AL474" s="846">
        <f t="shared" si="383"/>
        <v>-12.260999999999999</v>
      </c>
      <c r="AM474" s="847">
        <f t="shared" si="383"/>
        <v>24.434000000000001</v>
      </c>
      <c r="AN474" s="859">
        <f t="shared" si="383"/>
        <v>0</v>
      </c>
      <c r="AO474" s="845">
        <f t="shared" si="383"/>
        <v>0</v>
      </c>
      <c r="AP474" s="859">
        <f t="shared" si="383"/>
        <v>0</v>
      </c>
      <c r="AQ474" s="859">
        <f t="shared" si="383"/>
        <v>0</v>
      </c>
      <c r="AR474" s="859">
        <f t="shared" si="383"/>
        <v>0</v>
      </c>
      <c r="AS474" s="859">
        <f t="shared" si="383"/>
        <v>0</v>
      </c>
      <c r="AT474" s="845">
        <f t="shared" si="383"/>
        <v>0</v>
      </c>
      <c r="AU474" s="860">
        <f t="shared" si="383"/>
        <v>0</v>
      </c>
      <c r="AV474" s="860">
        <f t="shared" si="383"/>
        <v>0</v>
      </c>
      <c r="AW474" s="860">
        <f t="shared" si="383"/>
        <v>0</v>
      </c>
      <c r="AX474" s="795"/>
    </row>
    <row r="475" spans="1:50" s="7" customFormat="1" hidden="1" outlineLevel="1" x14ac:dyDescent="0.45">
      <c r="A475" s="54"/>
      <c r="B475" s="69"/>
      <c r="C475" s="851"/>
      <c r="D475" s="851"/>
      <c r="E475" s="851"/>
      <c r="F475" s="851"/>
      <c r="G475" s="852"/>
      <c r="H475" s="852"/>
      <c r="I475" s="852"/>
      <c r="J475" s="852"/>
      <c r="K475" s="851"/>
      <c r="L475" s="852"/>
      <c r="M475" s="852"/>
      <c r="N475" s="852"/>
      <c r="O475" s="852"/>
      <c r="P475" s="851"/>
      <c r="Q475" s="852"/>
      <c r="R475" s="852"/>
      <c r="S475" s="852"/>
      <c r="T475" s="852"/>
      <c r="U475" s="851"/>
      <c r="V475" s="852"/>
      <c r="W475" s="852"/>
      <c r="X475" s="852"/>
      <c r="Y475" s="852"/>
      <c r="Z475" s="851"/>
      <c r="AA475" s="852"/>
      <c r="AB475" s="852"/>
      <c r="AC475" s="852"/>
      <c r="AD475" s="852"/>
      <c r="AE475" s="851"/>
      <c r="AF475" s="852"/>
      <c r="AG475" s="852"/>
      <c r="AH475" s="852"/>
      <c r="AI475" s="852"/>
      <c r="AJ475" s="851"/>
      <c r="AK475" s="852"/>
      <c r="AL475" s="852"/>
      <c r="AM475" s="853"/>
      <c r="AN475" s="854"/>
      <c r="AO475" s="855"/>
      <c r="AP475" s="854"/>
      <c r="AQ475" s="854"/>
      <c r="AR475" s="854"/>
      <c r="AS475" s="854"/>
      <c r="AT475" s="855"/>
      <c r="AU475" s="855"/>
      <c r="AV475" s="855"/>
      <c r="AW475" s="855"/>
      <c r="AX475" s="795"/>
    </row>
    <row r="476" spans="1:50" s="7" customFormat="1" hidden="1" outlineLevel="1" x14ac:dyDescent="0.45">
      <c r="A476" s="54" t="s">
        <v>161</v>
      </c>
      <c r="B476" s="69"/>
      <c r="C476" s="851"/>
      <c r="D476" s="851"/>
      <c r="E476" s="851"/>
      <c r="F476" s="851"/>
      <c r="G476" s="852"/>
      <c r="H476" s="852"/>
      <c r="I476" s="852"/>
      <c r="J476" s="852">
        <f>K476</f>
        <v>0</v>
      </c>
      <c r="K476" s="851"/>
      <c r="L476" s="852"/>
      <c r="M476" s="852"/>
      <c r="N476" s="852"/>
      <c r="O476" s="852">
        <f>P476</f>
        <v>0</v>
      </c>
      <c r="P476" s="851"/>
      <c r="Q476" s="852"/>
      <c r="R476" s="852"/>
      <c r="S476" s="852"/>
      <c r="T476" s="852">
        <f>U476</f>
        <v>0</v>
      </c>
      <c r="U476" s="851"/>
      <c r="V476" s="852"/>
      <c r="W476" s="852"/>
      <c r="X476" s="852"/>
      <c r="Y476" s="852">
        <f>Z476</f>
        <v>0</v>
      </c>
      <c r="Z476" s="851"/>
      <c r="AA476" s="852"/>
      <c r="AB476" s="852"/>
      <c r="AC476" s="852"/>
      <c r="AD476" s="852">
        <f>AE476</f>
        <v>0</v>
      </c>
      <c r="AE476" s="851"/>
      <c r="AF476" s="852"/>
      <c r="AG476" s="852"/>
      <c r="AH476" s="852"/>
      <c r="AI476" s="852">
        <f>AJ476</f>
        <v>0</v>
      </c>
      <c r="AJ476" s="851"/>
      <c r="AK476" s="852"/>
      <c r="AL476" s="852"/>
      <c r="AM476" s="853"/>
      <c r="AN476" s="867">
        <f>AO476</f>
        <v>0</v>
      </c>
      <c r="AO476" s="855"/>
      <c r="AP476" s="854"/>
      <c r="AQ476" s="854"/>
      <c r="AR476" s="854"/>
      <c r="AS476" s="867">
        <f>AT476</f>
        <v>0</v>
      </c>
      <c r="AT476" s="855"/>
      <c r="AU476" s="855"/>
      <c r="AV476" s="855"/>
      <c r="AW476" s="855"/>
      <c r="AX476" s="795"/>
    </row>
    <row r="477" spans="1:50" s="7" customFormat="1" hidden="1" outlineLevel="1" x14ac:dyDescent="0.45">
      <c r="A477" s="54" t="s">
        <v>162</v>
      </c>
      <c r="B477" s="69"/>
      <c r="C477" s="851">
        <f t="shared" ref="C477:AW477" si="384">C474+C463+C452+C476</f>
        <v>14.430999999999983</v>
      </c>
      <c r="D477" s="851">
        <f t="shared" si="384"/>
        <v>32.005999999999993</v>
      </c>
      <c r="E477" s="851">
        <f t="shared" si="384"/>
        <v>17.827000000000027</v>
      </c>
      <c r="F477" s="851">
        <f t="shared" si="384"/>
        <v>-28.445000000000007</v>
      </c>
      <c r="G477" s="852">
        <f t="shared" si="384"/>
        <v>12.212999999999997</v>
      </c>
      <c r="H477" s="852">
        <f t="shared" si="384"/>
        <v>-33.183</v>
      </c>
      <c r="I477" s="852">
        <f t="shared" si="384"/>
        <v>-23.89800000000001</v>
      </c>
      <c r="J477" s="852">
        <f t="shared" si="384"/>
        <v>-2.8540000000000134</v>
      </c>
      <c r="K477" s="851">
        <f t="shared" si="384"/>
        <v>-2.8540000000000134</v>
      </c>
      <c r="L477" s="852">
        <f t="shared" si="384"/>
        <v>4.602999999999998</v>
      </c>
      <c r="M477" s="852">
        <f t="shared" si="384"/>
        <v>11.835000000000015</v>
      </c>
      <c r="N477" s="852">
        <f t="shared" si="384"/>
        <v>10.49499999999999</v>
      </c>
      <c r="O477" s="852">
        <f t="shared" si="384"/>
        <v>15.848000000000013</v>
      </c>
      <c r="P477" s="851">
        <f t="shared" si="384"/>
        <v>15.848000000000013</v>
      </c>
      <c r="Q477" s="852">
        <f t="shared" si="384"/>
        <v>-14.134</v>
      </c>
      <c r="R477" s="852">
        <f t="shared" si="384"/>
        <v>-20.346000000000004</v>
      </c>
      <c r="S477" s="852">
        <f t="shared" si="384"/>
        <v>-26.344999999999995</v>
      </c>
      <c r="T477" s="852">
        <f t="shared" si="384"/>
        <v>-91.816999999999979</v>
      </c>
      <c r="U477" s="851">
        <f t="shared" si="384"/>
        <v>-91.816999999999979</v>
      </c>
      <c r="V477" s="852">
        <f t="shared" si="384"/>
        <v>-0.82699999999999463</v>
      </c>
      <c r="W477" s="852">
        <f t="shared" si="384"/>
        <v>-0.92999999999999972</v>
      </c>
      <c r="X477" s="866">
        <f t="shared" si="384"/>
        <v>-3.1820000000000306</v>
      </c>
      <c r="Y477" s="852">
        <f t="shared" si="384"/>
        <v>10.497</v>
      </c>
      <c r="Z477" s="851">
        <f t="shared" si="384"/>
        <v>10.497</v>
      </c>
      <c r="AA477" s="852">
        <f t="shared" si="384"/>
        <v>-13.337000000000002</v>
      </c>
      <c r="AB477" s="852">
        <f t="shared" si="384"/>
        <v>-11.120000000000005</v>
      </c>
      <c r="AC477" s="866">
        <f t="shared" si="384"/>
        <v>-15.83700000000001</v>
      </c>
      <c r="AD477" s="852">
        <f t="shared" si="384"/>
        <v>-11.370999999999981</v>
      </c>
      <c r="AE477" s="851">
        <f t="shared" si="384"/>
        <v>-11.370999999999981</v>
      </c>
      <c r="AF477" s="852">
        <f t="shared" si="384"/>
        <v>2.8459999999999992</v>
      </c>
      <c r="AG477" s="852">
        <f t="shared" si="384"/>
        <v>8.5000000000000071</v>
      </c>
      <c r="AH477" s="866">
        <f t="shared" si="384"/>
        <v>6.225000000000005</v>
      </c>
      <c r="AI477" s="852">
        <f t="shared" si="384"/>
        <v>3.304000000000002</v>
      </c>
      <c r="AJ477" s="851">
        <f t="shared" si="384"/>
        <v>3.304000000000002</v>
      </c>
      <c r="AK477" s="852">
        <f t="shared" si="384"/>
        <v>2.2679999999999971</v>
      </c>
      <c r="AL477" s="852">
        <f t="shared" si="384"/>
        <v>15.908999999999999</v>
      </c>
      <c r="AM477" s="853">
        <f t="shared" si="384"/>
        <v>-2.0360000000000156</v>
      </c>
      <c r="AN477" s="867">
        <f t="shared" si="384"/>
        <v>0</v>
      </c>
      <c r="AO477" s="855">
        <f t="shared" si="384"/>
        <v>0</v>
      </c>
      <c r="AP477" s="867">
        <f t="shared" si="384"/>
        <v>0</v>
      </c>
      <c r="AQ477" s="867">
        <f t="shared" si="384"/>
        <v>0</v>
      </c>
      <c r="AR477" s="867">
        <f t="shared" si="384"/>
        <v>0</v>
      </c>
      <c r="AS477" s="867">
        <f t="shared" si="384"/>
        <v>0</v>
      </c>
      <c r="AT477" s="855">
        <f t="shared" si="384"/>
        <v>0</v>
      </c>
      <c r="AU477" s="868">
        <f t="shared" si="384"/>
        <v>0</v>
      </c>
      <c r="AV477" s="868">
        <f t="shared" si="384"/>
        <v>0</v>
      </c>
      <c r="AW477" s="868">
        <f t="shared" si="384"/>
        <v>0</v>
      </c>
      <c r="AX477" s="795"/>
    </row>
    <row r="478" spans="1:50" s="7" customFormat="1" hidden="1" outlineLevel="1" x14ac:dyDescent="0.45">
      <c r="A478" s="54"/>
      <c r="B478" s="69"/>
      <c r="C478" s="851"/>
      <c r="D478" s="851"/>
      <c r="E478" s="851"/>
      <c r="F478" s="851"/>
      <c r="G478" s="852"/>
      <c r="H478" s="852"/>
      <c r="I478" s="852"/>
      <c r="J478" s="852"/>
      <c r="K478" s="851"/>
      <c r="L478" s="852"/>
      <c r="M478" s="852"/>
      <c r="N478" s="852"/>
      <c r="O478" s="852"/>
      <c r="P478" s="851"/>
      <c r="Q478" s="852"/>
      <c r="R478" s="852"/>
      <c r="S478" s="852"/>
      <c r="T478" s="852"/>
      <c r="U478" s="851"/>
      <c r="V478" s="852"/>
      <c r="W478" s="852"/>
      <c r="X478" s="852"/>
      <c r="Y478" s="852"/>
      <c r="Z478" s="851"/>
      <c r="AA478" s="852"/>
      <c r="AB478" s="852"/>
      <c r="AC478" s="852"/>
      <c r="AD478" s="852"/>
      <c r="AE478" s="851"/>
      <c r="AF478" s="852"/>
      <c r="AG478" s="852"/>
      <c r="AH478" s="852"/>
      <c r="AI478" s="852"/>
      <c r="AJ478" s="851"/>
      <c r="AK478" s="852"/>
      <c r="AL478" s="852"/>
      <c r="AM478" s="853"/>
      <c r="AN478" s="854"/>
      <c r="AO478" s="855"/>
      <c r="AP478" s="854"/>
      <c r="AQ478" s="854"/>
      <c r="AR478" s="854"/>
      <c r="AS478" s="854"/>
      <c r="AT478" s="855"/>
      <c r="AU478" s="855"/>
      <c r="AV478" s="855"/>
      <c r="AW478" s="855"/>
      <c r="AX478" s="795"/>
    </row>
    <row r="479" spans="1:50" s="7" customFormat="1" hidden="1" outlineLevel="1" x14ac:dyDescent="0.45">
      <c r="A479" s="54" t="s">
        <v>163</v>
      </c>
      <c r="B479" s="69"/>
      <c r="C479" s="851">
        <v>70.180000000000007</v>
      </c>
      <c r="D479" s="851">
        <f>C480</f>
        <v>84.61099999999999</v>
      </c>
      <c r="E479" s="851">
        <f>D480</f>
        <v>116.61699999999999</v>
      </c>
      <c r="F479" s="851">
        <f>E480</f>
        <v>134.44400000000002</v>
      </c>
      <c r="G479" s="852">
        <f>F480</f>
        <v>105.99900000000001</v>
      </c>
      <c r="H479" s="852">
        <f>G479</f>
        <v>105.99900000000001</v>
      </c>
      <c r="I479" s="852">
        <f>H479</f>
        <v>105.99900000000001</v>
      </c>
      <c r="J479" s="852">
        <f>I479</f>
        <v>105.99900000000001</v>
      </c>
      <c r="K479" s="851">
        <f>J479</f>
        <v>105.99900000000001</v>
      </c>
      <c r="L479" s="852">
        <f>K480</f>
        <v>103.145</v>
      </c>
      <c r="M479" s="852">
        <f>L479</f>
        <v>103.145</v>
      </c>
      <c r="N479" s="852">
        <f>M479</f>
        <v>103.145</v>
      </c>
      <c r="O479" s="852">
        <f>N479</f>
        <v>103.145</v>
      </c>
      <c r="P479" s="851">
        <f>O479</f>
        <v>103.145</v>
      </c>
      <c r="Q479" s="852">
        <f>P480</f>
        <v>118.99300000000001</v>
      </c>
      <c r="R479" s="852">
        <f>Q479</f>
        <v>118.99300000000001</v>
      </c>
      <c r="S479" s="852">
        <f>R479</f>
        <v>118.99300000000001</v>
      </c>
      <c r="T479" s="852">
        <f>S479</f>
        <v>118.99300000000001</v>
      </c>
      <c r="U479" s="851">
        <f>T479</f>
        <v>118.99300000000001</v>
      </c>
      <c r="V479" s="852">
        <f>U480</f>
        <v>27.17600000000003</v>
      </c>
      <c r="W479" s="852">
        <f>V479</f>
        <v>27.17600000000003</v>
      </c>
      <c r="X479" s="852">
        <f>W479</f>
        <v>27.17600000000003</v>
      </c>
      <c r="Y479" s="852">
        <f>X479</f>
        <v>27.17600000000003</v>
      </c>
      <c r="Z479" s="851">
        <f>Y479</f>
        <v>27.17600000000003</v>
      </c>
      <c r="AA479" s="852">
        <v>42.588999999999999</v>
      </c>
      <c r="AB479" s="852">
        <v>37.673000000000002</v>
      </c>
      <c r="AC479" s="852">
        <f>AA479</f>
        <v>42.588999999999999</v>
      </c>
      <c r="AD479" s="852">
        <f>AC479</f>
        <v>42.588999999999999</v>
      </c>
      <c r="AE479" s="851">
        <f>AD479</f>
        <v>42.588999999999999</v>
      </c>
      <c r="AF479" s="852">
        <v>31.218</v>
      </c>
      <c r="AG479" s="852">
        <f>AF479</f>
        <v>31.218</v>
      </c>
      <c r="AH479" s="852">
        <f>AG479</f>
        <v>31.218</v>
      </c>
      <c r="AI479" s="852">
        <f>AH479</f>
        <v>31.218</v>
      </c>
      <c r="AJ479" s="851">
        <f>AI479</f>
        <v>31.218</v>
      </c>
      <c r="AK479" s="852">
        <f>AJ480</f>
        <v>34.522000000000006</v>
      </c>
      <c r="AL479" s="852">
        <f>AK479</f>
        <v>34.522000000000006</v>
      </c>
      <c r="AM479" s="853">
        <f>AL479</f>
        <v>34.522000000000006</v>
      </c>
      <c r="AN479" s="854"/>
      <c r="AO479" s="855"/>
      <c r="AP479" s="854"/>
      <c r="AQ479" s="854"/>
      <c r="AR479" s="854"/>
      <c r="AS479" s="854"/>
      <c r="AT479" s="855"/>
      <c r="AU479" s="855"/>
      <c r="AV479" s="855"/>
      <c r="AW479" s="855"/>
      <c r="AX479" s="795"/>
    </row>
    <row r="480" spans="1:50" s="7" customFormat="1" hidden="1" outlineLevel="1" x14ac:dyDescent="0.45">
      <c r="A480" s="54" t="s">
        <v>164</v>
      </c>
      <c r="B480" s="69"/>
      <c r="C480" s="851">
        <f t="shared" ref="C480:AM480" si="385">C477+C479</f>
        <v>84.61099999999999</v>
      </c>
      <c r="D480" s="851">
        <f t="shared" si="385"/>
        <v>116.61699999999999</v>
      </c>
      <c r="E480" s="851">
        <f t="shared" si="385"/>
        <v>134.44400000000002</v>
      </c>
      <c r="F480" s="851">
        <f t="shared" si="385"/>
        <v>105.99900000000001</v>
      </c>
      <c r="G480" s="852">
        <f t="shared" si="385"/>
        <v>118.212</v>
      </c>
      <c r="H480" s="852">
        <f t="shared" si="385"/>
        <v>72.816000000000003</v>
      </c>
      <c r="I480" s="852">
        <f t="shared" si="385"/>
        <v>82.100999999999999</v>
      </c>
      <c r="J480" s="852">
        <f t="shared" si="385"/>
        <v>103.145</v>
      </c>
      <c r="K480" s="851">
        <f t="shared" si="385"/>
        <v>103.145</v>
      </c>
      <c r="L480" s="852">
        <f t="shared" si="385"/>
        <v>107.74799999999999</v>
      </c>
      <c r="M480" s="852">
        <f t="shared" si="385"/>
        <v>114.98000000000002</v>
      </c>
      <c r="N480" s="852">
        <f t="shared" si="385"/>
        <v>113.63999999999999</v>
      </c>
      <c r="O480" s="852">
        <f t="shared" si="385"/>
        <v>118.99300000000001</v>
      </c>
      <c r="P480" s="851">
        <f t="shared" si="385"/>
        <v>118.99300000000001</v>
      </c>
      <c r="Q480" s="852">
        <f t="shared" si="385"/>
        <v>104.85900000000001</v>
      </c>
      <c r="R480" s="852">
        <f t="shared" si="385"/>
        <v>98.647000000000006</v>
      </c>
      <c r="S480" s="852">
        <f t="shared" si="385"/>
        <v>92.64800000000001</v>
      </c>
      <c r="T480" s="852">
        <f t="shared" si="385"/>
        <v>27.17600000000003</v>
      </c>
      <c r="U480" s="851">
        <f t="shared" si="385"/>
        <v>27.17600000000003</v>
      </c>
      <c r="V480" s="852">
        <f t="shared" si="385"/>
        <v>26.349000000000036</v>
      </c>
      <c r="W480" s="852">
        <f t="shared" si="385"/>
        <v>26.246000000000031</v>
      </c>
      <c r="X480" s="852">
        <f t="shared" si="385"/>
        <v>23.994</v>
      </c>
      <c r="Y480" s="852">
        <f t="shared" si="385"/>
        <v>37.67300000000003</v>
      </c>
      <c r="Z480" s="851">
        <f t="shared" si="385"/>
        <v>37.67300000000003</v>
      </c>
      <c r="AA480" s="852">
        <f t="shared" si="385"/>
        <v>29.251999999999995</v>
      </c>
      <c r="AB480" s="852">
        <f t="shared" si="385"/>
        <v>26.552999999999997</v>
      </c>
      <c r="AC480" s="852">
        <f t="shared" si="385"/>
        <v>26.751999999999988</v>
      </c>
      <c r="AD480" s="852">
        <f t="shared" si="385"/>
        <v>31.218000000000018</v>
      </c>
      <c r="AE480" s="851">
        <f t="shared" si="385"/>
        <v>31.218000000000018</v>
      </c>
      <c r="AF480" s="852">
        <f t="shared" si="385"/>
        <v>34.064</v>
      </c>
      <c r="AG480" s="852">
        <f t="shared" si="385"/>
        <v>39.718000000000004</v>
      </c>
      <c r="AH480" s="852">
        <f t="shared" si="385"/>
        <v>37.443000000000005</v>
      </c>
      <c r="AI480" s="852">
        <f t="shared" si="385"/>
        <v>34.522000000000006</v>
      </c>
      <c r="AJ480" s="851">
        <f t="shared" si="385"/>
        <v>34.522000000000006</v>
      </c>
      <c r="AK480" s="852">
        <f t="shared" si="385"/>
        <v>36.790000000000006</v>
      </c>
      <c r="AL480" s="852">
        <f t="shared" si="385"/>
        <v>50.431000000000004</v>
      </c>
      <c r="AM480" s="853">
        <f t="shared" si="385"/>
        <v>32.48599999999999</v>
      </c>
      <c r="AN480" s="854"/>
      <c r="AO480" s="855"/>
      <c r="AP480" s="854"/>
      <c r="AQ480" s="854"/>
      <c r="AR480" s="854"/>
      <c r="AS480" s="854"/>
      <c r="AT480" s="855"/>
      <c r="AU480" s="855"/>
      <c r="AV480" s="855"/>
      <c r="AW480" s="855"/>
      <c r="AX480" s="795"/>
    </row>
    <row r="481" spans="1:50" s="7" customFormat="1" collapsed="1" x14ac:dyDescent="0.45">
      <c r="A481" s="54"/>
      <c r="B481" s="69"/>
      <c r="C481" s="851"/>
      <c r="D481" s="851"/>
      <c r="E481" s="851"/>
      <c r="F481" s="851"/>
      <c r="G481" s="852"/>
      <c r="H481" s="852"/>
      <c r="I481" s="852"/>
      <c r="J481" s="852"/>
      <c r="K481" s="851"/>
      <c r="L481" s="852"/>
      <c r="M481" s="852"/>
      <c r="N481" s="852"/>
      <c r="O481" s="852"/>
      <c r="P481" s="851"/>
      <c r="Q481" s="852"/>
      <c r="R481" s="852"/>
      <c r="S481" s="852"/>
      <c r="T481" s="852"/>
      <c r="U481" s="851"/>
      <c r="V481" s="852"/>
      <c r="W481" s="852"/>
      <c r="X481" s="852"/>
      <c r="Y481" s="852"/>
      <c r="Z481" s="851"/>
      <c r="AA481" s="852"/>
      <c r="AB481" s="852"/>
      <c r="AC481" s="852"/>
      <c r="AD481" s="852"/>
      <c r="AE481" s="851"/>
      <c r="AF481" s="852"/>
      <c r="AG481" s="852"/>
      <c r="AH481" s="852"/>
      <c r="AI481" s="852"/>
      <c r="AJ481" s="851"/>
      <c r="AK481" s="852"/>
      <c r="AL481" s="852"/>
      <c r="AM481" s="853"/>
      <c r="AN481" s="854"/>
      <c r="AO481" s="855"/>
      <c r="AP481" s="854"/>
      <c r="AQ481" s="854"/>
      <c r="AR481" s="854"/>
      <c r="AS481" s="854"/>
      <c r="AT481" s="855"/>
      <c r="AU481" s="855"/>
      <c r="AV481" s="855"/>
      <c r="AW481" s="855"/>
      <c r="AX481" s="795"/>
    </row>
    <row r="482" spans="1:50" s="7" customFormat="1" x14ac:dyDescent="0.45">
      <c r="A482" s="790" t="s">
        <v>165</v>
      </c>
      <c r="B482" s="790"/>
      <c r="C482" s="812"/>
      <c r="D482" s="812"/>
      <c r="E482" s="812"/>
      <c r="F482" s="812"/>
      <c r="G482" s="812"/>
      <c r="H482" s="812"/>
      <c r="I482" s="812"/>
      <c r="J482" s="812"/>
      <c r="K482" s="812"/>
      <c r="L482" s="812"/>
      <c r="M482" s="812"/>
      <c r="N482" s="812"/>
      <c r="O482" s="812"/>
      <c r="P482" s="812"/>
      <c r="Q482" s="812"/>
      <c r="R482" s="812"/>
      <c r="S482" s="812"/>
      <c r="T482" s="812"/>
      <c r="U482" s="812"/>
      <c r="V482" s="812"/>
      <c r="W482" s="812"/>
      <c r="X482" s="812"/>
      <c r="Y482" s="812"/>
      <c r="Z482" s="812"/>
      <c r="AA482" s="812"/>
      <c r="AB482" s="812"/>
      <c r="AC482" s="812"/>
      <c r="AD482" s="812"/>
      <c r="AE482" s="812"/>
      <c r="AF482" s="812"/>
      <c r="AG482" s="812"/>
      <c r="AH482" s="812"/>
      <c r="AI482" s="812"/>
      <c r="AJ482" s="812"/>
      <c r="AK482" s="812"/>
      <c r="AL482" s="812"/>
      <c r="AM482" s="813"/>
      <c r="AN482" s="814"/>
      <c r="AO482" s="814"/>
      <c r="AP482" s="814"/>
      <c r="AQ482" s="814"/>
      <c r="AR482" s="814"/>
      <c r="AS482" s="814"/>
      <c r="AT482" s="814"/>
      <c r="AU482" s="814"/>
      <c r="AV482" s="814"/>
      <c r="AW482" s="814"/>
      <c r="AX482" s="795"/>
    </row>
    <row r="483" spans="1:50" s="7" customFormat="1" x14ac:dyDescent="0.45">
      <c r="A483" s="54" t="str">
        <f t="shared" ref="A483:A516" si="386">A419</f>
        <v>CFO</v>
      </c>
      <c r="B483" s="69"/>
      <c r="C483" s="851"/>
      <c r="D483" s="851"/>
      <c r="E483" s="851"/>
      <c r="F483" s="851"/>
      <c r="G483" s="852"/>
      <c r="H483" s="852"/>
      <c r="I483" s="852"/>
      <c r="J483" s="852"/>
      <c r="K483" s="851"/>
      <c r="L483" s="852"/>
      <c r="M483" s="852"/>
      <c r="N483" s="852"/>
      <c r="O483" s="852"/>
      <c r="P483" s="851"/>
      <c r="Q483" s="852"/>
      <c r="R483" s="852"/>
      <c r="S483" s="852"/>
      <c r="T483" s="852"/>
      <c r="U483" s="851"/>
      <c r="V483" s="852"/>
      <c r="W483" s="852"/>
      <c r="X483" s="934"/>
      <c r="Y483" s="852"/>
      <c r="Z483" s="851"/>
      <c r="AA483" s="852"/>
      <c r="AB483" s="852"/>
      <c r="AC483" s="934"/>
      <c r="AD483" s="852"/>
      <c r="AE483" s="851"/>
      <c r="AF483" s="852"/>
      <c r="AG483" s="852"/>
      <c r="AH483" s="934"/>
      <c r="AI483" s="852"/>
      <c r="AJ483" s="851"/>
      <c r="AK483" s="852"/>
      <c r="AL483" s="852"/>
      <c r="AM483" s="853"/>
      <c r="AN483" s="896"/>
      <c r="AO483" s="855"/>
      <c r="AP483" s="896"/>
      <c r="AQ483" s="896"/>
      <c r="AR483" s="896"/>
      <c r="AS483" s="896"/>
      <c r="AT483" s="855"/>
      <c r="AU483" s="897"/>
      <c r="AV483" s="897"/>
      <c r="AW483" s="897"/>
      <c r="AX483" s="795"/>
    </row>
    <row r="484" spans="1:50" s="29" customFormat="1" x14ac:dyDescent="0.45">
      <c r="A484" s="111" t="str">
        <f t="shared" si="386"/>
        <v>Net income (loss)</v>
      </c>
      <c r="B484" s="149"/>
      <c r="C484" s="882">
        <f t="shared" ref="C484:G493" si="387">C420</f>
        <v>48.378999999999998</v>
      </c>
      <c r="D484" s="882">
        <f t="shared" si="387"/>
        <v>61.606000000000002</v>
      </c>
      <c r="E484" s="882">
        <f t="shared" si="387"/>
        <v>75.656999999999996</v>
      </c>
      <c r="F484" s="882">
        <f t="shared" si="387"/>
        <v>42.723999999999997</v>
      </c>
      <c r="G484" s="861">
        <f t="shared" si="387"/>
        <v>12.945</v>
      </c>
      <c r="H484" s="861">
        <f t="shared" ref="H484:J499" si="388">H420-G420</f>
        <v>10.120999999999999</v>
      </c>
      <c r="I484" s="861">
        <f t="shared" si="388"/>
        <v>-12.587</v>
      </c>
      <c r="J484" s="861">
        <f t="shared" si="388"/>
        <v>5.2010000000000005</v>
      </c>
      <c r="K484" s="882">
        <f t="shared" ref="K484:L499" si="389">K420</f>
        <v>15.68</v>
      </c>
      <c r="L484" s="861">
        <f t="shared" si="389"/>
        <v>5.1630000000000003</v>
      </c>
      <c r="M484" s="861">
        <f t="shared" ref="M484:O499" si="390">M420-L420</f>
        <v>4.75</v>
      </c>
      <c r="N484" s="861">
        <f t="shared" si="390"/>
        <v>6.6759999999999984</v>
      </c>
      <c r="O484" s="861">
        <f t="shared" si="390"/>
        <v>10.743000000000002</v>
      </c>
      <c r="P484" s="882">
        <f t="shared" ref="P484:Q499" si="391">P420</f>
        <v>27.332000000000001</v>
      </c>
      <c r="Q484" s="861">
        <f t="shared" si="391"/>
        <v>6.3620000000000001</v>
      </c>
      <c r="R484" s="861">
        <f t="shared" ref="R484:T499" si="392">R420-Q420</f>
        <v>8.3149999999999995</v>
      </c>
      <c r="S484" s="861">
        <f t="shared" si="392"/>
        <v>7.3019999999999996</v>
      </c>
      <c r="T484" s="861">
        <f t="shared" si="392"/>
        <v>-16.321999999999999</v>
      </c>
      <c r="U484" s="882">
        <f t="shared" ref="U484:V499" si="393">U420</f>
        <v>5.657</v>
      </c>
      <c r="V484" s="861">
        <f t="shared" si="393"/>
        <v>-0.64700000000000002</v>
      </c>
      <c r="W484" s="861">
        <f t="shared" ref="W484:Y499" si="394">W420-V420</f>
        <v>3.9870000000000001</v>
      </c>
      <c r="X484" s="861">
        <f t="shared" si="394"/>
        <v>10.486000000000001</v>
      </c>
      <c r="Y484" s="841">
        <f t="shared" si="394"/>
        <v>4.4149999999999991</v>
      </c>
      <c r="Z484" s="840">
        <f t="shared" ref="Z484:AA499" si="395">Z420</f>
        <v>18.241</v>
      </c>
      <c r="AA484" s="841">
        <f t="shared" si="395"/>
        <v>3.8959999999999999</v>
      </c>
      <c r="AB484" s="861">
        <f t="shared" ref="AB484:AD499" si="396">AB420-AA420</f>
        <v>8.0300000000000011</v>
      </c>
      <c r="AC484" s="861">
        <f t="shared" si="396"/>
        <v>1.5410000000000004</v>
      </c>
      <c r="AD484" s="841">
        <f t="shared" si="396"/>
        <v>-11.047000000000001</v>
      </c>
      <c r="AE484" s="840">
        <f t="shared" ref="AE484:AF499" si="397">AE420</f>
        <v>2.42</v>
      </c>
      <c r="AF484" s="841">
        <f t="shared" si="397"/>
        <v>2.6480000000000001</v>
      </c>
      <c r="AG484" s="861">
        <f t="shared" ref="AG484:AI499" si="398">AG420-AF420</f>
        <v>13.094000000000001</v>
      </c>
      <c r="AH484" s="861">
        <f t="shared" si="398"/>
        <v>4.8239999999999981</v>
      </c>
      <c r="AI484" s="841">
        <f t="shared" si="398"/>
        <v>3.9280000000000008</v>
      </c>
      <c r="AJ484" s="840">
        <f t="shared" ref="AJ484:AK499" si="399">AJ420</f>
        <v>24.494</v>
      </c>
      <c r="AK484" s="841">
        <f t="shared" si="399"/>
        <v>1.244</v>
      </c>
      <c r="AL484" s="861">
        <f t="shared" ref="AL484:AM499" si="400">AL420-AK420</f>
        <v>6.0810000000000004</v>
      </c>
      <c r="AM484" s="842">
        <f t="shared" si="400"/>
        <v>4.415</v>
      </c>
      <c r="AN484" s="862">
        <f>AN332</f>
        <v>4.5450287671202378</v>
      </c>
      <c r="AO484" s="844">
        <f t="shared" ref="AO484:AO499" si="401">SUM(AK484,AL484,AM484,AN484)</f>
        <v>16.285028767120238</v>
      </c>
      <c r="AP484" s="862">
        <f t="shared" ref="AP484:AS484" ca="1" si="402">AP332</f>
        <v>2.5545627679120373</v>
      </c>
      <c r="AQ484" s="862">
        <f t="shared" ca="1" si="402"/>
        <v>5.8067519130924889</v>
      </c>
      <c r="AR484" s="862">
        <f t="shared" ca="1" si="402"/>
        <v>5.7473868083270743</v>
      </c>
      <c r="AS484" s="862">
        <f t="shared" ca="1" si="402"/>
        <v>4.8489250526200891</v>
      </c>
      <c r="AT484" s="844">
        <f t="shared" ref="AT484:AT499" ca="1" si="403">SUM(AP484,AQ484,AR484,AS484)</f>
        <v>18.95762654195169</v>
      </c>
      <c r="AU484" s="863">
        <f t="shared" ref="AU484:AW484" ca="1" si="404">AU332</f>
        <v>23.017739272545185</v>
      </c>
      <c r="AV484" s="863">
        <f t="shared" ca="1" si="404"/>
        <v>25.410640692377967</v>
      </c>
      <c r="AW484" s="863">
        <f t="shared" ca="1" si="404"/>
        <v>28.415319194709319</v>
      </c>
      <c r="AX484" s="793"/>
    </row>
    <row r="485" spans="1:50" s="29" customFormat="1" x14ac:dyDescent="0.45">
      <c r="A485" s="111" t="str">
        <f t="shared" si="386"/>
        <v>Depreciation</v>
      </c>
      <c r="B485" s="149"/>
      <c r="C485" s="882">
        <f t="shared" si="387"/>
        <v>3.6629999999999998</v>
      </c>
      <c r="D485" s="882">
        <f t="shared" si="387"/>
        <v>4.3040000000000003</v>
      </c>
      <c r="E485" s="882">
        <f t="shared" si="387"/>
        <v>5.1950000000000003</v>
      </c>
      <c r="F485" s="882">
        <f t="shared" si="387"/>
        <v>6.9279999999999999</v>
      </c>
      <c r="G485" s="861">
        <f t="shared" si="387"/>
        <v>1.897</v>
      </c>
      <c r="H485" s="861">
        <f t="shared" si="388"/>
        <v>1.921</v>
      </c>
      <c r="I485" s="861">
        <f t="shared" si="388"/>
        <v>2.0790000000000002</v>
      </c>
      <c r="J485" s="861">
        <f t="shared" si="388"/>
        <v>2.1720000000000006</v>
      </c>
      <c r="K485" s="882">
        <f t="shared" si="389"/>
        <v>8.0690000000000008</v>
      </c>
      <c r="L485" s="861">
        <f t="shared" si="389"/>
        <v>2.1360000000000001</v>
      </c>
      <c r="M485" s="861">
        <f t="shared" si="390"/>
        <v>2.266</v>
      </c>
      <c r="N485" s="861">
        <f t="shared" si="390"/>
        <v>2.3529999999999998</v>
      </c>
      <c r="O485" s="861">
        <f t="shared" si="390"/>
        <v>2.5680000000000005</v>
      </c>
      <c r="P485" s="882">
        <f t="shared" si="391"/>
        <v>9.3230000000000004</v>
      </c>
      <c r="Q485" s="861">
        <f t="shared" si="391"/>
        <v>2.2789999999999999</v>
      </c>
      <c r="R485" s="861">
        <f t="shared" si="392"/>
        <v>2.17</v>
      </c>
      <c r="S485" s="861">
        <f t="shared" si="392"/>
        <v>2.1280000000000001</v>
      </c>
      <c r="T485" s="861">
        <f t="shared" si="392"/>
        <v>2.2569999999999997</v>
      </c>
      <c r="U485" s="882">
        <f t="shared" si="393"/>
        <v>8.8339999999999996</v>
      </c>
      <c r="V485" s="861">
        <f t="shared" si="393"/>
        <v>2.5539999999999998</v>
      </c>
      <c r="W485" s="861">
        <f t="shared" si="394"/>
        <v>2.552</v>
      </c>
      <c r="X485" s="861">
        <f t="shared" si="394"/>
        <v>2.4560000000000004</v>
      </c>
      <c r="Y485" s="841">
        <f t="shared" si="394"/>
        <v>2.5179999999999998</v>
      </c>
      <c r="Z485" s="840">
        <f t="shared" si="395"/>
        <v>10.08</v>
      </c>
      <c r="AA485" s="841">
        <f t="shared" si="395"/>
        <v>2.774</v>
      </c>
      <c r="AB485" s="861">
        <f t="shared" si="396"/>
        <v>2.5999999999999996</v>
      </c>
      <c r="AC485" s="861">
        <f t="shared" si="396"/>
        <v>2.6429999999999998</v>
      </c>
      <c r="AD485" s="841">
        <f t="shared" si="396"/>
        <v>2.4809999999999999</v>
      </c>
      <c r="AE485" s="840">
        <f t="shared" si="397"/>
        <v>10.497999999999999</v>
      </c>
      <c r="AF485" s="841">
        <f t="shared" si="397"/>
        <v>2.3929999999999998</v>
      </c>
      <c r="AG485" s="861">
        <f t="shared" si="398"/>
        <v>2.6030000000000006</v>
      </c>
      <c r="AH485" s="861">
        <f t="shared" si="398"/>
        <v>2.7249999999999996</v>
      </c>
      <c r="AI485" s="841">
        <f t="shared" si="398"/>
        <v>2.577</v>
      </c>
      <c r="AJ485" s="840">
        <f t="shared" si="399"/>
        <v>10.298</v>
      </c>
      <c r="AK485" s="841">
        <f t="shared" si="399"/>
        <v>2.0920000000000001</v>
      </c>
      <c r="AL485" s="861">
        <f t="shared" si="400"/>
        <v>2.0100000000000002</v>
      </c>
      <c r="AM485" s="842">
        <f t="shared" si="400"/>
        <v>2.351</v>
      </c>
      <c r="AN485" s="862">
        <f>AN314</f>
        <v>2.2000000000000002</v>
      </c>
      <c r="AO485" s="844">
        <f t="shared" si="401"/>
        <v>8.6530000000000005</v>
      </c>
      <c r="AP485" s="862">
        <f t="shared" ref="AP485:AS485" si="405">AP314</f>
        <v>2.2000000000000002</v>
      </c>
      <c r="AQ485" s="862">
        <f t="shared" si="405"/>
        <v>2.2000000000000002</v>
      </c>
      <c r="AR485" s="862">
        <f t="shared" si="405"/>
        <v>2.2000000000000002</v>
      </c>
      <c r="AS485" s="862">
        <f t="shared" si="405"/>
        <v>2.2000000000000002</v>
      </c>
      <c r="AT485" s="844">
        <f t="shared" si="403"/>
        <v>8.8000000000000007</v>
      </c>
      <c r="AU485" s="863">
        <f t="shared" ref="AU485:AW485" si="406">AU314</f>
        <v>8.8000000000000007</v>
      </c>
      <c r="AV485" s="863">
        <f t="shared" si="406"/>
        <v>8.8000000000000007</v>
      </c>
      <c r="AW485" s="863">
        <f t="shared" si="406"/>
        <v>8.8000000000000007</v>
      </c>
      <c r="AX485" s="793"/>
    </row>
    <row r="486" spans="1:50" s="29" customFormat="1" x14ac:dyDescent="0.45">
      <c r="A486" s="61" t="str">
        <f t="shared" si="386"/>
        <v>Amortization of capitalized software costs</v>
      </c>
      <c r="B486" s="147"/>
      <c r="C486" s="840">
        <f t="shared" si="387"/>
        <v>5.9269999999999996</v>
      </c>
      <c r="D486" s="840">
        <f t="shared" si="387"/>
        <v>7.0910000000000002</v>
      </c>
      <c r="E486" s="840">
        <f t="shared" si="387"/>
        <v>8.2539999999999996</v>
      </c>
      <c r="F486" s="840">
        <f t="shared" si="387"/>
        <v>9.6679999999999993</v>
      </c>
      <c r="G486" s="841">
        <f t="shared" si="387"/>
        <v>2.6789999999999998</v>
      </c>
      <c r="H486" s="841">
        <f t="shared" si="388"/>
        <v>2.6240000000000001</v>
      </c>
      <c r="I486" s="841">
        <f t="shared" si="388"/>
        <v>4.05</v>
      </c>
      <c r="J486" s="841">
        <f t="shared" si="388"/>
        <v>2.9849999999999994</v>
      </c>
      <c r="K486" s="840">
        <f t="shared" si="389"/>
        <v>12.337999999999999</v>
      </c>
      <c r="L486" s="841">
        <f t="shared" si="389"/>
        <v>3.6019999999999999</v>
      </c>
      <c r="M486" s="841">
        <f t="shared" si="390"/>
        <v>3.5150000000000001</v>
      </c>
      <c r="N486" s="841">
        <f t="shared" si="390"/>
        <v>3.0729999999999995</v>
      </c>
      <c r="O486" s="841">
        <f t="shared" si="390"/>
        <v>2.6270000000000007</v>
      </c>
      <c r="P486" s="840">
        <f t="shared" si="391"/>
        <v>12.817</v>
      </c>
      <c r="Q486" s="841">
        <f t="shared" si="391"/>
        <v>2.4390000000000001</v>
      </c>
      <c r="R486" s="841">
        <f t="shared" si="392"/>
        <v>2.4900000000000002</v>
      </c>
      <c r="S486" s="841">
        <f t="shared" si="392"/>
        <v>2.4989999999999997</v>
      </c>
      <c r="T486" s="841">
        <f t="shared" si="392"/>
        <v>2.4630000000000001</v>
      </c>
      <c r="U486" s="840">
        <f t="shared" si="393"/>
        <v>9.891</v>
      </c>
      <c r="V486" s="841">
        <f t="shared" si="393"/>
        <v>2.371</v>
      </c>
      <c r="W486" s="841">
        <f t="shared" si="394"/>
        <v>2.448</v>
      </c>
      <c r="X486" s="841">
        <f t="shared" si="394"/>
        <v>1.8070000000000004</v>
      </c>
      <c r="Y486" s="841">
        <f t="shared" si="394"/>
        <v>1.266</v>
      </c>
      <c r="Z486" s="840">
        <f t="shared" si="395"/>
        <v>7.8920000000000003</v>
      </c>
      <c r="AA486" s="841">
        <f t="shared" si="395"/>
        <v>1.2709999999999999</v>
      </c>
      <c r="AB486" s="841">
        <f t="shared" si="396"/>
        <v>1.3000000000000003</v>
      </c>
      <c r="AC486" s="841">
        <f t="shared" si="396"/>
        <v>1.8379999999999996</v>
      </c>
      <c r="AD486" s="841">
        <f t="shared" si="396"/>
        <v>2.109</v>
      </c>
      <c r="AE486" s="840">
        <f t="shared" si="397"/>
        <v>6.5179999999999998</v>
      </c>
      <c r="AF486" s="841">
        <f t="shared" si="397"/>
        <v>2.2570000000000001</v>
      </c>
      <c r="AG486" s="841">
        <f t="shared" si="398"/>
        <v>2.6350000000000002</v>
      </c>
      <c r="AH486" s="841">
        <f t="shared" si="398"/>
        <v>2.8109999999999999</v>
      </c>
      <c r="AI486" s="841">
        <f t="shared" si="398"/>
        <v>3.6349999999999989</v>
      </c>
      <c r="AJ486" s="840">
        <f t="shared" si="399"/>
        <v>11.337999999999999</v>
      </c>
      <c r="AK486" s="841">
        <f t="shared" si="399"/>
        <v>4.125</v>
      </c>
      <c r="AL486" s="841">
        <f t="shared" si="400"/>
        <v>4.5549999999999997</v>
      </c>
      <c r="AM486" s="842">
        <f t="shared" si="400"/>
        <v>4.282</v>
      </c>
      <c r="AN486" s="843">
        <f>AN299</f>
        <v>4.3</v>
      </c>
      <c r="AO486" s="844">
        <f t="shared" si="401"/>
        <v>17.262</v>
      </c>
      <c r="AP486" s="843">
        <f>AP299</f>
        <v>4.3</v>
      </c>
      <c r="AQ486" s="843">
        <f>AQ299</f>
        <v>4.3</v>
      </c>
      <c r="AR486" s="843">
        <f>AR299</f>
        <v>4.3</v>
      </c>
      <c r="AS486" s="843">
        <f>AS299</f>
        <v>4.3</v>
      </c>
      <c r="AT486" s="844">
        <f t="shared" si="403"/>
        <v>17.2</v>
      </c>
      <c r="AU486" s="844">
        <f>AU299</f>
        <v>17.2</v>
      </c>
      <c r="AV486" s="844">
        <f>AV299</f>
        <v>17.2</v>
      </c>
      <c r="AW486" s="844">
        <f>AW299</f>
        <v>17.2</v>
      </c>
      <c r="AX486" s="793"/>
    </row>
    <row r="487" spans="1:50" s="29" customFormat="1" x14ac:dyDescent="0.45">
      <c r="A487" s="61" t="str">
        <f t="shared" si="386"/>
        <v>Amortization of other intangibles</v>
      </c>
      <c r="B487" s="147"/>
      <c r="C487" s="840">
        <f t="shared" si="387"/>
        <v>1.7829999999999999</v>
      </c>
      <c r="D487" s="840">
        <f t="shared" si="387"/>
        <v>3.2549999999999999</v>
      </c>
      <c r="E487" s="840">
        <f t="shared" si="387"/>
        <v>4.5010000000000003</v>
      </c>
      <c r="F487" s="840">
        <f t="shared" si="387"/>
        <v>7.5590000000000002</v>
      </c>
      <c r="G487" s="841">
        <f t="shared" si="387"/>
        <v>1.8660000000000001</v>
      </c>
      <c r="H487" s="841">
        <f t="shared" si="388"/>
        <v>2.1960000000000002</v>
      </c>
      <c r="I487" s="841">
        <f t="shared" si="388"/>
        <v>2.2779999999999996</v>
      </c>
      <c r="J487" s="841">
        <f t="shared" si="388"/>
        <v>1.9900000000000002</v>
      </c>
      <c r="K487" s="840">
        <f t="shared" si="389"/>
        <v>8.33</v>
      </c>
      <c r="L487" s="841">
        <f t="shared" si="389"/>
        <v>1.841</v>
      </c>
      <c r="M487" s="841">
        <f t="shared" si="390"/>
        <v>1.7670000000000001</v>
      </c>
      <c r="N487" s="841">
        <f t="shared" si="390"/>
        <v>1.7630000000000003</v>
      </c>
      <c r="O487" s="841">
        <f t="shared" si="390"/>
        <v>1.7559999999999993</v>
      </c>
      <c r="P487" s="840">
        <f t="shared" si="391"/>
        <v>7.1269999999999998</v>
      </c>
      <c r="Q487" s="841">
        <f t="shared" si="391"/>
        <v>1.8</v>
      </c>
      <c r="R487" s="841">
        <f t="shared" si="392"/>
        <v>1.8009999999999999</v>
      </c>
      <c r="S487" s="841">
        <f t="shared" si="392"/>
        <v>1.8010000000000002</v>
      </c>
      <c r="T487" s="841">
        <f t="shared" si="392"/>
        <v>5.6119999999999992</v>
      </c>
      <c r="U487" s="840">
        <f t="shared" si="393"/>
        <v>11.013999999999999</v>
      </c>
      <c r="V487" s="841">
        <f t="shared" si="393"/>
        <v>5.7320000000000002</v>
      </c>
      <c r="W487" s="841">
        <f t="shared" si="394"/>
        <v>5.6459999999999999</v>
      </c>
      <c r="X487" s="841">
        <f t="shared" si="394"/>
        <v>5.5749999999999993</v>
      </c>
      <c r="Y487" s="841">
        <f t="shared" si="394"/>
        <v>5.5090000000000003</v>
      </c>
      <c r="Z487" s="840">
        <f t="shared" si="395"/>
        <v>22.462</v>
      </c>
      <c r="AA487" s="841">
        <f t="shared" si="395"/>
        <v>5.4480000000000004</v>
      </c>
      <c r="AB487" s="841">
        <f t="shared" si="396"/>
        <v>5.8189999999999991</v>
      </c>
      <c r="AC487" s="841">
        <f t="shared" si="396"/>
        <v>6.083000000000002</v>
      </c>
      <c r="AD487" s="841">
        <f t="shared" si="396"/>
        <v>6.0299999999999976</v>
      </c>
      <c r="AE487" s="840">
        <f t="shared" si="397"/>
        <v>23.38</v>
      </c>
      <c r="AF487" s="841">
        <f t="shared" si="397"/>
        <v>5.4550000000000001</v>
      </c>
      <c r="AG487" s="841">
        <f t="shared" si="398"/>
        <v>5.4090000000000007</v>
      </c>
      <c r="AH487" s="841">
        <f t="shared" si="398"/>
        <v>5.3159999999999989</v>
      </c>
      <c r="AI487" s="841">
        <f t="shared" si="398"/>
        <v>5.3159999999999989</v>
      </c>
      <c r="AJ487" s="840">
        <f t="shared" si="399"/>
        <v>21.495999999999999</v>
      </c>
      <c r="AK487" s="841">
        <f t="shared" si="399"/>
        <v>5.1529999999999996</v>
      </c>
      <c r="AL487" s="841">
        <f t="shared" si="400"/>
        <v>5.1520000000000001</v>
      </c>
      <c r="AM487" s="842">
        <f t="shared" si="400"/>
        <v>5.6460000000000008</v>
      </c>
      <c r="AN487" s="843">
        <f>AN297</f>
        <v>5.3000000000000007</v>
      </c>
      <c r="AO487" s="844">
        <f t="shared" si="401"/>
        <v>21.251000000000001</v>
      </c>
      <c r="AP487" s="843">
        <f>AP297</f>
        <v>5.3000000000000007</v>
      </c>
      <c r="AQ487" s="843">
        <f>AQ297</f>
        <v>5.3000000000000007</v>
      </c>
      <c r="AR487" s="843">
        <f>AR297</f>
        <v>5.3000000000000007</v>
      </c>
      <c r="AS487" s="843">
        <f>AS297</f>
        <v>5.3000000000000007</v>
      </c>
      <c r="AT487" s="844">
        <f t="shared" si="403"/>
        <v>21.200000000000003</v>
      </c>
      <c r="AU487" s="844">
        <f>AU297</f>
        <v>21.200000000000003</v>
      </c>
      <c r="AV487" s="844">
        <f>AV297</f>
        <v>21.200000000000003</v>
      </c>
      <c r="AW487" s="844">
        <f>AW297</f>
        <v>21.200000000000003</v>
      </c>
      <c r="AX487" s="793"/>
    </row>
    <row r="488" spans="1:50" s="29" customFormat="1" x14ac:dyDescent="0.45">
      <c r="A488" s="111" t="str">
        <f t="shared" si="386"/>
        <v>Amortization of debt issuance costs</v>
      </c>
      <c r="B488" s="149"/>
      <c r="C488" s="882">
        <f t="shared" si="387"/>
        <v>0</v>
      </c>
      <c r="D488" s="882">
        <f t="shared" si="387"/>
        <v>0</v>
      </c>
      <c r="E488" s="882">
        <f t="shared" si="387"/>
        <v>0</v>
      </c>
      <c r="F488" s="882">
        <f t="shared" si="387"/>
        <v>0</v>
      </c>
      <c r="G488" s="861">
        <f t="shared" si="387"/>
        <v>0</v>
      </c>
      <c r="H488" s="861">
        <f t="shared" si="388"/>
        <v>0</v>
      </c>
      <c r="I488" s="861">
        <f t="shared" si="388"/>
        <v>0</v>
      </c>
      <c r="J488" s="861">
        <f t="shared" si="388"/>
        <v>0</v>
      </c>
      <c r="K488" s="882">
        <f t="shared" si="389"/>
        <v>0</v>
      </c>
      <c r="L488" s="861">
        <f t="shared" si="389"/>
        <v>0</v>
      </c>
      <c r="M488" s="861">
        <f t="shared" si="390"/>
        <v>0</v>
      </c>
      <c r="N488" s="861">
        <f t="shared" si="390"/>
        <v>0</v>
      </c>
      <c r="O488" s="861">
        <f t="shared" si="390"/>
        <v>0</v>
      </c>
      <c r="P488" s="882">
        <f t="shared" si="391"/>
        <v>0</v>
      </c>
      <c r="Q488" s="861">
        <f t="shared" si="391"/>
        <v>0</v>
      </c>
      <c r="R488" s="861">
        <f t="shared" si="392"/>
        <v>0</v>
      </c>
      <c r="S488" s="861">
        <f t="shared" si="392"/>
        <v>0</v>
      </c>
      <c r="T488" s="861">
        <f t="shared" si="392"/>
        <v>0.25800000000000001</v>
      </c>
      <c r="U488" s="882">
        <f t="shared" si="393"/>
        <v>0.25800000000000001</v>
      </c>
      <c r="V488" s="861">
        <f t="shared" si="393"/>
        <v>0.26900000000000002</v>
      </c>
      <c r="W488" s="861">
        <f t="shared" si="394"/>
        <v>0.26900000000000002</v>
      </c>
      <c r="X488" s="861">
        <f t="shared" si="394"/>
        <v>0.26900000000000002</v>
      </c>
      <c r="Y488" s="841">
        <f t="shared" si="394"/>
        <v>0.26900000000000002</v>
      </c>
      <c r="Z488" s="840">
        <f t="shared" si="395"/>
        <v>1.0760000000000001</v>
      </c>
      <c r="AA488" s="841">
        <f t="shared" si="395"/>
        <v>0.26900000000000002</v>
      </c>
      <c r="AB488" s="861">
        <f t="shared" si="396"/>
        <v>0.26900000000000002</v>
      </c>
      <c r="AC488" s="861">
        <f t="shared" si="396"/>
        <v>0.26900000000000002</v>
      </c>
      <c r="AD488" s="841">
        <f t="shared" si="396"/>
        <v>0.80300000000000005</v>
      </c>
      <c r="AE488" s="840">
        <f t="shared" si="397"/>
        <v>1.61</v>
      </c>
      <c r="AF488" s="841">
        <f t="shared" si="397"/>
        <v>0.17699999999999999</v>
      </c>
      <c r="AG488" s="861">
        <f t="shared" si="398"/>
        <v>0.17799999999999999</v>
      </c>
      <c r="AH488" s="861">
        <f t="shared" si="398"/>
        <v>0.17700000000000005</v>
      </c>
      <c r="AI488" s="841">
        <f t="shared" si="398"/>
        <v>0.17799999999999994</v>
      </c>
      <c r="AJ488" s="840">
        <f t="shared" si="399"/>
        <v>0.71</v>
      </c>
      <c r="AK488" s="841">
        <f t="shared" si="399"/>
        <v>0.17699999999999999</v>
      </c>
      <c r="AL488" s="861">
        <f t="shared" si="400"/>
        <v>0.17799999999999999</v>
      </c>
      <c r="AM488" s="842">
        <f t="shared" si="400"/>
        <v>0.17700000000000005</v>
      </c>
      <c r="AN488" s="874"/>
      <c r="AO488" s="844">
        <f t="shared" si="401"/>
        <v>0.53200000000000003</v>
      </c>
      <c r="AP488" s="874"/>
      <c r="AQ488" s="874"/>
      <c r="AR488" s="874"/>
      <c r="AS488" s="874"/>
      <c r="AT488" s="844">
        <f t="shared" si="403"/>
        <v>0</v>
      </c>
      <c r="AU488" s="875"/>
      <c r="AV488" s="875"/>
      <c r="AW488" s="875"/>
      <c r="AX488" s="793"/>
    </row>
    <row r="489" spans="1:50" s="29" customFormat="1" x14ac:dyDescent="0.45">
      <c r="A489" s="111" t="str">
        <f t="shared" si="386"/>
        <v>Loss on disposal of equipment and improvements</v>
      </c>
      <c r="B489" s="149"/>
      <c r="C489" s="882">
        <f t="shared" si="387"/>
        <v>0</v>
      </c>
      <c r="D489" s="882">
        <f t="shared" si="387"/>
        <v>-3.3000000000000002E-2</v>
      </c>
      <c r="E489" s="882">
        <f t="shared" si="387"/>
        <v>7.2999999999999995E-2</v>
      </c>
      <c r="F489" s="882">
        <f t="shared" si="387"/>
        <v>0</v>
      </c>
      <c r="G489" s="861">
        <f t="shared" si="387"/>
        <v>0</v>
      </c>
      <c r="H489" s="861">
        <f t="shared" si="388"/>
        <v>0</v>
      </c>
      <c r="I489" s="861">
        <f t="shared" si="388"/>
        <v>0</v>
      </c>
      <c r="J489" s="861">
        <f t="shared" si="388"/>
        <v>0.192</v>
      </c>
      <c r="K489" s="882">
        <f t="shared" si="389"/>
        <v>0.192</v>
      </c>
      <c r="L489" s="861">
        <f t="shared" si="389"/>
        <v>1.2E-2</v>
      </c>
      <c r="M489" s="861">
        <f t="shared" si="390"/>
        <v>0</v>
      </c>
      <c r="N489" s="861">
        <f t="shared" si="390"/>
        <v>0</v>
      </c>
      <c r="O489" s="861">
        <f t="shared" si="390"/>
        <v>3.8999999999999993E-2</v>
      </c>
      <c r="P489" s="882">
        <f t="shared" si="391"/>
        <v>5.0999999999999997E-2</v>
      </c>
      <c r="Q489" s="861">
        <f t="shared" si="391"/>
        <v>0</v>
      </c>
      <c r="R489" s="861">
        <f t="shared" si="392"/>
        <v>8.1000000000000003E-2</v>
      </c>
      <c r="S489" s="861">
        <f t="shared" si="392"/>
        <v>7.6999999999999999E-2</v>
      </c>
      <c r="T489" s="861">
        <f t="shared" si="392"/>
        <v>4.6999999999999986E-2</v>
      </c>
      <c r="U489" s="882">
        <f t="shared" si="393"/>
        <v>0.20499999999999999</v>
      </c>
      <c r="V489" s="861">
        <f t="shared" si="393"/>
        <v>0.04</v>
      </c>
      <c r="W489" s="861">
        <f t="shared" si="394"/>
        <v>0.13499999999999998</v>
      </c>
      <c r="X489" s="861">
        <f t="shared" si="394"/>
        <v>0.27700000000000002</v>
      </c>
      <c r="Y489" s="841">
        <f t="shared" si="394"/>
        <v>7.8000000000000014E-2</v>
      </c>
      <c r="Z489" s="840">
        <f t="shared" si="395"/>
        <v>0.53</v>
      </c>
      <c r="AA489" s="841">
        <f t="shared" si="395"/>
        <v>1.6E-2</v>
      </c>
      <c r="AB489" s="861">
        <f t="shared" si="396"/>
        <v>2.8999999999999998E-2</v>
      </c>
      <c r="AC489" s="861">
        <f t="shared" si="396"/>
        <v>0.105</v>
      </c>
      <c r="AD489" s="841">
        <f t="shared" si="396"/>
        <v>1.9000000000000017E-2</v>
      </c>
      <c r="AE489" s="840">
        <f t="shared" si="397"/>
        <v>0.16900000000000001</v>
      </c>
      <c r="AF489" s="841">
        <f t="shared" si="397"/>
        <v>0.106</v>
      </c>
      <c r="AG489" s="861">
        <f t="shared" si="398"/>
        <v>0</v>
      </c>
      <c r="AH489" s="861">
        <f t="shared" si="398"/>
        <v>8.8000000000000009E-2</v>
      </c>
      <c r="AI489" s="841">
        <f t="shared" si="398"/>
        <v>0</v>
      </c>
      <c r="AJ489" s="840">
        <f t="shared" si="399"/>
        <v>0.19400000000000001</v>
      </c>
      <c r="AK489" s="841">
        <f t="shared" si="399"/>
        <v>4.1000000000000002E-2</v>
      </c>
      <c r="AL489" s="861">
        <f t="shared" si="400"/>
        <v>0</v>
      </c>
      <c r="AM489" s="842">
        <f t="shared" si="400"/>
        <v>0</v>
      </c>
      <c r="AN489" s="874"/>
      <c r="AO489" s="844">
        <f t="shared" si="401"/>
        <v>4.1000000000000002E-2</v>
      </c>
      <c r="AP489" s="874"/>
      <c r="AQ489" s="874"/>
      <c r="AR489" s="874"/>
      <c r="AS489" s="874"/>
      <c r="AT489" s="844">
        <f t="shared" si="403"/>
        <v>0</v>
      </c>
      <c r="AU489" s="875"/>
      <c r="AV489" s="875"/>
      <c r="AW489" s="875"/>
      <c r="AX489" s="793"/>
    </row>
    <row r="490" spans="1:50" s="29" customFormat="1" x14ac:dyDescent="0.45">
      <c r="A490" s="111" t="str">
        <f t="shared" si="386"/>
        <v>Non-cash operating lease costs</v>
      </c>
      <c r="B490" s="149"/>
      <c r="C490" s="882">
        <f t="shared" si="387"/>
        <v>0</v>
      </c>
      <c r="D490" s="882">
        <f t="shared" si="387"/>
        <v>0</v>
      </c>
      <c r="E490" s="882">
        <f t="shared" si="387"/>
        <v>0</v>
      </c>
      <c r="F490" s="882">
        <f t="shared" si="387"/>
        <v>0</v>
      </c>
      <c r="G490" s="861">
        <f t="shared" si="387"/>
        <v>0</v>
      </c>
      <c r="H490" s="861">
        <f t="shared" si="388"/>
        <v>0</v>
      </c>
      <c r="I490" s="861">
        <f t="shared" si="388"/>
        <v>0</v>
      </c>
      <c r="J490" s="861">
        <f t="shared" si="388"/>
        <v>0</v>
      </c>
      <c r="K490" s="882">
        <f t="shared" si="389"/>
        <v>0</v>
      </c>
      <c r="L490" s="861">
        <f t="shared" si="389"/>
        <v>0</v>
      </c>
      <c r="M490" s="861">
        <f t="shared" si="390"/>
        <v>0</v>
      </c>
      <c r="N490" s="861">
        <f t="shared" si="390"/>
        <v>0</v>
      </c>
      <c r="O490" s="861">
        <f t="shared" si="390"/>
        <v>0</v>
      </c>
      <c r="P490" s="882">
        <f t="shared" si="391"/>
        <v>0</v>
      </c>
      <c r="Q490" s="861">
        <f t="shared" si="391"/>
        <v>0</v>
      </c>
      <c r="R490" s="861">
        <f t="shared" si="392"/>
        <v>0</v>
      </c>
      <c r="S490" s="861">
        <f t="shared" si="392"/>
        <v>0</v>
      </c>
      <c r="T490" s="861">
        <f t="shared" si="392"/>
        <v>0</v>
      </c>
      <c r="U490" s="882">
        <f t="shared" si="393"/>
        <v>0</v>
      </c>
      <c r="V490" s="861">
        <f t="shared" si="393"/>
        <v>0</v>
      </c>
      <c r="W490" s="861">
        <f t="shared" si="394"/>
        <v>0</v>
      </c>
      <c r="X490" s="861">
        <f t="shared" si="394"/>
        <v>0</v>
      </c>
      <c r="Y490" s="841">
        <f t="shared" si="394"/>
        <v>0</v>
      </c>
      <c r="Z490" s="840">
        <f t="shared" si="395"/>
        <v>0</v>
      </c>
      <c r="AA490" s="841">
        <f t="shared" si="395"/>
        <v>0</v>
      </c>
      <c r="AB490" s="861">
        <f t="shared" si="396"/>
        <v>0</v>
      </c>
      <c r="AC490" s="861">
        <f t="shared" si="396"/>
        <v>0</v>
      </c>
      <c r="AD490" s="841">
        <f t="shared" si="396"/>
        <v>0</v>
      </c>
      <c r="AE490" s="840">
        <f t="shared" si="397"/>
        <v>0</v>
      </c>
      <c r="AF490" s="841">
        <f t="shared" si="397"/>
        <v>0</v>
      </c>
      <c r="AG490" s="861">
        <f t="shared" si="398"/>
        <v>0</v>
      </c>
      <c r="AH490" s="861">
        <f t="shared" si="398"/>
        <v>0</v>
      </c>
      <c r="AI490" s="841">
        <f t="shared" si="398"/>
        <v>0</v>
      </c>
      <c r="AJ490" s="840">
        <f t="shared" si="399"/>
        <v>0</v>
      </c>
      <c r="AK490" s="841">
        <f t="shared" si="399"/>
        <v>1.8149999999999999</v>
      </c>
      <c r="AL490" s="861">
        <f t="shared" si="400"/>
        <v>2.0270000000000001</v>
      </c>
      <c r="AM490" s="842">
        <f t="shared" si="400"/>
        <v>2.4119999999999995</v>
      </c>
      <c r="AN490" s="874"/>
      <c r="AO490" s="844">
        <f t="shared" si="401"/>
        <v>6.2539999999999996</v>
      </c>
      <c r="AP490" s="874"/>
      <c r="AQ490" s="874"/>
      <c r="AR490" s="874"/>
      <c r="AS490" s="874"/>
      <c r="AT490" s="844">
        <f t="shared" si="403"/>
        <v>0</v>
      </c>
      <c r="AU490" s="875"/>
      <c r="AV490" s="875"/>
      <c r="AW490" s="875"/>
      <c r="AX490" s="793"/>
    </row>
    <row r="491" spans="1:50" s="29" customFormat="1" x14ac:dyDescent="0.45">
      <c r="A491" s="111" t="str">
        <f t="shared" si="386"/>
        <v>Provision for bad debts</v>
      </c>
      <c r="B491" s="149"/>
      <c r="C491" s="882">
        <f t="shared" si="387"/>
        <v>3.4649999999999999</v>
      </c>
      <c r="D491" s="882">
        <f t="shared" si="387"/>
        <v>3.78</v>
      </c>
      <c r="E491" s="882">
        <f t="shared" si="387"/>
        <v>5.7149999999999999</v>
      </c>
      <c r="F491" s="882">
        <f t="shared" si="387"/>
        <v>6.8849999999999998</v>
      </c>
      <c r="G491" s="861">
        <f t="shared" si="387"/>
        <v>1.8049999999999999</v>
      </c>
      <c r="H491" s="861">
        <f t="shared" si="388"/>
        <v>1.9110000000000003</v>
      </c>
      <c r="I491" s="861">
        <f t="shared" si="388"/>
        <v>-0.92500000000000027</v>
      </c>
      <c r="J491" s="861">
        <f t="shared" si="388"/>
        <v>-1.3239999999999998</v>
      </c>
      <c r="K491" s="882">
        <f t="shared" si="389"/>
        <v>1.4670000000000001</v>
      </c>
      <c r="L491" s="861">
        <f t="shared" si="389"/>
        <v>-1.1359999999999999</v>
      </c>
      <c r="M491" s="861">
        <f t="shared" si="390"/>
        <v>0.24499999999999988</v>
      </c>
      <c r="N491" s="861">
        <f t="shared" si="390"/>
        <v>0.92900000000000005</v>
      </c>
      <c r="O491" s="861">
        <f t="shared" si="390"/>
        <v>0.81699999999999995</v>
      </c>
      <c r="P491" s="882">
        <f t="shared" si="391"/>
        <v>0.85499999999999998</v>
      </c>
      <c r="Q491" s="861">
        <f t="shared" si="391"/>
        <v>0.57499999999999996</v>
      </c>
      <c r="R491" s="861">
        <f t="shared" si="392"/>
        <v>0.38800000000000001</v>
      </c>
      <c r="S491" s="861">
        <f t="shared" si="392"/>
        <v>1.1440000000000001</v>
      </c>
      <c r="T491" s="861">
        <f t="shared" si="392"/>
        <v>1.4659999999999997</v>
      </c>
      <c r="U491" s="882">
        <f t="shared" si="393"/>
        <v>3.573</v>
      </c>
      <c r="V491" s="861">
        <f t="shared" si="393"/>
        <v>0.76200000000000001</v>
      </c>
      <c r="W491" s="861">
        <f t="shared" si="394"/>
        <v>1.2070000000000001</v>
      </c>
      <c r="X491" s="861">
        <f t="shared" si="394"/>
        <v>0.53400000000000003</v>
      </c>
      <c r="Y491" s="841">
        <f t="shared" si="394"/>
        <v>2.5789999999999997</v>
      </c>
      <c r="Z491" s="840">
        <f t="shared" si="395"/>
        <v>5.0819999999999999</v>
      </c>
      <c r="AA491" s="841">
        <f t="shared" si="395"/>
        <v>2.0910000000000002</v>
      </c>
      <c r="AB491" s="861">
        <f t="shared" si="396"/>
        <v>1.7769999999999997</v>
      </c>
      <c r="AC491" s="861">
        <f t="shared" si="396"/>
        <v>1.2159999999999997</v>
      </c>
      <c r="AD491" s="841">
        <f t="shared" si="396"/>
        <v>0.82900000000000063</v>
      </c>
      <c r="AE491" s="840">
        <f t="shared" si="397"/>
        <v>5.9130000000000003</v>
      </c>
      <c r="AF491" s="841">
        <f t="shared" si="397"/>
        <v>0.79200000000000004</v>
      </c>
      <c r="AG491" s="861">
        <f t="shared" si="398"/>
        <v>0.59299999999999997</v>
      </c>
      <c r="AH491" s="861">
        <f t="shared" si="398"/>
        <v>1.3550000000000002</v>
      </c>
      <c r="AI491" s="841">
        <f t="shared" si="398"/>
        <v>2.9039999999999999</v>
      </c>
      <c r="AJ491" s="840">
        <f t="shared" si="399"/>
        <v>5.6440000000000001</v>
      </c>
      <c r="AK491" s="841">
        <f t="shared" si="399"/>
        <v>0.60599999999999998</v>
      </c>
      <c r="AL491" s="861">
        <f t="shared" si="400"/>
        <v>1.0289999999999999</v>
      </c>
      <c r="AM491" s="842">
        <f t="shared" si="400"/>
        <v>0.79100000000000015</v>
      </c>
      <c r="AN491" s="874"/>
      <c r="AO491" s="844">
        <f t="shared" si="401"/>
        <v>2.4260000000000002</v>
      </c>
      <c r="AP491" s="874"/>
      <c r="AQ491" s="874"/>
      <c r="AR491" s="874"/>
      <c r="AS491" s="874"/>
      <c r="AT491" s="844">
        <f t="shared" si="403"/>
        <v>0</v>
      </c>
      <c r="AU491" s="875"/>
      <c r="AV491" s="875"/>
      <c r="AW491" s="875"/>
      <c r="AX491" s="793"/>
    </row>
    <row r="492" spans="1:50" s="29" customFormat="1" x14ac:dyDescent="0.45">
      <c r="A492" s="111" t="str">
        <f t="shared" si="386"/>
        <v>Provision for inventory obsolescence</v>
      </c>
      <c r="B492" s="149"/>
      <c r="C492" s="882">
        <f t="shared" si="387"/>
        <v>2.7E-2</v>
      </c>
      <c r="D492" s="882">
        <f t="shared" si="387"/>
        <v>2.7E-2</v>
      </c>
      <c r="E492" s="882">
        <f t="shared" si="387"/>
        <v>4.2999999999999997E-2</v>
      </c>
      <c r="F492" s="882">
        <f t="shared" si="387"/>
        <v>0.193</v>
      </c>
      <c r="G492" s="861">
        <f t="shared" si="387"/>
        <v>0</v>
      </c>
      <c r="H492" s="861">
        <f t="shared" si="388"/>
        <v>0</v>
      </c>
      <c r="I492" s="861">
        <f t="shared" si="388"/>
        <v>0</v>
      </c>
      <c r="J492" s="861">
        <f t="shared" si="388"/>
        <v>0</v>
      </c>
      <c r="K492" s="882">
        <f t="shared" si="389"/>
        <v>0</v>
      </c>
      <c r="L492" s="861">
        <f t="shared" si="389"/>
        <v>8.9999999999999993E-3</v>
      </c>
      <c r="M492" s="861">
        <f t="shared" si="390"/>
        <v>5.2999999999999999E-2</v>
      </c>
      <c r="N492" s="861">
        <f t="shared" si="390"/>
        <v>8.9999999999999941E-3</v>
      </c>
      <c r="O492" s="861">
        <f t="shared" si="390"/>
        <v>-4.5999999999999992E-2</v>
      </c>
      <c r="P492" s="882">
        <f t="shared" si="391"/>
        <v>2.5000000000000001E-2</v>
      </c>
      <c r="Q492" s="861">
        <f t="shared" si="391"/>
        <v>5.7000000000000002E-2</v>
      </c>
      <c r="R492" s="861">
        <f t="shared" si="392"/>
        <v>3.4999999999999996E-2</v>
      </c>
      <c r="S492" s="861">
        <f t="shared" si="392"/>
        <v>2.5999999999999995E-2</v>
      </c>
      <c r="T492" s="861">
        <f t="shared" si="392"/>
        <v>-6.9999999999999993E-2</v>
      </c>
      <c r="U492" s="882">
        <f t="shared" si="393"/>
        <v>4.8000000000000001E-2</v>
      </c>
      <c r="V492" s="861">
        <f t="shared" si="393"/>
        <v>0.13</v>
      </c>
      <c r="W492" s="861">
        <f t="shared" si="394"/>
        <v>9.4E-2</v>
      </c>
      <c r="X492" s="861">
        <f t="shared" si="394"/>
        <v>0.14499999999999999</v>
      </c>
      <c r="Y492" s="841">
        <f t="shared" si="394"/>
        <v>4.8999999999999988E-2</v>
      </c>
      <c r="Z492" s="840">
        <f t="shared" si="395"/>
        <v>0.41799999999999998</v>
      </c>
      <c r="AA492" s="841">
        <f t="shared" si="395"/>
        <v>0.02</v>
      </c>
      <c r="AB492" s="861">
        <f t="shared" si="396"/>
        <v>1.5999999999999997E-2</v>
      </c>
      <c r="AC492" s="861">
        <f t="shared" si="396"/>
        <v>1.9000000000000003E-2</v>
      </c>
      <c r="AD492" s="841">
        <f t="shared" si="396"/>
        <v>-4.0000000000000036E-3</v>
      </c>
      <c r="AE492" s="840">
        <f t="shared" si="397"/>
        <v>5.0999999999999997E-2</v>
      </c>
      <c r="AF492" s="841">
        <f t="shared" si="397"/>
        <v>0.01</v>
      </c>
      <c r="AG492" s="861">
        <f t="shared" si="398"/>
        <v>9.9999999999999915E-4</v>
      </c>
      <c r="AH492" s="861">
        <f t="shared" si="398"/>
        <v>-2.9999999999999992E-3</v>
      </c>
      <c r="AI492" s="841">
        <f t="shared" si="398"/>
        <v>-1.8000000000000002E-2</v>
      </c>
      <c r="AJ492" s="840">
        <f t="shared" si="399"/>
        <v>-0.01</v>
      </c>
      <c r="AK492" s="841">
        <f t="shared" si="399"/>
        <v>0</v>
      </c>
      <c r="AL492" s="861">
        <f t="shared" si="400"/>
        <v>6.0000000000000001E-3</v>
      </c>
      <c r="AM492" s="842">
        <f t="shared" si="400"/>
        <v>0</v>
      </c>
      <c r="AN492" s="874"/>
      <c r="AO492" s="844">
        <f t="shared" si="401"/>
        <v>6.0000000000000001E-3</v>
      </c>
      <c r="AP492" s="874"/>
      <c r="AQ492" s="874"/>
      <c r="AR492" s="874"/>
      <c r="AS492" s="874"/>
      <c r="AT492" s="844">
        <f t="shared" si="403"/>
        <v>0</v>
      </c>
      <c r="AU492" s="875"/>
      <c r="AV492" s="875"/>
      <c r="AW492" s="875"/>
      <c r="AX492" s="793"/>
    </row>
    <row r="493" spans="1:50" s="29" customFormat="1" x14ac:dyDescent="0.45">
      <c r="A493" s="111" t="str">
        <f t="shared" si="386"/>
        <v>Share-based compensation</v>
      </c>
      <c r="B493" s="149"/>
      <c r="C493" s="882">
        <f t="shared" si="387"/>
        <v>2.073</v>
      </c>
      <c r="D493" s="882">
        <f t="shared" si="387"/>
        <v>3.7480000000000002</v>
      </c>
      <c r="E493" s="882">
        <f t="shared" si="387"/>
        <v>3.3210000000000002</v>
      </c>
      <c r="F493" s="882">
        <f t="shared" si="387"/>
        <v>2.327</v>
      </c>
      <c r="G493" s="861">
        <f t="shared" si="387"/>
        <v>0.54100000000000004</v>
      </c>
      <c r="H493" s="861">
        <f t="shared" si="388"/>
        <v>0.58399999999999996</v>
      </c>
      <c r="I493" s="861">
        <f t="shared" si="388"/>
        <v>0.70700000000000007</v>
      </c>
      <c r="J493" s="861">
        <f t="shared" si="388"/>
        <v>0.65800000000000014</v>
      </c>
      <c r="K493" s="882">
        <f t="shared" si="389"/>
        <v>2.4900000000000002</v>
      </c>
      <c r="L493" s="861">
        <f t="shared" si="389"/>
        <v>0.79</v>
      </c>
      <c r="M493" s="861">
        <f t="shared" si="390"/>
        <v>0.86699999999999999</v>
      </c>
      <c r="N493" s="861">
        <f t="shared" si="390"/>
        <v>0.96999999999999975</v>
      </c>
      <c r="O493" s="861">
        <f t="shared" si="390"/>
        <v>0.8450000000000002</v>
      </c>
      <c r="P493" s="882">
        <f t="shared" si="391"/>
        <v>3.472</v>
      </c>
      <c r="Q493" s="861">
        <f t="shared" si="391"/>
        <v>0.68400000000000005</v>
      </c>
      <c r="R493" s="861">
        <f t="shared" si="392"/>
        <v>0.90099999999999991</v>
      </c>
      <c r="S493" s="861">
        <f t="shared" si="392"/>
        <v>0.74299999999999988</v>
      </c>
      <c r="T493" s="861">
        <f t="shared" si="392"/>
        <v>0.96700000000000008</v>
      </c>
      <c r="U493" s="882">
        <f t="shared" si="393"/>
        <v>3.2949999999999999</v>
      </c>
      <c r="V493" s="861">
        <f t="shared" si="393"/>
        <v>1.2589999999999999</v>
      </c>
      <c r="W493" s="861">
        <f t="shared" si="394"/>
        <v>1.9180000000000001</v>
      </c>
      <c r="X493" s="861">
        <f t="shared" si="394"/>
        <v>1.9999999999999996</v>
      </c>
      <c r="Y493" s="841">
        <f t="shared" si="394"/>
        <v>2.4210000000000003</v>
      </c>
      <c r="Z493" s="840">
        <f t="shared" si="395"/>
        <v>7.5979999999999999</v>
      </c>
      <c r="AA493" s="841">
        <f t="shared" si="395"/>
        <v>2.0409999999999999</v>
      </c>
      <c r="AB493" s="861">
        <f t="shared" si="396"/>
        <v>3.0909999999999997</v>
      </c>
      <c r="AC493" s="861">
        <f t="shared" si="396"/>
        <v>3.4530000000000012</v>
      </c>
      <c r="AD493" s="841">
        <f t="shared" si="396"/>
        <v>3.7119999999999997</v>
      </c>
      <c r="AE493" s="840">
        <f t="shared" si="397"/>
        <v>12.297000000000001</v>
      </c>
      <c r="AF493" s="841">
        <f t="shared" si="397"/>
        <v>3.1160000000000001</v>
      </c>
      <c r="AG493" s="861">
        <f t="shared" si="398"/>
        <v>4.1349999999999998</v>
      </c>
      <c r="AH493" s="861">
        <f t="shared" si="398"/>
        <v>4.6979999999999995</v>
      </c>
      <c r="AI493" s="841">
        <f t="shared" si="398"/>
        <v>4.1530000000000005</v>
      </c>
      <c r="AJ493" s="840">
        <f t="shared" si="399"/>
        <v>16.102</v>
      </c>
      <c r="AK493" s="841">
        <f t="shared" si="399"/>
        <v>4.891</v>
      </c>
      <c r="AL493" s="861">
        <f t="shared" si="400"/>
        <v>4.3160000000000007</v>
      </c>
      <c r="AM493" s="842">
        <f t="shared" si="400"/>
        <v>4.6209999999999987</v>
      </c>
      <c r="AN493" s="862">
        <f>AN317</f>
        <v>4.5999999999999996</v>
      </c>
      <c r="AO493" s="844">
        <f t="shared" si="401"/>
        <v>18.427999999999997</v>
      </c>
      <c r="AP493" s="862">
        <f t="shared" ref="AP493:AS493" si="407">AP317</f>
        <v>4.5999999999999996</v>
      </c>
      <c r="AQ493" s="862">
        <f t="shared" si="407"/>
        <v>4.5999999999999996</v>
      </c>
      <c r="AR493" s="862">
        <f t="shared" si="407"/>
        <v>4.5999999999999996</v>
      </c>
      <c r="AS493" s="862">
        <f t="shared" si="407"/>
        <v>4.5999999999999996</v>
      </c>
      <c r="AT493" s="844">
        <f t="shared" si="403"/>
        <v>18.399999999999999</v>
      </c>
      <c r="AU493" s="863">
        <f t="shared" ref="AU493:AW493" si="408">AU317</f>
        <v>18.399999999999999</v>
      </c>
      <c r="AV493" s="863">
        <f t="shared" si="408"/>
        <v>18.399999999999999</v>
      </c>
      <c r="AW493" s="863">
        <f t="shared" si="408"/>
        <v>18.399999999999999</v>
      </c>
      <c r="AX493" s="793"/>
    </row>
    <row r="494" spans="1:50" s="29" customFormat="1" x14ac:dyDescent="0.45">
      <c r="A494" s="111" t="str">
        <f t="shared" si="386"/>
        <v>Deferred income taxes</v>
      </c>
      <c r="B494" s="149"/>
      <c r="C494" s="882">
        <f t="shared" ref="C494:G499" si="409">C430</f>
        <v>-0.78600000000000003</v>
      </c>
      <c r="D494" s="882">
        <f t="shared" si="409"/>
        <v>-4.194</v>
      </c>
      <c r="E494" s="882">
        <f t="shared" si="409"/>
        <v>-8.0250000000000004</v>
      </c>
      <c r="F494" s="882">
        <f t="shared" si="409"/>
        <v>-9.5649999999999995</v>
      </c>
      <c r="G494" s="861">
        <f t="shared" si="409"/>
        <v>0.51700000000000002</v>
      </c>
      <c r="H494" s="861">
        <f t="shared" si="388"/>
        <v>0.30899999999999994</v>
      </c>
      <c r="I494" s="861">
        <f t="shared" si="388"/>
        <v>7.0000000000000062E-2</v>
      </c>
      <c r="J494" s="861">
        <f t="shared" si="388"/>
        <v>-4.88</v>
      </c>
      <c r="K494" s="882">
        <f t="shared" si="389"/>
        <v>-3.984</v>
      </c>
      <c r="L494" s="861">
        <f t="shared" si="389"/>
        <v>1.6E-2</v>
      </c>
      <c r="M494" s="861">
        <f t="shared" si="390"/>
        <v>1.4999999999999999E-2</v>
      </c>
      <c r="N494" s="861">
        <f t="shared" si="390"/>
        <v>-5.1000000000000004E-2</v>
      </c>
      <c r="O494" s="861">
        <f t="shared" si="390"/>
        <v>-12.041</v>
      </c>
      <c r="P494" s="882">
        <f t="shared" si="391"/>
        <v>-12.061</v>
      </c>
      <c r="Q494" s="861">
        <f t="shared" si="391"/>
        <v>8.1000000000000003E-2</v>
      </c>
      <c r="R494" s="861">
        <f t="shared" si="392"/>
        <v>0.38700000000000001</v>
      </c>
      <c r="S494" s="861">
        <f t="shared" si="392"/>
        <v>0.27299999999999996</v>
      </c>
      <c r="T494" s="861">
        <f t="shared" si="392"/>
        <v>9.2889999999999997</v>
      </c>
      <c r="U494" s="882">
        <f t="shared" si="393"/>
        <v>10.029999999999999</v>
      </c>
      <c r="V494" s="861">
        <f t="shared" si="393"/>
        <v>0.04</v>
      </c>
      <c r="W494" s="861">
        <f t="shared" si="394"/>
        <v>0.13999999999999999</v>
      </c>
      <c r="X494" s="861">
        <f t="shared" si="394"/>
        <v>1.1870000000000001</v>
      </c>
      <c r="Y494" s="841">
        <f t="shared" si="394"/>
        <v>-1.496</v>
      </c>
      <c r="Z494" s="840">
        <f t="shared" si="395"/>
        <v>-0.129</v>
      </c>
      <c r="AA494" s="841">
        <f t="shared" si="395"/>
        <v>0</v>
      </c>
      <c r="AB494" s="861">
        <f t="shared" si="396"/>
        <v>1.7999999999999999E-2</v>
      </c>
      <c r="AC494" s="861">
        <f t="shared" si="396"/>
        <v>3.0920000000000001</v>
      </c>
      <c r="AD494" s="841">
        <f t="shared" si="396"/>
        <v>-2.798</v>
      </c>
      <c r="AE494" s="840">
        <f t="shared" si="397"/>
        <v>0.312</v>
      </c>
      <c r="AF494" s="841">
        <f t="shared" si="397"/>
        <v>8.5999999999999993E-2</v>
      </c>
      <c r="AG494" s="861">
        <f t="shared" si="398"/>
        <v>8.8999999999999996E-2</v>
      </c>
      <c r="AH494" s="861">
        <f t="shared" si="398"/>
        <v>-0.153</v>
      </c>
      <c r="AI494" s="841">
        <f t="shared" si="398"/>
        <v>0.223</v>
      </c>
      <c r="AJ494" s="840">
        <f t="shared" si="399"/>
        <v>0.245</v>
      </c>
      <c r="AK494" s="841">
        <f t="shared" si="399"/>
        <v>-1.2999999999999999E-2</v>
      </c>
      <c r="AL494" s="861">
        <f t="shared" si="400"/>
        <v>4.1000000000000002E-2</v>
      </c>
      <c r="AM494" s="842">
        <f t="shared" si="400"/>
        <v>9.9999999999999985E-3</v>
      </c>
      <c r="AN494" s="862">
        <f>AN331</f>
        <v>0</v>
      </c>
      <c r="AO494" s="844">
        <f t="shared" si="401"/>
        <v>3.8000000000000006E-2</v>
      </c>
      <c r="AP494" s="862">
        <f t="shared" ref="AP494:AS494" ca="1" si="410">AP331</f>
        <v>0</v>
      </c>
      <c r="AQ494" s="862">
        <f t="shared" ca="1" si="410"/>
        <v>0</v>
      </c>
      <c r="AR494" s="862">
        <f t="shared" ca="1" si="410"/>
        <v>0</v>
      </c>
      <c r="AS494" s="862">
        <f t="shared" ca="1" si="410"/>
        <v>0</v>
      </c>
      <c r="AT494" s="844">
        <f t="shared" ca="1" si="403"/>
        <v>0</v>
      </c>
      <c r="AU494" s="863">
        <f t="shared" ref="AU494:AW494" ca="1" si="411">AU331</f>
        <v>0</v>
      </c>
      <c r="AV494" s="863">
        <f t="shared" ca="1" si="411"/>
        <v>0</v>
      </c>
      <c r="AW494" s="863">
        <f t="shared" ca="1" si="411"/>
        <v>0</v>
      </c>
      <c r="AX494" s="793"/>
    </row>
    <row r="495" spans="1:50" s="29" customFormat="1" x14ac:dyDescent="0.45">
      <c r="A495" s="111" t="str">
        <f t="shared" si="386"/>
        <v>Excess tax benefit from share-based compensation</v>
      </c>
      <c r="B495" s="149"/>
      <c r="C495" s="882">
        <f t="shared" si="409"/>
        <v>0</v>
      </c>
      <c r="D495" s="882">
        <f t="shared" si="409"/>
        <v>-1.524</v>
      </c>
      <c r="E495" s="882">
        <f t="shared" si="409"/>
        <v>-4.1449999999999996</v>
      </c>
      <c r="F495" s="882">
        <f t="shared" si="409"/>
        <v>0.157</v>
      </c>
      <c r="G495" s="861">
        <f t="shared" si="409"/>
        <v>-0.05</v>
      </c>
      <c r="H495" s="861">
        <f t="shared" si="388"/>
        <v>-1.1999999999999997E-2</v>
      </c>
      <c r="I495" s="861">
        <f t="shared" si="388"/>
        <v>0</v>
      </c>
      <c r="J495" s="861">
        <f t="shared" si="388"/>
        <v>-0.121</v>
      </c>
      <c r="K495" s="882">
        <f t="shared" si="389"/>
        <v>-0.183</v>
      </c>
      <c r="L495" s="861">
        <f t="shared" si="389"/>
        <v>0</v>
      </c>
      <c r="M495" s="861">
        <f t="shared" si="390"/>
        <v>0</v>
      </c>
      <c r="N495" s="861">
        <f t="shared" si="390"/>
        <v>0</v>
      </c>
      <c r="O495" s="861">
        <f t="shared" si="390"/>
        <v>0</v>
      </c>
      <c r="P495" s="882">
        <f t="shared" si="391"/>
        <v>0</v>
      </c>
      <c r="Q495" s="861">
        <f t="shared" si="391"/>
        <v>0</v>
      </c>
      <c r="R495" s="861">
        <f t="shared" si="392"/>
        <v>0</v>
      </c>
      <c r="S495" s="861">
        <f t="shared" si="392"/>
        <v>0</v>
      </c>
      <c r="T495" s="861">
        <f t="shared" si="392"/>
        <v>0</v>
      </c>
      <c r="U495" s="882">
        <f t="shared" si="393"/>
        <v>0</v>
      </c>
      <c r="V495" s="861">
        <f t="shared" si="393"/>
        <v>0</v>
      </c>
      <c r="W495" s="861">
        <f t="shared" si="394"/>
        <v>0</v>
      </c>
      <c r="X495" s="861">
        <f t="shared" si="394"/>
        <v>0</v>
      </c>
      <c r="Y495" s="841">
        <f t="shared" si="394"/>
        <v>0</v>
      </c>
      <c r="Z495" s="840">
        <f t="shared" si="395"/>
        <v>0</v>
      </c>
      <c r="AA495" s="841">
        <f t="shared" si="395"/>
        <v>0.42</v>
      </c>
      <c r="AB495" s="861">
        <f t="shared" si="396"/>
        <v>-7.400000000000001E-2</v>
      </c>
      <c r="AC495" s="861">
        <f t="shared" si="396"/>
        <v>-1.799999999999996E-2</v>
      </c>
      <c r="AD495" s="841">
        <f t="shared" si="396"/>
        <v>0</v>
      </c>
      <c r="AE495" s="840">
        <f t="shared" si="397"/>
        <v>0.32800000000000001</v>
      </c>
      <c r="AF495" s="841">
        <f t="shared" si="397"/>
        <v>-3.3000000000000002E-2</v>
      </c>
      <c r="AG495" s="861">
        <f t="shared" si="398"/>
        <v>-0.22700000000000001</v>
      </c>
      <c r="AH495" s="861">
        <f t="shared" si="398"/>
        <v>-5.2999999999999992E-2</v>
      </c>
      <c r="AI495" s="841">
        <f t="shared" si="398"/>
        <v>-5.1999999999999991E-2</v>
      </c>
      <c r="AJ495" s="840">
        <f t="shared" si="399"/>
        <v>-0.36499999999999999</v>
      </c>
      <c r="AK495" s="841">
        <f t="shared" si="399"/>
        <v>-0.189</v>
      </c>
      <c r="AL495" s="861">
        <f t="shared" si="400"/>
        <v>0.13900000000000001</v>
      </c>
      <c r="AM495" s="842">
        <f t="shared" si="400"/>
        <v>4.0000000000000036E-3</v>
      </c>
      <c r="AN495" s="874"/>
      <c r="AO495" s="844">
        <f t="shared" si="401"/>
        <v>-4.5999999999999985E-2</v>
      </c>
      <c r="AP495" s="874"/>
      <c r="AQ495" s="874"/>
      <c r="AR495" s="874"/>
      <c r="AS495" s="874"/>
      <c r="AT495" s="844">
        <f t="shared" si="403"/>
        <v>0</v>
      </c>
      <c r="AU495" s="875"/>
      <c r="AV495" s="875"/>
      <c r="AW495" s="875"/>
      <c r="AX495" s="793"/>
    </row>
    <row r="496" spans="1:50" s="29" customFormat="1" x14ac:dyDescent="0.45">
      <c r="A496" s="111" t="str">
        <f t="shared" si="386"/>
        <v>Change in fair value of contingent consideration</v>
      </c>
      <c r="B496" s="149"/>
      <c r="C496" s="882">
        <f t="shared" si="409"/>
        <v>0</v>
      </c>
      <c r="D496" s="882">
        <f t="shared" si="409"/>
        <v>0.78900000000000003</v>
      </c>
      <c r="E496" s="882">
        <f t="shared" si="409"/>
        <v>0</v>
      </c>
      <c r="F496" s="882">
        <f t="shared" si="409"/>
        <v>1.272</v>
      </c>
      <c r="G496" s="861">
        <f t="shared" si="409"/>
        <v>4.5999999999999999E-2</v>
      </c>
      <c r="H496" s="861">
        <f t="shared" si="388"/>
        <v>-0.13500000000000001</v>
      </c>
      <c r="I496" s="861">
        <f t="shared" si="388"/>
        <v>-0.29500000000000004</v>
      </c>
      <c r="J496" s="861">
        <f t="shared" si="388"/>
        <v>0.48499999999999999</v>
      </c>
      <c r="K496" s="882">
        <f t="shared" si="389"/>
        <v>0.10100000000000001</v>
      </c>
      <c r="L496" s="861">
        <f t="shared" si="389"/>
        <v>0.60399999999999998</v>
      </c>
      <c r="M496" s="861">
        <f t="shared" si="390"/>
        <v>0.4</v>
      </c>
      <c r="N496" s="861">
        <f t="shared" si="390"/>
        <v>0.52899999999999991</v>
      </c>
      <c r="O496" s="861">
        <f t="shared" si="390"/>
        <v>0.40400000000000014</v>
      </c>
      <c r="P496" s="882">
        <f t="shared" si="391"/>
        <v>1.9370000000000001</v>
      </c>
      <c r="Q496" s="861">
        <f t="shared" si="391"/>
        <v>0.40300000000000002</v>
      </c>
      <c r="R496" s="861">
        <f t="shared" si="392"/>
        <v>0.41899999999999993</v>
      </c>
      <c r="S496" s="861">
        <f t="shared" si="392"/>
        <v>0.37900000000000011</v>
      </c>
      <c r="T496" s="861">
        <f t="shared" si="392"/>
        <v>-0.94000000000000006</v>
      </c>
      <c r="U496" s="882">
        <f t="shared" si="393"/>
        <v>0.26100000000000001</v>
      </c>
      <c r="V496" s="861">
        <f t="shared" si="393"/>
        <v>2.5739999999999998</v>
      </c>
      <c r="W496" s="861">
        <f t="shared" si="394"/>
        <v>3.2560000000000002</v>
      </c>
      <c r="X496" s="861">
        <f t="shared" si="394"/>
        <v>-2.0329999999999999</v>
      </c>
      <c r="Y496" s="841">
        <f t="shared" si="394"/>
        <v>0.44999999999999973</v>
      </c>
      <c r="Z496" s="840">
        <f t="shared" si="395"/>
        <v>4.2469999999999999</v>
      </c>
      <c r="AA496" s="841">
        <f t="shared" si="395"/>
        <v>0</v>
      </c>
      <c r="AB496" s="861">
        <f t="shared" si="396"/>
        <v>0</v>
      </c>
      <c r="AC496" s="861">
        <f t="shared" si="396"/>
        <v>0</v>
      </c>
      <c r="AD496" s="841">
        <f t="shared" si="396"/>
        <v>0</v>
      </c>
      <c r="AE496" s="840">
        <f t="shared" si="397"/>
        <v>0</v>
      </c>
      <c r="AF496" s="841">
        <f t="shared" si="397"/>
        <v>0</v>
      </c>
      <c r="AG496" s="861">
        <f t="shared" si="398"/>
        <v>0</v>
      </c>
      <c r="AH496" s="861">
        <f t="shared" si="398"/>
        <v>0</v>
      </c>
      <c r="AI496" s="841">
        <f t="shared" si="398"/>
        <v>1</v>
      </c>
      <c r="AJ496" s="840">
        <f t="shared" si="399"/>
        <v>1</v>
      </c>
      <c r="AK496" s="841">
        <f t="shared" si="399"/>
        <v>0</v>
      </c>
      <c r="AL496" s="861">
        <f t="shared" si="400"/>
        <v>0.4</v>
      </c>
      <c r="AM496" s="842">
        <f t="shared" si="400"/>
        <v>2.4999999999999967E-2</v>
      </c>
      <c r="AN496" s="874"/>
      <c r="AO496" s="844">
        <f t="shared" si="401"/>
        <v>0.42499999999999999</v>
      </c>
      <c r="AP496" s="874"/>
      <c r="AQ496" s="874"/>
      <c r="AR496" s="874"/>
      <c r="AS496" s="874"/>
      <c r="AT496" s="844">
        <f t="shared" si="403"/>
        <v>0</v>
      </c>
      <c r="AU496" s="875"/>
      <c r="AV496" s="875"/>
      <c r="AW496" s="875"/>
      <c r="AX496" s="793"/>
    </row>
    <row r="497" spans="1:50" s="29" customFormat="1" x14ac:dyDescent="0.45">
      <c r="A497" s="111" t="str">
        <f t="shared" si="386"/>
        <v>Loss on disposition of Hospital Solutions Division</v>
      </c>
      <c r="B497" s="149"/>
      <c r="C497" s="882">
        <f t="shared" si="409"/>
        <v>0</v>
      </c>
      <c r="D497" s="882">
        <f t="shared" si="409"/>
        <v>0</v>
      </c>
      <c r="E497" s="882">
        <f t="shared" si="409"/>
        <v>0</v>
      </c>
      <c r="F497" s="882">
        <f t="shared" si="409"/>
        <v>0</v>
      </c>
      <c r="G497" s="861">
        <f t="shared" si="409"/>
        <v>0</v>
      </c>
      <c r="H497" s="861">
        <f t="shared" si="388"/>
        <v>0</v>
      </c>
      <c r="I497" s="861">
        <f t="shared" si="388"/>
        <v>0</v>
      </c>
      <c r="J497" s="861">
        <f t="shared" si="388"/>
        <v>0</v>
      </c>
      <c r="K497" s="882">
        <f t="shared" si="389"/>
        <v>0</v>
      </c>
      <c r="L497" s="861">
        <f t="shared" si="389"/>
        <v>0</v>
      </c>
      <c r="M497" s="861">
        <f t="shared" si="390"/>
        <v>0</v>
      </c>
      <c r="N497" s="861">
        <f t="shared" si="390"/>
        <v>0</v>
      </c>
      <c r="O497" s="861">
        <f t="shared" si="390"/>
        <v>0</v>
      </c>
      <c r="P497" s="882">
        <f t="shared" si="391"/>
        <v>0</v>
      </c>
      <c r="Q497" s="861">
        <f t="shared" si="391"/>
        <v>0</v>
      </c>
      <c r="R497" s="861">
        <f t="shared" si="392"/>
        <v>0</v>
      </c>
      <c r="S497" s="861">
        <f t="shared" si="392"/>
        <v>1.3660000000000001</v>
      </c>
      <c r="T497" s="861">
        <f t="shared" si="392"/>
        <v>0</v>
      </c>
      <c r="U497" s="882">
        <f t="shared" si="393"/>
        <v>1.3660000000000001</v>
      </c>
      <c r="V497" s="861">
        <f t="shared" si="393"/>
        <v>0</v>
      </c>
      <c r="W497" s="861">
        <f t="shared" si="394"/>
        <v>0</v>
      </c>
      <c r="X497" s="861">
        <f t="shared" si="394"/>
        <v>0</v>
      </c>
      <c r="Y497" s="841">
        <f t="shared" si="394"/>
        <v>0</v>
      </c>
      <c r="Z497" s="840">
        <f t="shared" si="395"/>
        <v>0</v>
      </c>
      <c r="AA497" s="841">
        <f t="shared" si="395"/>
        <v>0</v>
      </c>
      <c r="AB497" s="861">
        <f t="shared" si="396"/>
        <v>0</v>
      </c>
      <c r="AC497" s="861">
        <f t="shared" si="396"/>
        <v>0</v>
      </c>
      <c r="AD497" s="841">
        <f t="shared" si="396"/>
        <v>0</v>
      </c>
      <c r="AE497" s="840">
        <f t="shared" si="397"/>
        <v>0</v>
      </c>
      <c r="AF497" s="841">
        <f t="shared" si="397"/>
        <v>0</v>
      </c>
      <c r="AG497" s="861">
        <f t="shared" si="398"/>
        <v>0</v>
      </c>
      <c r="AH497" s="861">
        <f t="shared" si="398"/>
        <v>0</v>
      </c>
      <c r="AI497" s="841">
        <f t="shared" si="398"/>
        <v>0</v>
      </c>
      <c r="AJ497" s="840">
        <f t="shared" si="399"/>
        <v>0</v>
      </c>
      <c r="AK497" s="841">
        <f t="shared" si="399"/>
        <v>0</v>
      </c>
      <c r="AL497" s="861">
        <f t="shared" si="400"/>
        <v>0</v>
      </c>
      <c r="AM497" s="842">
        <f t="shared" si="400"/>
        <v>0</v>
      </c>
      <c r="AN497" s="874"/>
      <c r="AO497" s="844">
        <f t="shared" si="401"/>
        <v>0</v>
      </c>
      <c r="AP497" s="874"/>
      <c r="AQ497" s="874"/>
      <c r="AR497" s="874"/>
      <c r="AS497" s="874"/>
      <c r="AT497" s="844">
        <f t="shared" si="403"/>
        <v>0</v>
      </c>
      <c r="AU497" s="875"/>
      <c r="AV497" s="875"/>
      <c r="AW497" s="875"/>
      <c r="AX497" s="793"/>
    </row>
    <row r="498" spans="1:50" s="29" customFormat="1" x14ac:dyDescent="0.45">
      <c r="A498" s="111" t="str">
        <f t="shared" si="386"/>
        <v>Impairment of assets</v>
      </c>
      <c r="B498" s="149"/>
      <c r="C498" s="882">
        <f t="shared" si="409"/>
        <v>0</v>
      </c>
      <c r="D498" s="882">
        <f t="shared" si="409"/>
        <v>0</v>
      </c>
      <c r="E498" s="882">
        <f t="shared" si="409"/>
        <v>0</v>
      </c>
      <c r="F498" s="882">
        <f t="shared" si="409"/>
        <v>17.399999999999999</v>
      </c>
      <c r="G498" s="861">
        <f t="shared" si="409"/>
        <v>0</v>
      </c>
      <c r="H498" s="861">
        <f t="shared" si="388"/>
        <v>0</v>
      </c>
      <c r="I498" s="861">
        <f t="shared" si="388"/>
        <v>25.971</v>
      </c>
      <c r="J498" s="861">
        <f t="shared" si="388"/>
        <v>0</v>
      </c>
      <c r="K498" s="882">
        <f t="shared" si="389"/>
        <v>25.971</v>
      </c>
      <c r="L498" s="861">
        <f t="shared" si="389"/>
        <v>0</v>
      </c>
      <c r="M498" s="861">
        <f t="shared" si="390"/>
        <v>0</v>
      </c>
      <c r="N498" s="861">
        <f t="shared" si="390"/>
        <v>0</v>
      </c>
      <c r="O498" s="861">
        <f t="shared" si="390"/>
        <v>0</v>
      </c>
      <c r="P498" s="882">
        <f t="shared" si="391"/>
        <v>0</v>
      </c>
      <c r="Q498" s="861">
        <f t="shared" si="391"/>
        <v>0</v>
      </c>
      <c r="R498" s="861">
        <f t="shared" si="392"/>
        <v>0</v>
      </c>
      <c r="S498" s="861">
        <f t="shared" si="392"/>
        <v>0</v>
      </c>
      <c r="T498" s="861">
        <f t="shared" si="392"/>
        <v>32.238</v>
      </c>
      <c r="U498" s="882">
        <f t="shared" si="393"/>
        <v>32.238</v>
      </c>
      <c r="V498" s="861">
        <f t="shared" si="393"/>
        <v>0</v>
      </c>
      <c r="W498" s="861">
        <f t="shared" si="394"/>
        <v>0</v>
      </c>
      <c r="X498" s="861">
        <f t="shared" si="394"/>
        <v>0</v>
      </c>
      <c r="Y498" s="841">
        <f t="shared" si="394"/>
        <v>0</v>
      </c>
      <c r="Z498" s="840">
        <f t="shared" si="395"/>
        <v>0</v>
      </c>
      <c r="AA498" s="841">
        <f t="shared" si="395"/>
        <v>0</v>
      </c>
      <c r="AB498" s="861">
        <f t="shared" si="396"/>
        <v>0</v>
      </c>
      <c r="AC498" s="861">
        <f t="shared" si="396"/>
        <v>0</v>
      </c>
      <c r="AD498" s="841">
        <f t="shared" si="396"/>
        <v>3.7570000000000001</v>
      </c>
      <c r="AE498" s="840">
        <f t="shared" si="397"/>
        <v>3.7570000000000001</v>
      </c>
      <c r="AF498" s="841">
        <f t="shared" si="397"/>
        <v>0</v>
      </c>
      <c r="AG498" s="861">
        <f t="shared" si="398"/>
        <v>0</v>
      </c>
      <c r="AH498" s="861">
        <f t="shared" si="398"/>
        <v>0</v>
      </c>
      <c r="AI498" s="841">
        <f t="shared" si="398"/>
        <v>0</v>
      </c>
      <c r="AJ498" s="840">
        <f t="shared" si="399"/>
        <v>0</v>
      </c>
      <c r="AK498" s="841">
        <f t="shared" si="399"/>
        <v>0.48899999999999999</v>
      </c>
      <c r="AL498" s="861">
        <f t="shared" si="400"/>
        <v>1.9159999999999999</v>
      </c>
      <c r="AM498" s="842">
        <f t="shared" si="400"/>
        <v>1.948</v>
      </c>
      <c r="AN498" s="874"/>
      <c r="AO498" s="844">
        <f t="shared" si="401"/>
        <v>4.3529999999999998</v>
      </c>
      <c r="AP498" s="874"/>
      <c r="AQ498" s="874"/>
      <c r="AR498" s="874"/>
      <c r="AS498" s="874"/>
      <c r="AT498" s="844">
        <f t="shared" si="403"/>
        <v>0</v>
      </c>
      <c r="AU498" s="875"/>
      <c r="AV498" s="875"/>
      <c r="AW498" s="875"/>
      <c r="AX498" s="793"/>
    </row>
    <row r="499" spans="1:50" s="29" customFormat="1" x14ac:dyDescent="0.45">
      <c r="A499" s="219" t="str">
        <f t="shared" si="386"/>
        <v>Restructuring costs, net of amounts paid</v>
      </c>
      <c r="B499" s="501"/>
      <c r="C499" s="865">
        <f t="shared" si="409"/>
        <v>0</v>
      </c>
      <c r="D499" s="865">
        <f t="shared" si="409"/>
        <v>0</v>
      </c>
      <c r="E499" s="865">
        <f t="shared" si="409"/>
        <v>0</v>
      </c>
      <c r="F499" s="865">
        <f t="shared" si="409"/>
        <v>0</v>
      </c>
      <c r="G499" s="864">
        <f t="shared" si="409"/>
        <v>0</v>
      </c>
      <c r="H499" s="864">
        <f t="shared" si="388"/>
        <v>0</v>
      </c>
      <c r="I499" s="864">
        <f t="shared" si="388"/>
        <v>0</v>
      </c>
      <c r="J499" s="864">
        <f t="shared" si="388"/>
        <v>0</v>
      </c>
      <c r="K499" s="865">
        <f t="shared" si="389"/>
        <v>0</v>
      </c>
      <c r="L499" s="864">
        <f t="shared" si="389"/>
        <v>0</v>
      </c>
      <c r="M499" s="864">
        <f t="shared" si="390"/>
        <v>0</v>
      </c>
      <c r="N499" s="864">
        <f t="shared" si="390"/>
        <v>0</v>
      </c>
      <c r="O499" s="864">
        <f t="shared" si="390"/>
        <v>0</v>
      </c>
      <c r="P499" s="865">
        <f t="shared" si="391"/>
        <v>0</v>
      </c>
      <c r="Q499" s="864">
        <f t="shared" si="391"/>
        <v>0</v>
      </c>
      <c r="R499" s="864">
        <f t="shared" si="392"/>
        <v>0</v>
      </c>
      <c r="S499" s="864">
        <f t="shared" si="392"/>
        <v>0</v>
      </c>
      <c r="T499" s="864">
        <f t="shared" si="392"/>
        <v>0</v>
      </c>
      <c r="U499" s="865">
        <f t="shared" si="393"/>
        <v>0</v>
      </c>
      <c r="V499" s="864">
        <f t="shared" si="393"/>
        <v>1.3080000000000001</v>
      </c>
      <c r="W499" s="864">
        <f t="shared" si="394"/>
        <v>-0.6070000000000001</v>
      </c>
      <c r="X499" s="864">
        <f t="shared" si="394"/>
        <v>-0.70099999999999996</v>
      </c>
      <c r="Y499" s="849">
        <f t="shared" si="394"/>
        <v>2.891</v>
      </c>
      <c r="Z499" s="848">
        <f t="shared" si="395"/>
        <v>2.891</v>
      </c>
      <c r="AA499" s="849">
        <f t="shared" si="395"/>
        <v>0</v>
      </c>
      <c r="AB499" s="864">
        <f t="shared" si="396"/>
        <v>0</v>
      </c>
      <c r="AC499" s="864">
        <f t="shared" si="396"/>
        <v>0</v>
      </c>
      <c r="AD499" s="849">
        <f t="shared" si="396"/>
        <v>0</v>
      </c>
      <c r="AE499" s="848">
        <f t="shared" si="397"/>
        <v>0</v>
      </c>
      <c r="AF499" s="849">
        <f t="shared" si="397"/>
        <v>0</v>
      </c>
      <c r="AG499" s="864">
        <f t="shared" si="398"/>
        <v>0</v>
      </c>
      <c r="AH499" s="864">
        <f t="shared" si="398"/>
        <v>0</v>
      </c>
      <c r="AI499" s="849">
        <f t="shared" si="398"/>
        <v>0</v>
      </c>
      <c r="AJ499" s="848">
        <f t="shared" si="399"/>
        <v>0</v>
      </c>
      <c r="AK499" s="849">
        <f t="shared" si="399"/>
        <v>1.7070000000000001</v>
      </c>
      <c r="AL499" s="864">
        <f t="shared" si="400"/>
        <v>-1.7070000000000001</v>
      </c>
      <c r="AM499" s="850">
        <f t="shared" si="400"/>
        <v>0.25700000000000001</v>
      </c>
      <c r="AN499" s="904"/>
      <c r="AO499" s="848">
        <f t="shared" si="401"/>
        <v>0.25700000000000001</v>
      </c>
      <c r="AP499" s="904"/>
      <c r="AQ499" s="904"/>
      <c r="AR499" s="904"/>
      <c r="AS499" s="904"/>
      <c r="AT499" s="848">
        <f t="shared" si="403"/>
        <v>0</v>
      </c>
      <c r="AU499" s="905"/>
      <c r="AV499" s="905"/>
      <c r="AW499" s="905"/>
      <c r="AX499" s="793"/>
    </row>
    <row r="500" spans="1:50" s="7" customFormat="1" x14ac:dyDescent="0.45">
      <c r="A500" s="104" t="str">
        <f t="shared" si="386"/>
        <v>CFO before WC</v>
      </c>
      <c r="B500" s="150"/>
      <c r="C500" s="860">
        <f t="shared" ref="C500:AW500" si="412">SUM(C484:C499)</f>
        <v>64.530999999999992</v>
      </c>
      <c r="D500" s="860">
        <f t="shared" si="412"/>
        <v>78.84899999999999</v>
      </c>
      <c r="E500" s="860">
        <f t="shared" si="412"/>
        <v>90.589000000000013</v>
      </c>
      <c r="F500" s="860">
        <f t="shared" si="412"/>
        <v>85.548000000000002</v>
      </c>
      <c r="G500" s="859">
        <f t="shared" si="412"/>
        <v>22.245999999999999</v>
      </c>
      <c r="H500" s="859">
        <f t="shared" si="412"/>
        <v>19.518999999999998</v>
      </c>
      <c r="I500" s="859">
        <f t="shared" si="412"/>
        <v>21.347999999999999</v>
      </c>
      <c r="J500" s="859">
        <f t="shared" si="412"/>
        <v>7.3580000000000014</v>
      </c>
      <c r="K500" s="860">
        <f t="shared" si="412"/>
        <v>70.471000000000004</v>
      </c>
      <c r="L500" s="859">
        <f t="shared" si="412"/>
        <v>13.037000000000001</v>
      </c>
      <c r="M500" s="859">
        <f t="shared" si="412"/>
        <v>13.878000000000002</v>
      </c>
      <c r="N500" s="859">
        <f t="shared" si="412"/>
        <v>16.250999999999998</v>
      </c>
      <c r="O500" s="859">
        <f t="shared" si="412"/>
        <v>7.7120000000000033</v>
      </c>
      <c r="P500" s="860">
        <f t="shared" si="412"/>
        <v>50.878</v>
      </c>
      <c r="Q500" s="859">
        <f t="shared" si="412"/>
        <v>14.68</v>
      </c>
      <c r="R500" s="859">
        <f t="shared" si="412"/>
        <v>16.987000000000002</v>
      </c>
      <c r="S500" s="859">
        <f t="shared" si="412"/>
        <v>17.738</v>
      </c>
      <c r="T500" s="859">
        <f t="shared" si="412"/>
        <v>37.265000000000001</v>
      </c>
      <c r="U500" s="860">
        <f t="shared" si="412"/>
        <v>86.670000000000016</v>
      </c>
      <c r="V500" s="859">
        <f t="shared" si="412"/>
        <v>16.391999999999999</v>
      </c>
      <c r="W500" s="859">
        <f t="shared" si="412"/>
        <v>21.045000000000002</v>
      </c>
      <c r="X500" s="859">
        <f t="shared" si="412"/>
        <v>22.001999999999995</v>
      </c>
      <c r="Y500" s="846">
        <f t="shared" si="412"/>
        <v>20.948999999999998</v>
      </c>
      <c r="Z500" s="845">
        <f t="shared" si="412"/>
        <v>80.388000000000005</v>
      </c>
      <c r="AA500" s="846">
        <f t="shared" si="412"/>
        <v>18.246000000000002</v>
      </c>
      <c r="AB500" s="859">
        <f t="shared" si="412"/>
        <v>22.875</v>
      </c>
      <c r="AC500" s="859">
        <f t="shared" si="412"/>
        <v>20.241</v>
      </c>
      <c r="AD500" s="846">
        <f t="shared" si="412"/>
        <v>5.8909999999999965</v>
      </c>
      <c r="AE500" s="845">
        <f t="shared" si="412"/>
        <v>67.253</v>
      </c>
      <c r="AF500" s="846">
        <f t="shared" si="412"/>
        <v>17.006999999999998</v>
      </c>
      <c r="AG500" s="859">
        <f t="shared" si="412"/>
        <v>28.510000000000009</v>
      </c>
      <c r="AH500" s="859">
        <f t="shared" si="412"/>
        <v>21.784999999999997</v>
      </c>
      <c r="AI500" s="846">
        <f t="shared" si="412"/>
        <v>23.844000000000001</v>
      </c>
      <c r="AJ500" s="845">
        <f t="shared" si="412"/>
        <v>91.146000000000015</v>
      </c>
      <c r="AK500" s="846">
        <f t="shared" si="412"/>
        <v>22.137999999999998</v>
      </c>
      <c r="AL500" s="859">
        <f t="shared" si="412"/>
        <v>26.143000000000004</v>
      </c>
      <c r="AM500" s="847">
        <f t="shared" si="412"/>
        <v>26.939000000000004</v>
      </c>
      <c r="AN500" s="859">
        <f t="shared" si="412"/>
        <v>20.945028767120242</v>
      </c>
      <c r="AO500" s="845">
        <f t="shared" si="412"/>
        <v>96.165028767120219</v>
      </c>
      <c r="AP500" s="859">
        <f t="shared" ca="1" si="412"/>
        <v>18.954562767912037</v>
      </c>
      <c r="AQ500" s="859">
        <f t="shared" ca="1" si="412"/>
        <v>22.206751913092489</v>
      </c>
      <c r="AR500" s="859">
        <f t="shared" ca="1" si="412"/>
        <v>22.147386808327077</v>
      </c>
      <c r="AS500" s="859">
        <f t="shared" ca="1" si="412"/>
        <v>21.248925052620088</v>
      </c>
      <c r="AT500" s="845">
        <f t="shared" ca="1" si="412"/>
        <v>84.557626541951691</v>
      </c>
      <c r="AU500" s="860">
        <f t="shared" ca="1" si="412"/>
        <v>88.61773927254518</v>
      </c>
      <c r="AV500" s="860">
        <f t="shared" ca="1" si="412"/>
        <v>91.010640692377962</v>
      </c>
      <c r="AW500" s="860">
        <f t="shared" ca="1" si="412"/>
        <v>94.015319194709321</v>
      </c>
      <c r="AX500" s="795"/>
    </row>
    <row r="501" spans="1:50" s="29" customFormat="1" x14ac:dyDescent="0.45">
      <c r="A501" s="111" t="str">
        <f t="shared" si="386"/>
        <v>Accounts receivable</v>
      </c>
      <c r="B501" s="149"/>
      <c r="C501" s="882">
        <f t="shared" ref="C501:G515" si="413">C437</f>
        <v>-18.943999999999999</v>
      </c>
      <c r="D501" s="882">
        <f t="shared" si="413"/>
        <v>-36.094000000000001</v>
      </c>
      <c r="E501" s="882">
        <f t="shared" si="413"/>
        <v>-10.388999999999999</v>
      </c>
      <c r="F501" s="882">
        <f t="shared" si="413"/>
        <v>-7.9880000000000004</v>
      </c>
      <c r="G501" s="861">
        <f t="shared" si="413"/>
        <v>7.5030000000000001</v>
      </c>
      <c r="H501" s="861">
        <f t="shared" ref="H501:J515" si="414">H437-G437</f>
        <v>1.7949999999999999</v>
      </c>
      <c r="I501" s="861">
        <f t="shared" si="414"/>
        <v>14.153</v>
      </c>
      <c r="J501" s="861">
        <f t="shared" si="414"/>
        <v>14.009999999999998</v>
      </c>
      <c r="K501" s="882">
        <f t="shared" ref="K501:L515" si="415">K437</f>
        <v>37.460999999999999</v>
      </c>
      <c r="L501" s="861">
        <f t="shared" si="415"/>
        <v>3.1720000000000002</v>
      </c>
      <c r="M501" s="861">
        <f t="shared" ref="M501:O515" si="416">M437-L437</f>
        <v>5.59</v>
      </c>
      <c r="N501" s="861">
        <f t="shared" si="416"/>
        <v>1.699999999999946E-2</v>
      </c>
      <c r="O501" s="861">
        <f t="shared" si="416"/>
        <v>-4.0350000000000001</v>
      </c>
      <c r="P501" s="882">
        <f t="shared" ref="P501:Q515" si="417">P437</f>
        <v>4.7439999999999998</v>
      </c>
      <c r="Q501" s="861">
        <f t="shared" si="417"/>
        <v>7.12</v>
      </c>
      <c r="R501" s="861">
        <f t="shared" ref="R501:T515" si="418">R437-Q437</f>
        <v>1.1930000000000005</v>
      </c>
      <c r="S501" s="861">
        <f t="shared" si="418"/>
        <v>3</v>
      </c>
      <c r="T501" s="861">
        <f t="shared" si="418"/>
        <v>-1.3840000000000003</v>
      </c>
      <c r="U501" s="882">
        <f t="shared" ref="U501:V515" si="419">U437</f>
        <v>9.9290000000000003</v>
      </c>
      <c r="V501" s="861">
        <f t="shared" si="419"/>
        <v>11.467000000000001</v>
      </c>
      <c r="W501" s="861">
        <f t="shared" ref="W501:Y515" si="420">W437-V437</f>
        <v>2.1819999999999986</v>
      </c>
      <c r="X501" s="861">
        <f t="shared" si="420"/>
        <v>2.3559999999999999</v>
      </c>
      <c r="Y501" s="861">
        <f t="shared" si="420"/>
        <v>-10.469999999999999</v>
      </c>
      <c r="Z501" s="882">
        <f t="shared" ref="Z501:AA515" si="421">Z437</f>
        <v>5.5350000000000001</v>
      </c>
      <c r="AA501" s="861">
        <f t="shared" si="421"/>
        <v>1.546</v>
      </c>
      <c r="AB501" s="861">
        <f t="shared" ref="AB501:AD515" si="422">AB437-AA437</f>
        <v>-1.6659999999999999</v>
      </c>
      <c r="AC501" s="861">
        <f t="shared" si="422"/>
        <v>1.08</v>
      </c>
      <c r="AD501" s="861">
        <f t="shared" si="422"/>
        <v>-6.3689999999999998</v>
      </c>
      <c r="AE501" s="882">
        <f t="shared" ref="AE501:AF515" si="423">AE437</f>
        <v>-5.4089999999999998</v>
      </c>
      <c r="AF501" s="861">
        <f t="shared" si="423"/>
        <v>0.48599999999999999</v>
      </c>
      <c r="AG501" s="861">
        <f t="shared" ref="AG501:AI515" si="424">AG437-AF437</f>
        <v>-7.7000000000000013E-2</v>
      </c>
      <c r="AH501" s="861">
        <f t="shared" si="424"/>
        <v>-0.16699999999999998</v>
      </c>
      <c r="AI501" s="861">
        <f t="shared" si="424"/>
        <v>-6.42</v>
      </c>
      <c r="AJ501" s="882">
        <f t="shared" ref="AJ501:AK515" si="425">AJ437</f>
        <v>-6.1779999999999999</v>
      </c>
      <c r="AK501" s="861">
        <f t="shared" si="425"/>
        <v>5.1050000000000004</v>
      </c>
      <c r="AL501" s="861">
        <f t="shared" ref="AL501:AM515" si="426">AL437-AK437</f>
        <v>-2.9890000000000003</v>
      </c>
      <c r="AM501" s="883">
        <f t="shared" si="426"/>
        <v>4.0679999999999996</v>
      </c>
      <c r="AN501" s="862">
        <f>AM578-AN578</f>
        <v>-2.0849126174863386</v>
      </c>
      <c r="AO501" s="863">
        <f t="shared" ref="AO501:AO515" si="427">SUM(AK501,AL501,AM501,AN501)</f>
        <v>4.0990873825136607</v>
      </c>
      <c r="AP501" s="862">
        <f t="shared" ref="AP501:AS501" si="428">AO578-AP578</f>
        <v>-0.41295202732236191</v>
      </c>
      <c r="AQ501" s="862">
        <f t="shared" si="428"/>
        <v>-0.60039968306016078</v>
      </c>
      <c r="AR501" s="862">
        <f t="shared" si="428"/>
        <v>-1.5495466557376858</v>
      </c>
      <c r="AS501" s="862">
        <f t="shared" si="428"/>
        <v>-1.0550755254824651</v>
      </c>
      <c r="AT501" s="863">
        <f t="shared" ref="AT501:AT515" si="429">SUM(AP501,AQ501,AR501,AS501)</f>
        <v>-3.6179738916026736</v>
      </c>
      <c r="AU501" s="863">
        <f t="shared" ref="AU501:AW501" si="430">AT578-AU578</f>
        <v>-1.3920991826581428</v>
      </c>
      <c r="AV501" s="863">
        <f t="shared" si="430"/>
        <v>-3.8833060091176606</v>
      </c>
      <c r="AW501" s="863">
        <f t="shared" si="430"/>
        <v>-1.1734721547134086</v>
      </c>
      <c r="AX501" s="793"/>
    </row>
    <row r="502" spans="1:50" s="29" customFormat="1" x14ac:dyDescent="0.45">
      <c r="A502" s="111" t="str">
        <f t="shared" si="386"/>
        <v>Inventories</v>
      </c>
      <c r="B502" s="149"/>
      <c r="C502" s="882">
        <f t="shared" si="413"/>
        <v>-0.23799999999999999</v>
      </c>
      <c r="D502" s="882">
        <f t="shared" si="413"/>
        <v>1.052</v>
      </c>
      <c r="E502" s="882">
        <f t="shared" si="413"/>
        <v>-1.024</v>
      </c>
      <c r="F502" s="882">
        <f t="shared" si="413"/>
        <v>0.33900000000000002</v>
      </c>
      <c r="G502" s="861">
        <f t="shared" si="413"/>
        <v>-0.27300000000000002</v>
      </c>
      <c r="H502" s="861">
        <f t="shared" si="414"/>
        <v>3.1000000000000028E-2</v>
      </c>
      <c r="I502" s="861">
        <f t="shared" si="414"/>
        <v>6.8000000000000005E-2</v>
      </c>
      <c r="J502" s="861">
        <f t="shared" si="414"/>
        <v>9.2999999999999985E-2</v>
      </c>
      <c r="K502" s="882">
        <f t="shared" si="415"/>
        <v>-8.1000000000000003E-2</v>
      </c>
      <c r="L502" s="861">
        <f t="shared" si="415"/>
        <v>7.0000000000000007E-2</v>
      </c>
      <c r="M502" s="861">
        <f t="shared" si="416"/>
        <v>-4.300000000000001E-2</v>
      </c>
      <c r="N502" s="861">
        <f t="shared" si="416"/>
        <v>7.1000000000000008E-2</v>
      </c>
      <c r="O502" s="861">
        <f t="shared" si="416"/>
        <v>8.8999999999999996E-2</v>
      </c>
      <c r="P502" s="882">
        <f t="shared" si="417"/>
        <v>0.187</v>
      </c>
      <c r="Q502" s="861">
        <f t="shared" si="417"/>
        <v>-8.2000000000000003E-2</v>
      </c>
      <c r="R502" s="861">
        <f t="shared" si="418"/>
        <v>-3.6999999999999991E-2</v>
      </c>
      <c r="S502" s="861">
        <f t="shared" si="418"/>
        <v>-4.1000000000000009E-2</v>
      </c>
      <c r="T502" s="861">
        <f t="shared" si="418"/>
        <v>0.17699999999999999</v>
      </c>
      <c r="U502" s="882">
        <f t="shared" si="419"/>
        <v>1.7000000000000001E-2</v>
      </c>
      <c r="V502" s="861">
        <f t="shared" si="419"/>
        <v>-5.0000000000000001E-3</v>
      </c>
      <c r="W502" s="861">
        <f t="shared" si="420"/>
        <v>-1.6999999999999998E-2</v>
      </c>
      <c r="X502" s="861">
        <f t="shared" si="420"/>
        <v>-4.4000000000000004E-2</v>
      </c>
      <c r="Y502" s="861">
        <f t="shared" si="420"/>
        <v>4.4999999999999998E-2</v>
      </c>
      <c r="Z502" s="882">
        <f t="shared" si="421"/>
        <v>-2.1000000000000001E-2</v>
      </c>
      <c r="AA502" s="861">
        <f t="shared" si="421"/>
        <v>3.7999999999999999E-2</v>
      </c>
      <c r="AB502" s="861">
        <f t="shared" si="422"/>
        <v>-6.3E-2</v>
      </c>
      <c r="AC502" s="861">
        <f t="shared" si="422"/>
        <v>-2.5999999999999995E-2</v>
      </c>
      <c r="AD502" s="861">
        <f t="shared" si="422"/>
        <v>-2.1999999999999999E-2</v>
      </c>
      <c r="AE502" s="882">
        <f t="shared" si="423"/>
        <v>-7.2999999999999995E-2</v>
      </c>
      <c r="AF502" s="861">
        <f t="shared" si="423"/>
        <v>8.9999999999999993E-3</v>
      </c>
      <c r="AG502" s="861">
        <f t="shared" si="424"/>
        <v>7.000000000000001E-3</v>
      </c>
      <c r="AH502" s="861">
        <f t="shared" si="424"/>
        <v>2.6999999999999996E-2</v>
      </c>
      <c r="AI502" s="861">
        <f t="shared" si="424"/>
        <v>2.700000000000001E-2</v>
      </c>
      <c r="AJ502" s="882">
        <f t="shared" si="425"/>
        <v>7.0000000000000007E-2</v>
      </c>
      <c r="AK502" s="861">
        <f t="shared" si="425"/>
        <v>4.8000000000000001E-2</v>
      </c>
      <c r="AL502" s="861">
        <f t="shared" si="426"/>
        <v>8.0000000000000002E-3</v>
      </c>
      <c r="AM502" s="883">
        <f t="shared" si="426"/>
        <v>-1.7000000000000001E-2</v>
      </c>
      <c r="AN502" s="862">
        <f>AM579-AN579</f>
        <v>-5.6756782994535529E-2</v>
      </c>
      <c r="AO502" s="863">
        <f t="shared" si="427"/>
        <v>-1.7756782994535529E-2</v>
      </c>
      <c r="AP502" s="862">
        <f t="shared" ref="AP502:AS502" si="431">AO579-AP579</f>
        <v>-5.008941578688525E-2</v>
      </c>
      <c r="AQ502" s="862">
        <f t="shared" si="431"/>
        <v>-1.6899335562841455E-2</v>
      </c>
      <c r="AR502" s="862">
        <f t="shared" si="431"/>
        <v>1.5449085245901606E-2</v>
      </c>
      <c r="AS502" s="862">
        <f t="shared" si="431"/>
        <v>5.4865961915361916E-2</v>
      </c>
      <c r="AT502" s="863">
        <f t="shared" si="429"/>
        <v>3.3262958115368169E-3</v>
      </c>
      <c r="AU502" s="863">
        <f t="shared" ref="AU502:AW502" si="432">AT579-AU579</f>
        <v>-1.236498486096288E-2</v>
      </c>
      <c r="AV502" s="863">
        <f t="shared" si="432"/>
        <v>4.1597112043487705E-3</v>
      </c>
      <c r="AW502" s="863">
        <f t="shared" si="432"/>
        <v>-1.2019120134424521E-2</v>
      </c>
      <c r="AX502" s="793"/>
    </row>
    <row r="503" spans="1:50" s="29" customFormat="1" x14ac:dyDescent="0.45">
      <c r="A503" s="111" t="str">
        <f t="shared" si="386"/>
        <v>Income taxes receivable</v>
      </c>
      <c r="B503" s="149"/>
      <c r="C503" s="882">
        <f t="shared" si="413"/>
        <v>3.875</v>
      </c>
      <c r="D503" s="882">
        <f t="shared" si="413"/>
        <v>2.9529999999999998</v>
      </c>
      <c r="E503" s="882">
        <f t="shared" si="413"/>
        <v>-2.6280000000000001</v>
      </c>
      <c r="F503" s="882">
        <f t="shared" si="413"/>
        <v>2.6280000000000001</v>
      </c>
      <c r="G503" s="861">
        <f t="shared" si="413"/>
        <v>0</v>
      </c>
      <c r="H503" s="861">
        <f t="shared" si="414"/>
        <v>-4.4660000000000002</v>
      </c>
      <c r="I503" s="861">
        <f t="shared" si="414"/>
        <v>-10.803999999999998</v>
      </c>
      <c r="J503" s="861">
        <f t="shared" si="414"/>
        <v>15.27</v>
      </c>
      <c r="K503" s="882">
        <f t="shared" si="415"/>
        <v>0</v>
      </c>
      <c r="L503" s="861">
        <f t="shared" si="415"/>
        <v>0</v>
      </c>
      <c r="M503" s="861">
        <f t="shared" si="416"/>
        <v>0</v>
      </c>
      <c r="N503" s="861">
        <f t="shared" si="416"/>
        <v>0</v>
      </c>
      <c r="O503" s="861">
        <f t="shared" si="416"/>
        <v>0</v>
      </c>
      <c r="P503" s="882">
        <f t="shared" si="417"/>
        <v>0</v>
      </c>
      <c r="Q503" s="861">
        <f t="shared" si="417"/>
        <v>0</v>
      </c>
      <c r="R503" s="861">
        <f t="shared" si="418"/>
        <v>0</v>
      </c>
      <c r="S503" s="861">
        <f t="shared" si="418"/>
        <v>0</v>
      </c>
      <c r="T503" s="861">
        <f t="shared" si="418"/>
        <v>0</v>
      </c>
      <c r="U503" s="882">
        <f t="shared" si="419"/>
        <v>0</v>
      </c>
      <c r="V503" s="861">
        <f t="shared" si="419"/>
        <v>0</v>
      </c>
      <c r="W503" s="861">
        <f t="shared" si="420"/>
        <v>0</v>
      </c>
      <c r="X503" s="861">
        <f t="shared" si="420"/>
        <v>0</v>
      </c>
      <c r="Y503" s="841">
        <f t="shared" si="420"/>
        <v>0</v>
      </c>
      <c r="Z503" s="840">
        <f t="shared" si="421"/>
        <v>0</v>
      </c>
      <c r="AA503" s="841">
        <f t="shared" si="421"/>
        <v>0</v>
      </c>
      <c r="AB503" s="861">
        <f t="shared" si="422"/>
        <v>0</v>
      </c>
      <c r="AC503" s="861">
        <f t="shared" si="422"/>
        <v>0</v>
      </c>
      <c r="AD503" s="841">
        <f t="shared" si="422"/>
        <v>0</v>
      </c>
      <c r="AE503" s="840">
        <f t="shared" si="423"/>
        <v>0</v>
      </c>
      <c r="AF503" s="841">
        <f t="shared" si="423"/>
        <v>0</v>
      </c>
      <c r="AG503" s="861">
        <f t="shared" si="424"/>
        <v>0</v>
      </c>
      <c r="AH503" s="861">
        <f t="shared" si="424"/>
        <v>0</v>
      </c>
      <c r="AI503" s="841">
        <f t="shared" si="424"/>
        <v>0</v>
      </c>
      <c r="AJ503" s="840">
        <f t="shared" si="425"/>
        <v>0</v>
      </c>
      <c r="AK503" s="841">
        <f t="shared" si="425"/>
        <v>0</v>
      </c>
      <c r="AL503" s="861">
        <f t="shared" si="426"/>
        <v>0</v>
      </c>
      <c r="AM503" s="842">
        <f t="shared" si="426"/>
        <v>0</v>
      </c>
      <c r="AN503" s="874"/>
      <c r="AO503" s="844">
        <f t="shared" si="427"/>
        <v>0</v>
      </c>
      <c r="AP503" s="874"/>
      <c r="AQ503" s="874"/>
      <c r="AR503" s="874"/>
      <c r="AS503" s="874"/>
      <c r="AT503" s="844">
        <f t="shared" si="429"/>
        <v>0</v>
      </c>
      <c r="AU503" s="875"/>
      <c r="AV503" s="875"/>
      <c r="AW503" s="875"/>
      <c r="AX503" s="793"/>
    </row>
    <row r="504" spans="1:50" s="29" customFormat="1" x14ac:dyDescent="0.45">
      <c r="A504" s="61" t="str">
        <f t="shared" si="386"/>
        <v>Other current assets</v>
      </c>
      <c r="B504" s="147"/>
      <c r="C504" s="840">
        <f t="shared" si="413"/>
        <v>-2.31</v>
      </c>
      <c r="D504" s="840">
        <f t="shared" si="413"/>
        <v>-3.746</v>
      </c>
      <c r="E504" s="840">
        <f t="shared" si="413"/>
        <v>-2.9550000000000001</v>
      </c>
      <c r="F504" s="840">
        <f t="shared" si="413"/>
        <v>-4.0490000000000004</v>
      </c>
      <c r="G504" s="841">
        <f t="shared" si="413"/>
        <v>4.0250000000000004</v>
      </c>
      <c r="H504" s="841">
        <f t="shared" si="414"/>
        <v>-6.6000000000000281E-2</v>
      </c>
      <c r="I504" s="841">
        <f t="shared" si="414"/>
        <v>-0.37999999999999989</v>
      </c>
      <c r="J504" s="841">
        <f t="shared" si="414"/>
        <v>-3.5790000000000002</v>
      </c>
      <c r="K504" s="840">
        <f t="shared" si="415"/>
        <v>0</v>
      </c>
      <c r="L504" s="841">
        <f t="shared" si="415"/>
        <v>0</v>
      </c>
      <c r="M504" s="841">
        <f t="shared" si="416"/>
        <v>0</v>
      </c>
      <c r="N504" s="841">
        <f t="shared" si="416"/>
        <v>0</v>
      </c>
      <c r="O504" s="841">
        <f t="shared" si="416"/>
        <v>0</v>
      </c>
      <c r="P504" s="840">
        <f t="shared" si="417"/>
        <v>0</v>
      </c>
      <c r="Q504" s="841">
        <f t="shared" si="417"/>
        <v>0</v>
      </c>
      <c r="R504" s="841">
        <f t="shared" si="418"/>
        <v>0</v>
      </c>
      <c r="S504" s="841">
        <f t="shared" si="418"/>
        <v>0</v>
      </c>
      <c r="T504" s="841">
        <f t="shared" si="418"/>
        <v>0</v>
      </c>
      <c r="U504" s="840">
        <f t="shared" si="419"/>
        <v>0</v>
      </c>
      <c r="V504" s="841">
        <f t="shared" si="419"/>
        <v>0</v>
      </c>
      <c r="W504" s="841">
        <f t="shared" si="420"/>
        <v>0</v>
      </c>
      <c r="X504" s="841">
        <f t="shared" si="420"/>
        <v>0</v>
      </c>
      <c r="Y504" s="841">
        <f t="shared" si="420"/>
        <v>0</v>
      </c>
      <c r="Z504" s="840">
        <f t="shared" si="421"/>
        <v>0</v>
      </c>
      <c r="AA504" s="841">
        <f t="shared" si="421"/>
        <v>0</v>
      </c>
      <c r="AB504" s="841">
        <f t="shared" si="422"/>
        <v>0</v>
      </c>
      <c r="AC504" s="841">
        <f t="shared" si="422"/>
        <v>0</v>
      </c>
      <c r="AD504" s="841">
        <f t="shared" si="422"/>
        <v>0</v>
      </c>
      <c r="AE504" s="840">
        <f t="shared" si="423"/>
        <v>0</v>
      </c>
      <c r="AF504" s="841">
        <f t="shared" si="423"/>
        <v>0</v>
      </c>
      <c r="AG504" s="841">
        <f t="shared" si="424"/>
        <v>0</v>
      </c>
      <c r="AH504" s="841">
        <f t="shared" si="424"/>
        <v>0</v>
      </c>
      <c r="AI504" s="841">
        <f t="shared" si="424"/>
        <v>0</v>
      </c>
      <c r="AJ504" s="840">
        <f t="shared" si="425"/>
        <v>0</v>
      </c>
      <c r="AK504" s="841">
        <f t="shared" si="425"/>
        <v>0</v>
      </c>
      <c r="AL504" s="841">
        <f t="shared" si="426"/>
        <v>0</v>
      </c>
      <c r="AM504" s="842">
        <f t="shared" si="426"/>
        <v>0</v>
      </c>
      <c r="AN504" s="843"/>
      <c r="AO504" s="844">
        <f t="shared" si="427"/>
        <v>0</v>
      </c>
      <c r="AP504" s="843"/>
      <c r="AQ504" s="843"/>
      <c r="AR504" s="843"/>
      <c r="AS504" s="843"/>
      <c r="AT504" s="844">
        <f t="shared" si="429"/>
        <v>0</v>
      </c>
      <c r="AU504" s="844"/>
      <c r="AV504" s="844"/>
      <c r="AW504" s="844"/>
      <c r="AX504" s="793"/>
    </row>
    <row r="505" spans="1:50" s="29" customFormat="1" x14ac:dyDescent="0.45">
      <c r="A505" s="111" t="str">
        <f t="shared" si="386"/>
        <v>Other assets</v>
      </c>
      <c r="B505" s="149"/>
      <c r="C505" s="882">
        <f t="shared" si="413"/>
        <v>-0.89400000000000002</v>
      </c>
      <c r="D505" s="882">
        <f t="shared" si="413"/>
        <v>-1.8169999999999999</v>
      </c>
      <c r="E505" s="882">
        <f t="shared" si="413"/>
        <v>-0.84099999999999997</v>
      </c>
      <c r="F505" s="882">
        <f t="shared" si="413"/>
        <v>-2.7770000000000001</v>
      </c>
      <c r="G505" s="861">
        <f t="shared" si="413"/>
        <v>-0.61</v>
      </c>
      <c r="H505" s="861">
        <f t="shared" si="414"/>
        <v>-0.23499999999999999</v>
      </c>
      <c r="I505" s="861">
        <f t="shared" si="414"/>
        <v>-0.59899999999999998</v>
      </c>
      <c r="J505" s="861">
        <f t="shared" si="414"/>
        <v>1.444</v>
      </c>
      <c r="K505" s="882">
        <f t="shared" si="415"/>
        <v>0</v>
      </c>
      <c r="L505" s="861">
        <f t="shared" si="415"/>
        <v>0</v>
      </c>
      <c r="M505" s="861">
        <f t="shared" si="416"/>
        <v>0</v>
      </c>
      <c r="N505" s="861">
        <f t="shared" si="416"/>
        <v>0</v>
      </c>
      <c r="O505" s="861">
        <f t="shared" si="416"/>
        <v>0</v>
      </c>
      <c r="P505" s="882">
        <f t="shared" si="417"/>
        <v>0</v>
      </c>
      <c r="Q505" s="861">
        <f t="shared" si="417"/>
        <v>0</v>
      </c>
      <c r="R505" s="861">
        <f t="shared" si="418"/>
        <v>0</v>
      </c>
      <c r="S505" s="861">
        <f t="shared" si="418"/>
        <v>0</v>
      </c>
      <c r="T505" s="861">
        <f t="shared" si="418"/>
        <v>0</v>
      </c>
      <c r="U505" s="882">
        <f t="shared" si="419"/>
        <v>0</v>
      </c>
      <c r="V505" s="861">
        <f t="shared" si="419"/>
        <v>0</v>
      </c>
      <c r="W505" s="861">
        <f t="shared" si="420"/>
        <v>0</v>
      </c>
      <c r="X505" s="861">
        <f t="shared" si="420"/>
        <v>0</v>
      </c>
      <c r="Y505" s="841">
        <f t="shared" si="420"/>
        <v>0</v>
      </c>
      <c r="Z505" s="840">
        <f t="shared" si="421"/>
        <v>0</v>
      </c>
      <c r="AA505" s="841">
        <f t="shared" si="421"/>
        <v>0</v>
      </c>
      <c r="AB505" s="861">
        <f t="shared" si="422"/>
        <v>0</v>
      </c>
      <c r="AC505" s="861">
        <f t="shared" si="422"/>
        <v>0</v>
      </c>
      <c r="AD505" s="841">
        <f t="shared" si="422"/>
        <v>0</v>
      </c>
      <c r="AE505" s="840">
        <f t="shared" si="423"/>
        <v>0</v>
      </c>
      <c r="AF505" s="841">
        <f t="shared" si="423"/>
        <v>0</v>
      </c>
      <c r="AG505" s="861">
        <f t="shared" si="424"/>
        <v>0</v>
      </c>
      <c r="AH505" s="861">
        <f t="shared" si="424"/>
        <v>0</v>
      </c>
      <c r="AI505" s="841">
        <f t="shared" si="424"/>
        <v>0</v>
      </c>
      <c r="AJ505" s="840">
        <f t="shared" si="425"/>
        <v>0</v>
      </c>
      <c r="AK505" s="841">
        <f t="shared" si="425"/>
        <v>0</v>
      </c>
      <c r="AL505" s="861">
        <f t="shared" si="426"/>
        <v>0</v>
      </c>
      <c r="AM505" s="842">
        <f t="shared" si="426"/>
        <v>0</v>
      </c>
      <c r="AN505" s="874"/>
      <c r="AO505" s="844">
        <f t="shared" si="427"/>
        <v>0</v>
      </c>
      <c r="AP505" s="874"/>
      <c r="AQ505" s="874"/>
      <c r="AR505" s="874"/>
      <c r="AS505" s="874"/>
      <c r="AT505" s="844">
        <f t="shared" si="429"/>
        <v>0</v>
      </c>
      <c r="AU505" s="875"/>
      <c r="AV505" s="875"/>
      <c r="AW505" s="875"/>
      <c r="AX505" s="793"/>
    </row>
    <row r="506" spans="1:50" s="29" customFormat="1" x14ac:dyDescent="0.45">
      <c r="A506" s="111" t="str">
        <f t="shared" si="386"/>
        <v>Accounts payable</v>
      </c>
      <c r="B506" s="149"/>
      <c r="C506" s="882">
        <f t="shared" si="413"/>
        <v>-1.81</v>
      </c>
      <c r="D506" s="882">
        <f t="shared" si="413"/>
        <v>3.3439999999999999</v>
      </c>
      <c r="E506" s="882">
        <f t="shared" si="413"/>
        <v>-2.1840000000000002</v>
      </c>
      <c r="F506" s="882">
        <f t="shared" si="413"/>
        <v>6.2229999999999999</v>
      </c>
      <c r="G506" s="861">
        <f t="shared" si="413"/>
        <v>-4.0609999999999999</v>
      </c>
      <c r="H506" s="861">
        <f t="shared" si="414"/>
        <v>1.2450000000000001</v>
      </c>
      <c r="I506" s="861">
        <f t="shared" si="414"/>
        <v>-4.0259999999999998</v>
      </c>
      <c r="J506" s="861">
        <f t="shared" si="414"/>
        <v>2.6719999999999997</v>
      </c>
      <c r="K506" s="882">
        <f t="shared" si="415"/>
        <v>-4.17</v>
      </c>
      <c r="L506" s="861">
        <f t="shared" si="415"/>
        <v>0.95499999999999996</v>
      </c>
      <c r="M506" s="861">
        <f t="shared" si="416"/>
        <v>-0.18099999999999994</v>
      </c>
      <c r="N506" s="861">
        <f t="shared" si="416"/>
        <v>-1.8580000000000001</v>
      </c>
      <c r="O506" s="861">
        <f t="shared" si="416"/>
        <v>2.3650000000000002</v>
      </c>
      <c r="P506" s="882">
        <f t="shared" si="417"/>
        <v>1.2809999999999999</v>
      </c>
      <c r="Q506" s="861">
        <f t="shared" si="417"/>
        <v>0.88700000000000001</v>
      </c>
      <c r="R506" s="861">
        <f t="shared" si="418"/>
        <v>-0.18800000000000006</v>
      </c>
      <c r="S506" s="861">
        <f t="shared" si="418"/>
        <v>-0.69299999999999995</v>
      </c>
      <c r="T506" s="861">
        <f t="shared" si="418"/>
        <v>-0.27700000000000002</v>
      </c>
      <c r="U506" s="882">
        <f t="shared" si="419"/>
        <v>-0.27100000000000002</v>
      </c>
      <c r="V506" s="861">
        <f t="shared" si="419"/>
        <v>-7.0289999999999999</v>
      </c>
      <c r="W506" s="861">
        <f t="shared" si="420"/>
        <v>1.1950000000000003</v>
      </c>
      <c r="X506" s="861">
        <f t="shared" si="420"/>
        <v>-0.14900000000000002</v>
      </c>
      <c r="Y506" s="861">
        <f t="shared" si="420"/>
        <v>-0.60700000000000021</v>
      </c>
      <c r="Z506" s="882">
        <f t="shared" si="421"/>
        <v>-6.59</v>
      </c>
      <c r="AA506" s="861">
        <f t="shared" si="421"/>
        <v>-0.84099999999999997</v>
      </c>
      <c r="AB506" s="861">
        <f t="shared" si="422"/>
        <v>2.1639999999999997</v>
      </c>
      <c r="AC506" s="861">
        <f t="shared" si="422"/>
        <v>-3.7650000000000001</v>
      </c>
      <c r="AD506" s="861">
        <f t="shared" si="422"/>
        <v>1.2100000000000002</v>
      </c>
      <c r="AE506" s="882">
        <f t="shared" si="423"/>
        <v>-1.232</v>
      </c>
      <c r="AF506" s="861">
        <f t="shared" si="423"/>
        <v>-1.1719999999999999</v>
      </c>
      <c r="AG506" s="861">
        <f t="shared" si="424"/>
        <v>3.0149999999999997</v>
      </c>
      <c r="AH506" s="861">
        <f t="shared" si="424"/>
        <v>-2.6259999999999999</v>
      </c>
      <c r="AI506" s="861">
        <f t="shared" si="424"/>
        <v>1.8530000000000002</v>
      </c>
      <c r="AJ506" s="882">
        <f t="shared" si="425"/>
        <v>1.07</v>
      </c>
      <c r="AK506" s="861">
        <f t="shared" si="425"/>
        <v>0.41599999999999998</v>
      </c>
      <c r="AL506" s="861">
        <f t="shared" si="426"/>
        <v>-1.054</v>
      </c>
      <c r="AM506" s="883">
        <f t="shared" si="426"/>
        <v>2.9609999999999999</v>
      </c>
      <c r="AN506" s="862">
        <f>AN599-AM599</f>
        <v>-1.4998905012896184</v>
      </c>
      <c r="AO506" s="863">
        <f t="shared" si="427"/>
        <v>0.82310949871038108</v>
      </c>
      <c r="AP506" s="862">
        <f t="shared" ref="AP506:AS506" si="433">AP599-AO599</f>
        <v>0.32935453365847067</v>
      </c>
      <c r="AQ506" s="862">
        <f t="shared" si="433"/>
        <v>0.53004928787704664</v>
      </c>
      <c r="AR506" s="862">
        <f t="shared" si="433"/>
        <v>2.8386341188529229E-2</v>
      </c>
      <c r="AS506" s="862">
        <f t="shared" si="433"/>
        <v>0.33225703648368032</v>
      </c>
      <c r="AT506" s="863">
        <f t="shared" si="429"/>
        <v>1.2200471992077269</v>
      </c>
      <c r="AU506" s="863">
        <f t="shared" ref="AU506:AW506" si="434">AU599-AT599</f>
        <v>-0.62801306647032007</v>
      </c>
      <c r="AV506" s="863">
        <f t="shared" si="434"/>
        <v>1.1654584909785406</v>
      </c>
      <c r="AW506" s="863">
        <f t="shared" si="434"/>
        <v>-0.65066720605857142</v>
      </c>
      <c r="AX506" s="793"/>
    </row>
    <row r="507" spans="1:50" s="29" customFormat="1" x14ac:dyDescent="0.45">
      <c r="A507" s="111" t="str">
        <f t="shared" si="386"/>
        <v>Deferred revenue</v>
      </c>
      <c r="B507" s="149"/>
      <c r="C507" s="882">
        <f t="shared" si="413"/>
        <v>12.528</v>
      </c>
      <c r="D507" s="882">
        <f t="shared" si="413"/>
        <v>13.211</v>
      </c>
      <c r="E507" s="882">
        <f t="shared" si="413"/>
        <v>5.9930000000000003</v>
      </c>
      <c r="F507" s="882">
        <f t="shared" si="413"/>
        <v>-17.992999999999999</v>
      </c>
      <c r="G507" s="861">
        <f t="shared" si="413"/>
        <v>-2.4159999999999999</v>
      </c>
      <c r="H507" s="861">
        <f t="shared" si="414"/>
        <v>-1.8069999999999999</v>
      </c>
      <c r="I507" s="861">
        <f t="shared" si="414"/>
        <v>6.8079999999999998</v>
      </c>
      <c r="J507" s="861">
        <f t="shared" si="414"/>
        <v>-1.5489999999999999</v>
      </c>
      <c r="K507" s="882">
        <f t="shared" si="415"/>
        <v>1.036</v>
      </c>
      <c r="L507" s="861">
        <f t="shared" si="415"/>
        <v>-0.57099999999999995</v>
      </c>
      <c r="M507" s="861">
        <f t="shared" si="416"/>
        <v>-1.2530000000000001</v>
      </c>
      <c r="N507" s="861">
        <f t="shared" si="416"/>
        <v>-2.0729999999999995</v>
      </c>
      <c r="O507" s="861">
        <f t="shared" si="416"/>
        <v>-1.7130000000000005</v>
      </c>
      <c r="P507" s="882">
        <f t="shared" si="417"/>
        <v>-5.61</v>
      </c>
      <c r="Q507" s="861">
        <f t="shared" si="417"/>
        <v>-4.5570000000000004</v>
      </c>
      <c r="R507" s="861">
        <f t="shared" si="418"/>
        <v>-4.2889999999999997</v>
      </c>
      <c r="S507" s="861">
        <f t="shared" si="418"/>
        <v>-1.4740000000000002</v>
      </c>
      <c r="T507" s="861">
        <f t="shared" si="418"/>
        <v>1.9299999999999997</v>
      </c>
      <c r="U507" s="882">
        <f t="shared" si="419"/>
        <v>-8.39</v>
      </c>
      <c r="V507" s="861">
        <f t="shared" si="419"/>
        <v>-3.4329999999999998</v>
      </c>
      <c r="W507" s="861">
        <f t="shared" si="420"/>
        <v>-2.1390000000000002</v>
      </c>
      <c r="X507" s="861">
        <f t="shared" si="420"/>
        <v>-2.6230000000000002</v>
      </c>
      <c r="Y507" s="841">
        <f t="shared" si="420"/>
        <v>2.702</v>
      </c>
      <c r="Z507" s="840">
        <f t="shared" si="421"/>
        <v>-5.4930000000000003</v>
      </c>
      <c r="AA507" s="841">
        <f t="shared" si="421"/>
        <v>-1.1020000000000001</v>
      </c>
      <c r="AB507" s="861">
        <f t="shared" si="422"/>
        <v>0.17300000000000004</v>
      </c>
      <c r="AC507" s="861">
        <f t="shared" si="422"/>
        <v>0.22000000000000008</v>
      </c>
      <c r="AD507" s="841">
        <f t="shared" si="422"/>
        <v>1.556</v>
      </c>
      <c r="AE507" s="840">
        <f t="shared" si="423"/>
        <v>0.84699999999999998</v>
      </c>
      <c r="AF507" s="841">
        <f t="shared" si="423"/>
        <v>0</v>
      </c>
      <c r="AG507" s="861">
        <f t="shared" si="424"/>
        <v>0</v>
      </c>
      <c r="AH507" s="861">
        <f t="shared" si="424"/>
        <v>0</v>
      </c>
      <c r="AI507" s="841">
        <f t="shared" si="424"/>
        <v>0</v>
      </c>
      <c r="AJ507" s="840">
        <f t="shared" si="425"/>
        <v>0</v>
      </c>
      <c r="AK507" s="841">
        <f t="shared" si="425"/>
        <v>0</v>
      </c>
      <c r="AL507" s="861">
        <f t="shared" si="426"/>
        <v>0</v>
      </c>
      <c r="AM507" s="842">
        <f t="shared" si="426"/>
        <v>0</v>
      </c>
      <c r="AN507" s="874"/>
      <c r="AO507" s="844">
        <f t="shared" si="427"/>
        <v>0</v>
      </c>
      <c r="AP507" s="874"/>
      <c r="AQ507" s="874"/>
      <c r="AR507" s="874"/>
      <c r="AS507" s="874"/>
      <c r="AT507" s="844">
        <f t="shared" si="429"/>
        <v>0</v>
      </c>
      <c r="AU507" s="875"/>
      <c r="AV507" s="875"/>
      <c r="AW507" s="875"/>
      <c r="AX507" s="793"/>
    </row>
    <row r="508" spans="1:50" s="29" customFormat="1" x14ac:dyDescent="0.45">
      <c r="A508" s="61" t="str">
        <f t="shared" si="386"/>
        <v>Accrued compensation and related benefits</v>
      </c>
      <c r="B508" s="147"/>
      <c r="C508" s="840">
        <f t="shared" si="413"/>
        <v>-1.006</v>
      </c>
      <c r="D508" s="840">
        <f t="shared" si="413"/>
        <v>1.296</v>
      </c>
      <c r="E508" s="840">
        <f t="shared" si="413"/>
        <v>1.623</v>
      </c>
      <c r="F508" s="840">
        <f t="shared" si="413"/>
        <v>4.4999999999999998E-2</v>
      </c>
      <c r="G508" s="841">
        <f t="shared" si="413"/>
        <v>0.158</v>
      </c>
      <c r="H508" s="841">
        <f t="shared" si="414"/>
        <v>-9.7000000000000003E-2</v>
      </c>
      <c r="I508" s="841">
        <f t="shared" si="414"/>
        <v>1.716</v>
      </c>
      <c r="J508" s="841">
        <f t="shared" si="414"/>
        <v>2.2610000000000001</v>
      </c>
      <c r="K508" s="840">
        <f t="shared" si="415"/>
        <v>4.0380000000000003</v>
      </c>
      <c r="L508" s="841">
        <f t="shared" si="415"/>
        <v>-2.0590000000000002</v>
      </c>
      <c r="M508" s="841">
        <f t="shared" si="416"/>
        <v>2.0550000000000002</v>
      </c>
      <c r="N508" s="841">
        <f t="shared" si="416"/>
        <v>3.6389999999999998</v>
      </c>
      <c r="O508" s="841">
        <f t="shared" si="416"/>
        <v>4.463000000000001</v>
      </c>
      <c r="P508" s="840">
        <f t="shared" si="417"/>
        <v>8.0980000000000008</v>
      </c>
      <c r="Q508" s="841">
        <f t="shared" si="417"/>
        <v>-8.4060000000000006</v>
      </c>
      <c r="R508" s="841">
        <f t="shared" si="418"/>
        <v>0.67600000000000016</v>
      </c>
      <c r="S508" s="841">
        <f t="shared" si="418"/>
        <v>2.4000000000000021E-2</v>
      </c>
      <c r="T508" s="841">
        <f t="shared" si="418"/>
        <v>1.7920000000000007</v>
      </c>
      <c r="U508" s="840">
        <f t="shared" si="419"/>
        <v>-5.9139999999999997</v>
      </c>
      <c r="V508" s="841">
        <f t="shared" si="419"/>
        <v>-5.7210000000000001</v>
      </c>
      <c r="W508" s="841">
        <f t="shared" si="420"/>
        <v>1.5419999999999998</v>
      </c>
      <c r="X508" s="841">
        <f t="shared" si="420"/>
        <v>4.1290000000000004</v>
      </c>
      <c r="Y508" s="841">
        <f t="shared" si="420"/>
        <v>5.2869999999999999</v>
      </c>
      <c r="Z508" s="840">
        <f t="shared" si="421"/>
        <v>5.2370000000000001</v>
      </c>
      <c r="AA508" s="841">
        <f t="shared" si="421"/>
        <v>-10.244999999999999</v>
      </c>
      <c r="AB508" s="841">
        <f t="shared" si="422"/>
        <v>2.9429999999999996</v>
      </c>
      <c r="AC508" s="841">
        <f t="shared" si="422"/>
        <v>3.9869999999999997</v>
      </c>
      <c r="AD508" s="841">
        <f t="shared" si="422"/>
        <v>5.5430000000000001</v>
      </c>
      <c r="AE508" s="840">
        <f t="shared" si="423"/>
        <v>2.2280000000000002</v>
      </c>
      <c r="AF508" s="841">
        <f t="shared" si="423"/>
        <v>-11.087999999999999</v>
      </c>
      <c r="AG508" s="841">
        <f t="shared" si="424"/>
        <v>1.3179999999999996</v>
      </c>
      <c r="AH508" s="841">
        <f t="shared" si="424"/>
        <v>5.2939999999999996</v>
      </c>
      <c r="AI508" s="841">
        <f t="shared" si="424"/>
        <v>1.484</v>
      </c>
      <c r="AJ508" s="840">
        <f t="shared" si="425"/>
        <v>-2.992</v>
      </c>
      <c r="AK508" s="841">
        <f t="shared" si="425"/>
        <v>-9.9939999999999998</v>
      </c>
      <c r="AL508" s="841">
        <f t="shared" si="426"/>
        <v>6.1559999999999997</v>
      </c>
      <c r="AM508" s="842">
        <f t="shared" si="426"/>
        <v>2.6790000000000003</v>
      </c>
      <c r="AN508" s="843">
        <f>AN601-AM601</f>
        <v>-3.6086084000000014</v>
      </c>
      <c r="AO508" s="844">
        <f t="shared" si="427"/>
        <v>-4.7676084000000012</v>
      </c>
      <c r="AP508" s="843">
        <f t="shared" ref="AP508:AS508" si="435">AP601-AO601</f>
        <v>0.20308739999999759</v>
      </c>
      <c r="AQ508" s="843">
        <f t="shared" si="435"/>
        <v>0.18081040000000215</v>
      </c>
      <c r="AR508" s="843">
        <f t="shared" si="435"/>
        <v>0.16170719999999861</v>
      </c>
      <c r="AS508" s="843">
        <f t="shared" si="435"/>
        <v>0.15627007200000165</v>
      </c>
      <c r="AT508" s="844">
        <f t="shared" si="429"/>
        <v>0.70187507199999999</v>
      </c>
      <c r="AU508" s="844">
        <f t="shared" ref="AU508:AW508" si="436">AU601-AT601</f>
        <v>0.6710740081120008</v>
      </c>
      <c r="AV508" s="844">
        <f t="shared" si="436"/>
        <v>0.70661390642134592</v>
      </c>
      <c r="AW508" s="844">
        <f t="shared" si="436"/>
        <v>0.7443361781118476</v>
      </c>
      <c r="AX508" s="793"/>
    </row>
    <row r="509" spans="1:50" s="29" customFormat="1" x14ac:dyDescent="0.45">
      <c r="A509" s="111" t="str">
        <f t="shared" si="386"/>
        <v>Income taxes</v>
      </c>
      <c r="B509" s="149"/>
      <c r="C509" s="882">
        <f t="shared" si="413"/>
        <v>-1.4039999999999999</v>
      </c>
      <c r="D509" s="882">
        <f t="shared" si="413"/>
        <v>5.0540000000000003</v>
      </c>
      <c r="E509" s="882">
        <f t="shared" si="413"/>
        <v>0.61499999999999999</v>
      </c>
      <c r="F509" s="882">
        <f t="shared" si="413"/>
        <v>1.0820000000000001</v>
      </c>
      <c r="G509" s="861">
        <f t="shared" si="413"/>
        <v>3.823</v>
      </c>
      <c r="H509" s="861">
        <f t="shared" si="414"/>
        <v>-5.7219999999999995</v>
      </c>
      <c r="I509" s="861">
        <f t="shared" si="414"/>
        <v>1.198</v>
      </c>
      <c r="J509" s="861">
        <f t="shared" si="414"/>
        <v>-8.5259999999999998</v>
      </c>
      <c r="K509" s="882">
        <f t="shared" si="415"/>
        <v>-9.2270000000000003</v>
      </c>
      <c r="L509" s="861">
        <f t="shared" si="415"/>
        <v>2.1890000000000001</v>
      </c>
      <c r="M509" s="861">
        <f t="shared" si="416"/>
        <v>2.21</v>
      </c>
      <c r="N509" s="861">
        <f t="shared" si="416"/>
        <v>0.46900000000000031</v>
      </c>
      <c r="O509" s="861">
        <f t="shared" si="416"/>
        <v>13.31</v>
      </c>
      <c r="P509" s="882">
        <f t="shared" si="417"/>
        <v>18.178000000000001</v>
      </c>
      <c r="Q509" s="861">
        <f t="shared" si="417"/>
        <v>-7.14</v>
      </c>
      <c r="R509" s="861">
        <f t="shared" si="418"/>
        <v>-5.3090000000000002</v>
      </c>
      <c r="S509" s="861">
        <f t="shared" si="418"/>
        <v>-5.9459999999999997</v>
      </c>
      <c r="T509" s="861">
        <f t="shared" si="418"/>
        <v>-22.075999999999997</v>
      </c>
      <c r="U509" s="882">
        <f t="shared" si="419"/>
        <v>-40.470999999999997</v>
      </c>
      <c r="V509" s="861">
        <f t="shared" si="419"/>
        <v>-0.42299999999999999</v>
      </c>
      <c r="W509" s="861">
        <f t="shared" si="420"/>
        <v>17.635999999999999</v>
      </c>
      <c r="X509" s="861">
        <f t="shared" si="420"/>
        <v>0.84699999999999775</v>
      </c>
      <c r="Y509" s="841">
        <f t="shared" si="420"/>
        <v>16.680000000000003</v>
      </c>
      <c r="Z509" s="840">
        <f t="shared" si="421"/>
        <v>34.74</v>
      </c>
      <c r="AA509" s="841">
        <f t="shared" si="421"/>
        <v>2.157</v>
      </c>
      <c r="AB509" s="861">
        <f t="shared" si="422"/>
        <v>-2.5049999999999999</v>
      </c>
      <c r="AC509" s="861">
        <f t="shared" si="422"/>
        <v>-1.6080000000000001</v>
      </c>
      <c r="AD509" s="841">
        <f t="shared" si="422"/>
        <v>-6.5739999999999998</v>
      </c>
      <c r="AE509" s="840">
        <f t="shared" si="423"/>
        <v>-8.5299999999999994</v>
      </c>
      <c r="AF509" s="841">
        <f t="shared" si="423"/>
        <v>0.624</v>
      </c>
      <c r="AG509" s="861">
        <f t="shared" si="424"/>
        <v>1.835</v>
      </c>
      <c r="AH509" s="861">
        <f t="shared" si="424"/>
        <v>0.13600000000000012</v>
      </c>
      <c r="AI509" s="841">
        <f t="shared" si="424"/>
        <v>1.4540000000000002</v>
      </c>
      <c r="AJ509" s="840">
        <f t="shared" si="425"/>
        <v>4.0490000000000004</v>
      </c>
      <c r="AK509" s="841">
        <f t="shared" si="425"/>
        <v>0.98199999999999998</v>
      </c>
      <c r="AL509" s="861">
        <f t="shared" si="426"/>
        <v>-0.58599999999999997</v>
      </c>
      <c r="AM509" s="842">
        <f t="shared" si="426"/>
        <v>-2.2170000000000001</v>
      </c>
      <c r="AN509" s="874"/>
      <c r="AO509" s="844">
        <f t="shared" si="427"/>
        <v>-1.8210000000000002</v>
      </c>
      <c r="AP509" s="874"/>
      <c r="AQ509" s="874"/>
      <c r="AR509" s="874"/>
      <c r="AS509" s="874"/>
      <c r="AT509" s="844">
        <f t="shared" si="429"/>
        <v>0</v>
      </c>
      <c r="AU509" s="875"/>
      <c r="AV509" s="875"/>
      <c r="AW509" s="875"/>
      <c r="AX509" s="793"/>
    </row>
    <row r="510" spans="1:50" s="29" customFormat="1" x14ac:dyDescent="0.45">
      <c r="A510" s="61" t="str">
        <f t="shared" si="386"/>
        <v>Other current liabilities</v>
      </c>
      <c r="B510" s="147"/>
      <c r="C510" s="840">
        <f t="shared" si="413"/>
        <v>0.84599999999999997</v>
      </c>
      <c r="D510" s="840">
        <f t="shared" si="413"/>
        <v>12.56</v>
      </c>
      <c r="E510" s="840">
        <f t="shared" si="413"/>
        <v>-1.91</v>
      </c>
      <c r="F510" s="840">
        <f t="shared" si="413"/>
        <v>9.0790000000000006</v>
      </c>
      <c r="G510" s="841">
        <f t="shared" si="413"/>
        <v>0.14899999999999999</v>
      </c>
      <c r="H510" s="841">
        <f t="shared" si="414"/>
        <v>1.669</v>
      </c>
      <c r="I510" s="841">
        <f t="shared" si="414"/>
        <v>-1.3640000000000001</v>
      </c>
      <c r="J510" s="841">
        <f t="shared" si="414"/>
        <v>-0.45400000000000001</v>
      </c>
      <c r="K510" s="840">
        <f t="shared" si="415"/>
        <v>0</v>
      </c>
      <c r="L510" s="841">
        <f t="shared" si="415"/>
        <v>0</v>
      </c>
      <c r="M510" s="841">
        <f t="shared" si="416"/>
        <v>0</v>
      </c>
      <c r="N510" s="841">
        <f t="shared" si="416"/>
        <v>0</v>
      </c>
      <c r="O510" s="841">
        <f t="shared" si="416"/>
        <v>0</v>
      </c>
      <c r="P510" s="840">
        <f t="shared" si="417"/>
        <v>0</v>
      </c>
      <c r="Q510" s="841">
        <f t="shared" si="417"/>
        <v>0</v>
      </c>
      <c r="R510" s="841">
        <f t="shared" si="418"/>
        <v>0</v>
      </c>
      <c r="S510" s="841">
        <f t="shared" si="418"/>
        <v>0</v>
      </c>
      <c r="T510" s="841">
        <f t="shared" si="418"/>
        <v>0</v>
      </c>
      <c r="U510" s="840">
        <f t="shared" si="419"/>
        <v>0</v>
      </c>
      <c r="V510" s="841">
        <f t="shared" si="419"/>
        <v>0</v>
      </c>
      <c r="W510" s="841">
        <f t="shared" si="420"/>
        <v>0</v>
      </c>
      <c r="X510" s="841">
        <f t="shared" si="420"/>
        <v>0</v>
      </c>
      <c r="Y510" s="841">
        <f t="shared" si="420"/>
        <v>0</v>
      </c>
      <c r="Z510" s="840">
        <f t="shared" si="421"/>
        <v>0</v>
      </c>
      <c r="AA510" s="841">
        <f t="shared" si="421"/>
        <v>0</v>
      </c>
      <c r="AB510" s="841">
        <f t="shared" si="422"/>
        <v>0</v>
      </c>
      <c r="AC510" s="841">
        <f t="shared" si="422"/>
        <v>0</v>
      </c>
      <c r="AD510" s="841">
        <f t="shared" si="422"/>
        <v>0</v>
      </c>
      <c r="AE510" s="840">
        <f t="shared" si="423"/>
        <v>0</v>
      </c>
      <c r="AF510" s="841">
        <f t="shared" si="423"/>
        <v>0</v>
      </c>
      <c r="AG510" s="841">
        <f t="shared" si="424"/>
        <v>0</v>
      </c>
      <c r="AH510" s="841">
        <f t="shared" si="424"/>
        <v>0</v>
      </c>
      <c r="AI510" s="841">
        <f t="shared" si="424"/>
        <v>0</v>
      </c>
      <c r="AJ510" s="840">
        <f t="shared" si="425"/>
        <v>0</v>
      </c>
      <c r="AK510" s="841">
        <f t="shared" si="425"/>
        <v>0</v>
      </c>
      <c r="AL510" s="841">
        <f t="shared" si="426"/>
        <v>0</v>
      </c>
      <c r="AM510" s="842">
        <f t="shared" si="426"/>
        <v>0</v>
      </c>
      <c r="AN510" s="843"/>
      <c r="AO510" s="844">
        <f t="shared" si="427"/>
        <v>0</v>
      </c>
      <c r="AP510" s="843"/>
      <c r="AQ510" s="843"/>
      <c r="AR510" s="843"/>
      <c r="AS510" s="843"/>
      <c r="AT510" s="844">
        <f t="shared" si="429"/>
        <v>0</v>
      </c>
      <c r="AU510" s="844"/>
      <c r="AV510" s="844"/>
      <c r="AW510" s="844"/>
      <c r="AX510" s="793"/>
    </row>
    <row r="511" spans="1:50" s="29" customFormat="1" x14ac:dyDescent="0.45">
      <c r="A511" s="111" t="str">
        <f t="shared" si="386"/>
        <v>Deferred compensation</v>
      </c>
      <c r="B511" s="149"/>
      <c r="C511" s="882">
        <f t="shared" si="413"/>
        <v>4.5999999999999999E-2</v>
      </c>
      <c r="D511" s="882">
        <f t="shared" si="413"/>
        <v>0.60499999999999998</v>
      </c>
      <c r="E511" s="882">
        <f t="shared" si="413"/>
        <v>1.0089999999999999</v>
      </c>
      <c r="F511" s="882">
        <f t="shared" si="413"/>
        <v>0.312</v>
      </c>
      <c r="G511" s="861">
        <f t="shared" si="413"/>
        <v>0.14099999999999999</v>
      </c>
      <c r="H511" s="861">
        <f t="shared" si="414"/>
        <v>0.34799999999999998</v>
      </c>
      <c r="I511" s="861">
        <f t="shared" si="414"/>
        <v>0.25900000000000001</v>
      </c>
      <c r="J511" s="861">
        <f t="shared" si="414"/>
        <v>0.252</v>
      </c>
      <c r="K511" s="882">
        <f t="shared" si="415"/>
        <v>1</v>
      </c>
      <c r="L511" s="861">
        <f t="shared" si="415"/>
        <v>0.373</v>
      </c>
      <c r="M511" s="861">
        <f t="shared" si="416"/>
        <v>0.13</v>
      </c>
      <c r="N511" s="861">
        <f t="shared" si="416"/>
        <v>0.16500000000000004</v>
      </c>
      <c r="O511" s="861">
        <f t="shared" si="416"/>
        <v>0.27299999999999991</v>
      </c>
      <c r="P511" s="882">
        <f t="shared" si="417"/>
        <v>0.94099999999999995</v>
      </c>
      <c r="Q511" s="861">
        <f t="shared" si="417"/>
        <v>0.63500000000000001</v>
      </c>
      <c r="R511" s="861">
        <f t="shared" si="418"/>
        <v>-6.0000000000000053E-2</v>
      </c>
      <c r="S511" s="861">
        <f t="shared" si="418"/>
        <v>0.34200000000000008</v>
      </c>
      <c r="T511" s="861">
        <f t="shared" si="418"/>
        <v>-0.31000000000000005</v>
      </c>
      <c r="U511" s="882">
        <f t="shared" si="419"/>
        <v>0.60699999999999998</v>
      </c>
      <c r="V511" s="861">
        <f t="shared" si="419"/>
        <v>0.26</v>
      </c>
      <c r="W511" s="861">
        <f t="shared" si="420"/>
        <v>0.17699999999999999</v>
      </c>
      <c r="X511" s="861">
        <f t="shared" si="420"/>
        <v>-5.5999999999999994E-2</v>
      </c>
      <c r="Y511" s="841">
        <f t="shared" si="420"/>
        <v>-0.10899999999999999</v>
      </c>
      <c r="Z511" s="840">
        <f t="shared" si="421"/>
        <v>0.27200000000000002</v>
      </c>
      <c r="AA511" s="841">
        <f t="shared" si="421"/>
        <v>-0.24299999999999999</v>
      </c>
      <c r="AB511" s="861">
        <f t="shared" si="422"/>
        <v>5.1999999999999991E-2</v>
      </c>
      <c r="AC511" s="861">
        <f t="shared" si="422"/>
        <v>3.5000000000000003E-2</v>
      </c>
      <c r="AD511" s="841">
        <f t="shared" si="422"/>
        <v>-0.38700000000000001</v>
      </c>
      <c r="AE511" s="840">
        <f t="shared" si="423"/>
        <v>-0.54300000000000004</v>
      </c>
      <c r="AF511" s="841">
        <f t="shared" si="423"/>
        <v>-0.14899999999999999</v>
      </c>
      <c r="AG511" s="861">
        <f t="shared" si="424"/>
        <v>1.3999999999999985E-2</v>
      </c>
      <c r="AH511" s="861">
        <f t="shared" si="424"/>
        <v>-0.38700000000000001</v>
      </c>
      <c r="AI511" s="841">
        <f t="shared" si="424"/>
        <v>0.34100000000000003</v>
      </c>
      <c r="AJ511" s="840">
        <f t="shared" si="425"/>
        <v>-0.18099999999999999</v>
      </c>
      <c r="AK511" s="841">
        <f t="shared" si="425"/>
        <v>0.14099999999999999</v>
      </c>
      <c r="AL511" s="861">
        <f t="shared" si="426"/>
        <v>-0.11299999999999999</v>
      </c>
      <c r="AM511" s="842">
        <f t="shared" si="426"/>
        <v>0.26499999999999996</v>
      </c>
      <c r="AN511" s="874"/>
      <c r="AO511" s="844">
        <f t="shared" si="427"/>
        <v>0.29299999999999993</v>
      </c>
      <c r="AP511" s="874"/>
      <c r="AQ511" s="874"/>
      <c r="AR511" s="874"/>
      <c r="AS511" s="874"/>
      <c r="AT511" s="844">
        <f t="shared" si="429"/>
        <v>0</v>
      </c>
      <c r="AU511" s="875"/>
      <c r="AV511" s="875"/>
      <c r="AW511" s="875"/>
      <c r="AX511" s="793"/>
    </row>
    <row r="512" spans="1:50" s="29" customFormat="1" x14ac:dyDescent="0.45">
      <c r="A512" s="111" t="str">
        <f t="shared" si="386"/>
        <v>Contract assets</v>
      </c>
      <c r="B512" s="149"/>
      <c r="C512" s="882">
        <f t="shared" si="413"/>
        <v>0</v>
      </c>
      <c r="D512" s="882">
        <f t="shared" si="413"/>
        <v>0</v>
      </c>
      <c r="E512" s="882">
        <f t="shared" si="413"/>
        <v>0</v>
      </c>
      <c r="F512" s="882">
        <f t="shared" si="413"/>
        <v>0</v>
      </c>
      <c r="G512" s="861">
        <f t="shared" si="413"/>
        <v>0</v>
      </c>
      <c r="H512" s="861">
        <f t="shared" si="414"/>
        <v>0</v>
      </c>
      <c r="I512" s="861">
        <f t="shared" si="414"/>
        <v>0</v>
      </c>
      <c r="J512" s="861">
        <f t="shared" si="414"/>
        <v>0</v>
      </c>
      <c r="K512" s="882">
        <f t="shared" si="415"/>
        <v>0</v>
      </c>
      <c r="L512" s="861">
        <f t="shared" si="415"/>
        <v>0</v>
      </c>
      <c r="M512" s="861">
        <f t="shared" si="416"/>
        <v>0</v>
      </c>
      <c r="N512" s="861">
        <f t="shared" si="416"/>
        <v>0</v>
      </c>
      <c r="O512" s="861">
        <f t="shared" si="416"/>
        <v>0</v>
      </c>
      <c r="P512" s="882">
        <f t="shared" si="417"/>
        <v>0</v>
      </c>
      <c r="Q512" s="861">
        <f t="shared" si="417"/>
        <v>0</v>
      </c>
      <c r="R512" s="861">
        <f t="shared" si="418"/>
        <v>0</v>
      </c>
      <c r="S512" s="861">
        <f t="shared" si="418"/>
        <v>0</v>
      </c>
      <c r="T512" s="861">
        <f t="shared" si="418"/>
        <v>0</v>
      </c>
      <c r="U512" s="882">
        <f t="shared" si="419"/>
        <v>0</v>
      </c>
      <c r="V512" s="861">
        <f t="shared" si="419"/>
        <v>0</v>
      </c>
      <c r="W512" s="861">
        <f t="shared" si="420"/>
        <v>0</v>
      </c>
      <c r="X512" s="861">
        <f t="shared" si="420"/>
        <v>0</v>
      </c>
      <c r="Y512" s="861">
        <f t="shared" si="420"/>
        <v>0</v>
      </c>
      <c r="Z512" s="882">
        <f t="shared" si="421"/>
        <v>0</v>
      </c>
      <c r="AA512" s="861">
        <f t="shared" si="421"/>
        <v>0</v>
      </c>
      <c r="AB512" s="861">
        <f t="shared" si="422"/>
        <v>0</v>
      </c>
      <c r="AC512" s="861">
        <f t="shared" si="422"/>
        <v>0</v>
      </c>
      <c r="AD512" s="861">
        <f t="shared" si="422"/>
        <v>0</v>
      </c>
      <c r="AE512" s="882">
        <f t="shared" si="423"/>
        <v>0</v>
      </c>
      <c r="AF512" s="861">
        <f t="shared" si="423"/>
        <v>2.9980000000000002</v>
      </c>
      <c r="AG512" s="861">
        <f t="shared" si="424"/>
        <v>-1.6000000000000014E-2</v>
      </c>
      <c r="AH512" s="861">
        <f t="shared" si="424"/>
        <v>-1.6940000000000002</v>
      </c>
      <c r="AI512" s="861">
        <f t="shared" si="424"/>
        <v>-2.1</v>
      </c>
      <c r="AJ512" s="882">
        <f t="shared" si="425"/>
        <v>-0.81200000000000006</v>
      </c>
      <c r="AK512" s="861">
        <f t="shared" si="425"/>
        <v>1.3959999999999999</v>
      </c>
      <c r="AL512" s="861">
        <f t="shared" si="426"/>
        <v>0.44500000000000006</v>
      </c>
      <c r="AM512" s="883">
        <f t="shared" si="426"/>
        <v>-0.76</v>
      </c>
      <c r="AN512" s="862"/>
      <c r="AO512" s="863">
        <f t="shared" si="427"/>
        <v>1.081</v>
      </c>
      <c r="AP512" s="862"/>
      <c r="AQ512" s="862"/>
      <c r="AR512" s="862"/>
      <c r="AS512" s="862"/>
      <c r="AT512" s="863">
        <f t="shared" si="429"/>
        <v>0</v>
      </c>
      <c r="AU512" s="863"/>
      <c r="AV512" s="863"/>
      <c r="AW512" s="863"/>
      <c r="AX512" s="793"/>
    </row>
    <row r="513" spans="1:50" s="29" customFormat="1" x14ac:dyDescent="0.45">
      <c r="A513" s="111" t="str">
        <f t="shared" si="386"/>
        <v>Contract liabilities</v>
      </c>
      <c r="B513" s="149"/>
      <c r="C513" s="882">
        <f t="shared" si="413"/>
        <v>0</v>
      </c>
      <c r="D513" s="882">
        <f t="shared" si="413"/>
        <v>0</v>
      </c>
      <c r="E513" s="882">
        <f t="shared" si="413"/>
        <v>0</v>
      </c>
      <c r="F513" s="882">
        <f t="shared" si="413"/>
        <v>0</v>
      </c>
      <c r="G513" s="861">
        <f t="shared" si="413"/>
        <v>0</v>
      </c>
      <c r="H513" s="861">
        <f t="shared" si="414"/>
        <v>0</v>
      </c>
      <c r="I513" s="861">
        <f t="shared" si="414"/>
        <v>0</v>
      </c>
      <c r="J513" s="861">
        <f t="shared" si="414"/>
        <v>0</v>
      </c>
      <c r="K513" s="882">
        <f t="shared" si="415"/>
        <v>0</v>
      </c>
      <c r="L513" s="861">
        <f t="shared" si="415"/>
        <v>0</v>
      </c>
      <c r="M513" s="861">
        <f t="shared" si="416"/>
        <v>0</v>
      </c>
      <c r="N513" s="861">
        <f t="shared" si="416"/>
        <v>0</v>
      </c>
      <c r="O513" s="861">
        <f t="shared" si="416"/>
        <v>0</v>
      </c>
      <c r="P513" s="882">
        <f t="shared" si="417"/>
        <v>0</v>
      </c>
      <c r="Q513" s="861">
        <f t="shared" si="417"/>
        <v>0</v>
      </c>
      <c r="R513" s="861">
        <f t="shared" si="418"/>
        <v>0</v>
      </c>
      <c r="S513" s="861">
        <f t="shared" si="418"/>
        <v>0</v>
      </c>
      <c r="T513" s="861">
        <f t="shared" si="418"/>
        <v>0</v>
      </c>
      <c r="U513" s="882">
        <f t="shared" si="419"/>
        <v>0</v>
      </c>
      <c r="V513" s="861">
        <f t="shared" si="419"/>
        <v>0</v>
      </c>
      <c r="W513" s="861">
        <f t="shared" si="420"/>
        <v>0</v>
      </c>
      <c r="X513" s="861">
        <f t="shared" si="420"/>
        <v>0</v>
      </c>
      <c r="Y513" s="861">
        <f t="shared" si="420"/>
        <v>0</v>
      </c>
      <c r="Z513" s="882">
        <f t="shared" si="421"/>
        <v>0</v>
      </c>
      <c r="AA513" s="861">
        <f t="shared" si="421"/>
        <v>0</v>
      </c>
      <c r="AB513" s="861">
        <f t="shared" si="422"/>
        <v>0</v>
      </c>
      <c r="AC513" s="861">
        <f t="shared" si="422"/>
        <v>0</v>
      </c>
      <c r="AD513" s="861">
        <f t="shared" si="422"/>
        <v>0</v>
      </c>
      <c r="AE513" s="882">
        <f t="shared" si="423"/>
        <v>0</v>
      </c>
      <c r="AF513" s="861">
        <f t="shared" si="423"/>
        <v>-6.0570000000000004</v>
      </c>
      <c r="AG513" s="861">
        <f t="shared" si="424"/>
        <v>-2.173</v>
      </c>
      <c r="AH513" s="861">
        <f t="shared" si="424"/>
        <v>0.42600000000000016</v>
      </c>
      <c r="AI513" s="861">
        <f t="shared" si="424"/>
        <v>3.673</v>
      </c>
      <c r="AJ513" s="882">
        <f t="shared" si="425"/>
        <v>-4.1310000000000002</v>
      </c>
      <c r="AK513" s="861">
        <f t="shared" si="425"/>
        <v>-2.0459999999999998</v>
      </c>
      <c r="AL513" s="861">
        <f t="shared" si="426"/>
        <v>0.1379999999999999</v>
      </c>
      <c r="AM513" s="883">
        <f t="shared" si="426"/>
        <v>-2.1060000000000003</v>
      </c>
      <c r="AN513" s="862"/>
      <c r="AO513" s="863">
        <f t="shared" si="427"/>
        <v>-4.0140000000000002</v>
      </c>
      <c r="AP513" s="862"/>
      <c r="AQ513" s="862"/>
      <c r="AR513" s="862"/>
      <c r="AS513" s="862"/>
      <c r="AT513" s="863">
        <f t="shared" si="429"/>
        <v>0</v>
      </c>
      <c r="AU513" s="863"/>
      <c r="AV513" s="863"/>
      <c r="AW513" s="863"/>
      <c r="AX513" s="793"/>
    </row>
    <row r="514" spans="1:50" s="29" customFormat="1" x14ac:dyDescent="0.45">
      <c r="A514" s="111" t="str">
        <f t="shared" si="386"/>
        <v>Operating lease liabilities</v>
      </c>
      <c r="B514" s="149"/>
      <c r="C514" s="882">
        <f t="shared" si="413"/>
        <v>0</v>
      </c>
      <c r="D514" s="882">
        <f t="shared" si="413"/>
        <v>0</v>
      </c>
      <c r="E514" s="882">
        <f t="shared" si="413"/>
        <v>0</v>
      </c>
      <c r="F514" s="882">
        <f t="shared" si="413"/>
        <v>0</v>
      </c>
      <c r="G514" s="861">
        <f t="shared" si="413"/>
        <v>0</v>
      </c>
      <c r="H514" s="861">
        <f t="shared" si="414"/>
        <v>0</v>
      </c>
      <c r="I514" s="861">
        <f t="shared" si="414"/>
        <v>0</v>
      </c>
      <c r="J514" s="861">
        <f t="shared" si="414"/>
        <v>0</v>
      </c>
      <c r="K514" s="882">
        <f t="shared" si="415"/>
        <v>0</v>
      </c>
      <c r="L514" s="861">
        <f t="shared" si="415"/>
        <v>0</v>
      </c>
      <c r="M514" s="861">
        <f t="shared" si="416"/>
        <v>0</v>
      </c>
      <c r="N514" s="861">
        <f t="shared" si="416"/>
        <v>0</v>
      </c>
      <c r="O514" s="861">
        <f t="shared" si="416"/>
        <v>0</v>
      </c>
      <c r="P514" s="882">
        <f t="shared" si="417"/>
        <v>0</v>
      </c>
      <c r="Q514" s="861">
        <f t="shared" si="417"/>
        <v>0</v>
      </c>
      <c r="R514" s="861">
        <f t="shared" si="418"/>
        <v>0</v>
      </c>
      <c r="S514" s="861">
        <f t="shared" si="418"/>
        <v>0</v>
      </c>
      <c r="T514" s="861">
        <f t="shared" si="418"/>
        <v>0</v>
      </c>
      <c r="U514" s="882">
        <f t="shared" si="419"/>
        <v>0</v>
      </c>
      <c r="V514" s="861">
        <f t="shared" si="419"/>
        <v>0</v>
      </c>
      <c r="W514" s="861">
        <f t="shared" si="420"/>
        <v>0</v>
      </c>
      <c r="X514" s="861">
        <f t="shared" si="420"/>
        <v>0</v>
      </c>
      <c r="Y514" s="841">
        <f t="shared" si="420"/>
        <v>0</v>
      </c>
      <c r="Z514" s="840">
        <f t="shared" si="421"/>
        <v>0</v>
      </c>
      <c r="AA514" s="841">
        <f t="shared" si="421"/>
        <v>0</v>
      </c>
      <c r="AB514" s="861">
        <f t="shared" si="422"/>
        <v>0</v>
      </c>
      <c r="AC514" s="861">
        <f t="shared" si="422"/>
        <v>0</v>
      </c>
      <c r="AD514" s="841">
        <f t="shared" si="422"/>
        <v>0</v>
      </c>
      <c r="AE514" s="840">
        <f t="shared" si="423"/>
        <v>0</v>
      </c>
      <c r="AF514" s="841">
        <f t="shared" si="423"/>
        <v>0</v>
      </c>
      <c r="AG514" s="861">
        <f t="shared" si="424"/>
        <v>0</v>
      </c>
      <c r="AH514" s="861">
        <f t="shared" si="424"/>
        <v>0</v>
      </c>
      <c r="AI514" s="841">
        <f t="shared" si="424"/>
        <v>0</v>
      </c>
      <c r="AJ514" s="840">
        <f t="shared" si="425"/>
        <v>0</v>
      </c>
      <c r="AK514" s="841">
        <f t="shared" si="425"/>
        <v>-2.286</v>
      </c>
      <c r="AL514" s="861">
        <f t="shared" si="426"/>
        <v>-2.371</v>
      </c>
      <c r="AM514" s="842">
        <f t="shared" si="426"/>
        <v>-2.4850000000000003</v>
      </c>
      <c r="AN514" s="874"/>
      <c r="AO514" s="844">
        <f t="shared" si="427"/>
        <v>-7.1420000000000003</v>
      </c>
      <c r="AP514" s="874"/>
      <c r="AQ514" s="874"/>
      <c r="AR514" s="874"/>
      <c r="AS514" s="874"/>
      <c r="AT514" s="844">
        <f t="shared" si="429"/>
        <v>0</v>
      </c>
      <c r="AU514" s="875"/>
      <c r="AV514" s="875"/>
      <c r="AW514" s="875"/>
      <c r="AX514" s="793"/>
    </row>
    <row r="515" spans="1:50" s="29" customFormat="1" x14ac:dyDescent="0.45">
      <c r="A515" s="214" t="str">
        <f t="shared" si="386"/>
        <v>Other assets and liabilities</v>
      </c>
      <c r="B515" s="215"/>
      <c r="C515" s="848">
        <f t="shared" si="413"/>
        <v>0</v>
      </c>
      <c r="D515" s="848">
        <f t="shared" si="413"/>
        <v>-6.95</v>
      </c>
      <c r="E515" s="848">
        <f t="shared" si="413"/>
        <v>0.20699999999999999</v>
      </c>
      <c r="F515" s="848">
        <f t="shared" si="413"/>
        <v>-4.3840000000000003</v>
      </c>
      <c r="G515" s="849">
        <f t="shared" si="413"/>
        <v>0.84199999999999997</v>
      </c>
      <c r="H515" s="849">
        <f t="shared" si="414"/>
        <v>-0.33999999999999997</v>
      </c>
      <c r="I515" s="849">
        <f t="shared" si="414"/>
        <v>-0.20700000000000002</v>
      </c>
      <c r="J515" s="849">
        <f t="shared" si="414"/>
        <v>3.2280000000000002</v>
      </c>
      <c r="K515" s="848">
        <f t="shared" si="415"/>
        <v>3.5230000000000001</v>
      </c>
      <c r="L515" s="849">
        <f t="shared" si="415"/>
        <v>1.399</v>
      </c>
      <c r="M515" s="849">
        <f t="shared" si="416"/>
        <v>1.79</v>
      </c>
      <c r="N515" s="849">
        <f t="shared" si="416"/>
        <v>-0.71600000000000019</v>
      </c>
      <c r="O515" s="849">
        <f t="shared" si="416"/>
        <v>1.5880000000000001</v>
      </c>
      <c r="P515" s="848">
        <f t="shared" si="417"/>
        <v>4.0609999999999999</v>
      </c>
      <c r="Q515" s="849">
        <f t="shared" si="417"/>
        <v>0.56999999999999995</v>
      </c>
      <c r="R515" s="849">
        <f t="shared" si="418"/>
        <v>1.206</v>
      </c>
      <c r="S515" s="849">
        <f t="shared" si="418"/>
        <v>0.45600000000000018</v>
      </c>
      <c r="T515" s="849">
        <f t="shared" si="418"/>
        <v>-3.6130000000000004</v>
      </c>
      <c r="U515" s="848">
        <f t="shared" si="419"/>
        <v>-1.381</v>
      </c>
      <c r="V515" s="849">
        <f t="shared" si="419"/>
        <v>1.425</v>
      </c>
      <c r="W515" s="849">
        <f t="shared" si="420"/>
        <v>1.8309999999999997</v>
      </c>
      <c r="X515" s="849">
        <f t="shared" si="420"/>
        <v>-1.4239999999999997</v>
      </c>
      <c r="Y515" s="849">
        <f t="shared" si="420"/>
        <v>-5.3079999999999998</v>
      </c>
      <c r="Z515" s="848">
        <f t="shared" si="421"/>
        <v>-3.476</v>
      </c>
      <c r="AA515" s="849">
        <f t="shared" si="421"/>
        <v>4.2370000000000001</v>
      </c>
      <c r="AB515" s="849">
        <f t="shared" si="422"/>
        <v>0.32800000000000029</v>
      </c>
      <c r="AC515" s="849">
        <f t="shared" si="422"/>
        <v>-3.0060000000000002</v>
      </c>
      <c r="AD515" s="849">
        <f t="shared" si="422"/>
        <v>17.942999999999998</v>
      </c>
      <c r="AE515" s="848">
        <f t="shared" si="423"/>
        <v>19.501999999999999</v>
      </c>
      <c r="AF515" s="849">
        <f t="shared" si="423"/>
        <v>0.35399999999999998</v>
      </c>
      <c r="AG515" s="849">
        <f t="shared" si="424"/>
        <v>-20.529</v>
      </c>
      <c r="AH515" s="849">
        <f t="shared" si="424"/>
        <v>-4.4310000000000009</v>
      </c>
      <c r="AI515" s="849">
        <f t="shared" si="424"/>
        <v>-6.9599999999999973</v>
      </c>
      <c r="AJ515" s="848">
        <f t="shared" si="425"/>
        <v>-31.565999999999999</v>
      </c>
      <c r="AK515" s="849">
        <f t="shared" si="425"/>
        <v>1.097</v>
      </c>
      <c r="AL515" s="849">
        <f t="shared" si="426"/>
        <v>-2.0099999999999998</v>
      </c>
      <c r="AM515" s="850">
        <f t="shared" si="426"/>
        <v>-5.72</v>
      </c>
      <c r="AN515" s="849">
        <f>AM582-AN582+AN605-AM605</f>
        <v>3.1578426499999992</v>
      </c>
      <c r="AO515" s="848">
        <f t="shared" si="427"/>
        <v>-3.4751573499999999</v>
      </c>
      <c r="AP515" s="849">
        <f t="shared" ref="AP515:AS515" si="437">AO582-AP582+AP605-AO605</f>
        <v>0.17770147499999922</v>
      </c>
      <c r="AQ515" s="849">
        <f t="shared" si="437"/>
        <v>0.15820910000000055</v>
      </c>
      <c r="AR515" s="849">
        <f t="shared" si="437"/>
        <v>0.14149379999999923</v>
      </c>
      <c r="AS515" s="849">
        <f t="shared" si="437"/>
        <v>0.13673631300000721</v>
      </c>
      <c r="AT515" s="848">
        <f t="shared" si="429"/>
        <v>0.61414068800000621</v>
      </c>
      <c r="AU515" s="848">
        <f t="shared" ref="AU515:AW515" si="438">AT582-AU582+AU605-AT605</f>
        <v>0.58718975709800247</v>
      </c>
      <c r="AV515" s="848">
        <f t="shared" si="438"/>
        <v>0.61828716811867679</v>
      </c>
      <c r="AW515" s="848">
        <f t="shared" si="438"/>
        <v>0.65129415584786443</v>
      </c>
      <c r="AX515" s="793"/>
    </row>
    <row r="516" spans="1:50" s="7" customFormat="1" x14ac:dyDescent="0.45">
      <c r="A516" s="104" t="str">
        <f t="shared" si="386"/>
        <v>Net CFO</v>
      </c>
      <c r="B516" s="150"/>
      <c r="C516" s="860">
        <f t="shared" ref="C516:AW516" si="439">SUM(C500:C515)</f>
        <v>55.219999999999985</v>
      </c>
      <c r="D516" s="860">
        <f t="shared" si="439"/>
        <v>70.316999999999993</v>
      </c>
      <c r="E516" s="860">
        <f t="shared" si="439"/>
        <v>78.105000000000018</v>
      </c>
      <c r="F516" s="860">
        <f t="shared" si="439"/>
        <v>68.064999999999998</v>
      </c>
      <c r="G516" s="859">
        <f t="shared" si="439"/>
        <v>31.526999999999997</v>
      </c>
      <c r="H516" s="859">
        <f t="shared" si="439"/>
        <v>11.874000000000004</v>
      </c>
      <c r="I516" s="859">
        <f t="shared" si="439"/>
        <v>28.169999999999998</v>
      </c>
      <c r="J516" s="859">
        <f t="shared" si="439"/>
        <v>32.479999999999997</v>
      </c>
      <c r="K516" s="860">
        <f t="shared" si="439"/>
        <v>104.05099999999999</v>
      </c>
      <c r="L516" s="859">
        <f t="shared" si="439"/>
        <v>18.564999999999998</v>
      </c>
      <c r="M516" s="859">
        <f t="shared" si="439"/>
        <v>24.176000000000002</v>
      </c>
      <c r="N516" s="859">
        <f t="shared" si="439"/>
        <v>15.964999999999996</v>
      </c>
      <c r="O516" s="859">
        <f t="shared" si="439"/>
        <v>24.052000000000003</v>
      </c>
      <c r="P516" s="860">
        <f t="shared" si="439"/>
        <v>82.75800000000001</v>
      </c>
      <c r="Q516" s="859">
        <f t="shared" si="439"/>
        <v>3.7070000000000012</v>
      </c>
      <c r="R516" s="859">
        <f t="shared" si="439"/>
        <v>10.179000000000004</v>
      </c>
      <c r="S516" s="859">
        <f t="shared" si="439"/>
        <v>13.405999999999999</v>
      </c>
      <c r="T516" s="859">
        <f t="shared" si="439"/>
        <v>13.504000000000005</v>
      </c>
      <c r="U516" s="860">
        <f t="shared" si="439"/>
        <v>40.796000000000014</v>
      </c>
      <c r="V516" s="859">
        <f t="shared" si="439"/>
        <v>12.933000000000003</v>
      </c>
      <c r="W516" s="859">
        <f t="shared" si="439"/>
        <v>43.452000000000005</v>
      </c>
      <c r="X516" s="859">
        <f t="shared" si="439"/>
        <v>25.037999999999993</v>
      </c>
      <c r="Y516" s="846">
        <f t="shared" si="439"/>
        <v>29.168999999999997</v>
      </c>
      <c r="Z516" s="845">
        <f t="shared" si="439"/>
        <v>110.592</v>
      </c>
      <c r="AA516" s="846">
        <f t="shared" si="439"/>
        <v>13.793000000000001</v>
      </c>
      <c r="AB516" s="859">
        <f t="shared" si="439"/>
        <v>24.301000000000002</v>
      </c>
      <c r="AC516" s="859">
        <f t="shared" si="439"/>
        <v>17.157999999999994</v>
      </c>
      <c r="AD516" s="846">
        <f t="shared" si="439"/>
        <v>18.790999999999997</v>
      </c>
      <c r="AE516" s="845">
        <f t="shared" si="439"/>
        <v>74.043000000000006</v>
      </c>
      <c r="AF516" s="846">
        <f t="shared" si="439"/>
        <v>3.0119999999999996</v>
      </c>
      <c r="AG516" s="859">
        <f t="shared" si="439"/>
        <v>11.904000000000014</v>
      </c>
      <c r="AH516" s="859">
        <f t="shared" si="439"/>
        <v>18.362999999999996</v>
      </c>
      <c r="AI516" s="846">
        <f t="shared" si="439"/>
        <v>17.196000000000009</v>
      </c>
      <c r="AJ516" s="845">
        <f t="shared" si="439"/>
        <v>50.475000000000009</v>
      </c>
      <c r="AK516" s="846">
        <f t="shared" si="439"/>
        <v>16.996999999999996</v>
      </c>
      <c r="AL516" s="859">
        <f t="shared" si="439"/>
        <v>23.767000000000003</v>
      </c>
      <c r="AM516" s="847">
        <f t="shared" si="439"/>
        <v>23.607000000000014</v>
      </c>
      <c r="AN516" s="859">
        <f>SUM(AN500:AN515)</f>
        <v>16.852703115349748</v>
      </c>
      <c r="AO516" s="845">
        <f>SUM(AO500:AO515)</f>
        <v>81.223703115349736</v>
      </c>
      <c r="AP516" s="859">
        <f ca="1">SUM(AP500:AP515)</f>
        <v>19.201664733461257</v>
      </c>
      <c r="AQ516" s="859">
        <f ca="1">SUM(AQ500:AQ515)</f>
        <v>22.458521682346539</v>
      </c>
      <c r="AR516" s="859">
        <f t="shared" ca="1" si="439"/>
        <v>20.94487657902382</v>
      </c>
      <c r="AS516" s="859">
        <f t="shared" ca="1" si="439"/>
        <v>20.873978910536675</v>
      </c>
      <c r="AT516" s="845">
        <f t="shared" ca="1" si="439"/>
        <v>83.479041905368277</v>
      </c>
      <c r="AU516" s="860">
        <f t="shared" ca="1" si="439"/>
        <v>87.843525803765758</v>
      </c>
      <c r="AV516" s="860">
        <f t="shared" ca="1" si="439"/>
        <v>89.621853959983213</v>
      </c>
      <c r="AW516" s="860">
        <f t="shared" ca="1" si="439"/>
        <v>93.574791047762631</v>
      </c>
      <c r="AX516" s="795"/>
    </row>
    <row r="517" spans="1:50" s="7" customFormat="1" x14ac:dyDescent="0.45">
      <c r="A517" s="105"/>
      <c r="B517" s="106"/>
      <c r="C517" s="881"/>
      <c r="D517" s="881"/>
      <c r="E517" s="881"/>
      <c r="F517" s="881"/>
      <c r="G517" s="866"/>
      <c r="H517" s="866"/>
      <c r="I517" s="866"/>
      <c r="J517" s="866"/>
      <c r="K517" s="881"/>
      <c r="L517" s="866"/>
      <c r="M517" s="866"/>
      <c r="N517" s="866"/>
      <c r="O517" s="866"/>
      <c r="P517" s="881"/>
      <c r="Q517" s="866"/>
      <c r="R517" s="866"/>
      <c r="S517" s="866"/>
      <c r="T517" s="866"/>
      <c r="U517" s="881"/>
      <c r="V517" s="866"/>
      <c r="W517" s="866"/>
      <c r="X517" s="866"/>
      <c r="Y517" s="852"/>
      <c r="Z517" s="851"/>
      <c r="AA517" s="852"/>
      <c r="AB517" s="866"/>
      <c r="AC517" s="866"/>
      <c r="AD517" s="852"/>
      <c r="AE517" s="851"/>
      <c r="AF517" s="852"/>
      <c r="AG517" s="866"/>
      <c r="AH517" s="866"/>
      <c r="AI517" s="852"/>
      <c r="AJ517" s="851"/>
      <c r="AK517" s="852"/>
      <c r="AL517" s="866"/>
      <c r="AM517" s="853"/>
      <c r="AN517" s="896"/>
      <c r="AO517" s="897"/>
      <c r="AP517" s="896"/>
      <c r="AQ517" s="896"/>
      <c r="AR517" s="896"/>
      <c r="AS517" s="896"/>
      <c r="AT517" s="897"/>
      <c r="AU517" s="897"/>
      <c r="AV517" s="897"/>
      <c r="AW517" s="897"/>
      <c r="AX517" s="795"/>
    </row>
    <row r="518" spans="1:50" s="7" customFormat="1" x14ac:dyDescent="0.45">
      <c r="A518" s="105" t="str">
        <f t="shared" ref="A518:A527" si="440">A454</f>
        <v>CFI</v>
      </c>
      <c r="B518" s="106"/>
      <c r="C518" s="881"/>
      <c r="D518" s="881"/>
      <c r="E518" s="881"/>
      <c r="F518" s="881"/>
      <c r="G518" s="866"/>
      <c r="H518" s="866"/>
      <c r="I518" s="866"/>
      <c r="J518" s="866"/>
      <c r="K518" s="881"/>
      <c r="L518" s="866"/>
      <c r="M518" s="866"/>
      <c r="N518" s="866"/>
      <c r="O518" s="866"/>
      <c r="P518" s="881"/>
      <c r="Q518" s="866"/>
      <c r="R518" s="866"/>
      <c r="S518" s="866"/>
      <c r="T518" s="866"/>
      <c r="U518" s="881"/>
      <c r="V518" s="866"/>
      <c r="W518" s="866"/>
      <c r="X518" s="866"/>
      <c r="Y518" s="852"/>
      <c r="Z518" s="851"/>
      <c r="AA518" s="852"/>
      <c r="AB518" s="866"/>
      <c r="AC518" s="866"/>
      <c r="AD518" s="852"/>
      <c r="AE518" s="851"/>
      <c r="AF518" s="852"/>
      <c r="AG518" s="866"/>
      <c r="AH518" s="866"/>
      <c r="AI518" s="852"/>
      <c r="AJ518" s="851"/>
      <c r="AK518" s="852"/>
      <c r="AL518" s="866"/>
      <c r="AM518" s="853"/>
      <c r="AN518" s="896"/>
      <c r="AO518" s="897"/>
      <c r="AP518" s="896"/>
      <c r="AQ518" s="896"/>
      <c r="AR518" s="896"/>
      <c r="AS518" s="896"/>
      <c r="AT518" s="897"/>
      <c r="AU518" s="897"/>
      <c r="AV518" s="897"/>
      <c r="AW518" s="897"/>
      <c r="AX518" s="795"/>
    </row>
    <row r="519" spans="1:50" s="29" customFormat="1" x14ac:dyDescent="0.45">
      <c r="A519" s="111" t="str">
        <f t="shared" si="440"/>
        <v>Additions to capitalized software costs</v>
      </c>
      <c r="B519" s="797"/>
      <c r="C519" s="882">
        <f t="shared" ref="C519:G526" si="441">C455</f>
        <v>-7.9210000000000003</v>
      </c>
      <c r="D519" s="882">
        <f t="shared" si="441"/>
        <v>-10.695</v>
      </c>
      <c r="E519" s="882">
        <f t="shared" si="441"/>
        <v>-13.098000000000001</v>
      </c>
      <c r="F519" s="882">
        <f t="shared" si="441"/>
        <v>-29.454999999999998</v>
      </c>
      <c r="G519" s="861">
        <f t="shared" si="441"/>
        <v>-7.3</v>
      </c>
      <c r="H519" s="861">
        <f t="shared" ref="H519:J526" si="442">H455-G455</f>
        <v>-7.9950000000000001</v>
      </c>
      <c r="I519" s="861">
        <f t="shared" si="442"/>
        <v>-3.6190000000000015</v>
      </c>
      <c r="J519" s="861">
        <f t="shared" si="442"/>
        <v>-1.8699999999999974</v>
      </c>
      <c r="K519" s="882">
        <f t="shared" ref="K519:L526" si="443">K455</f>
        <v>-20.783999999999999</v>
      </c>
      <c r="L519" s="861">
        <f t="shared" si="443"/>
        <v>-2.9020000000000001</v>
      </c>
      <c r="M519" s="861">
        <f t="shared" ref="M519:O526" si="444">M455-L455</f>
        <v>-3.4669999999999996</v>
      </c>
      <c r="N519" s="861">
        <f t="shared" si="444"/>
        <v>-3.1660000000000004</v>
      </c>
      <c r="O519" s="861">
        <f t="shared" si="444"/>
        <v>-5.0660000000000007</v>
      </c>
      <c r="P519" s="882">
        <f t="shared" ref="P519:Q526" si="445">P455</f>
        <v>-14.601000000000001</v>
      </c>
      <c r="Q519" s="861">
        <f t="shared" si="445"/>
        <v>-3.6349999999999998</v>
      </c>
      <c r="R519" s="861">
        <f t="shared" ref="R519:T526" si="446">R455-Q455</f>
        <v>-3.0520000000000005</v>
      </c>
      <c r="S519" s="861">
        <f t="shared" si="446"/>
        <v>-4.9169999999999989</v>
      </c>
      <c r="T519" s="861">
        <f t="shared" si="446"/>
        <v>-3.0710000000000015</v>
      </c>
      <c r="U519" s="882">
        <f t="shared" ref="U519:V526" si="447">U455</f>
        <v>-14.675000000000001</v>
      </c>
      <c r="V519" s="861">
        <f t="shared" si="447"/>
        <v>-2.948</v>
      </c>
      <c r="W519" s="861">
        <f t="shared" ref="W519:Y526" si="448">W455-V455</f>
        <v>-2.371</v>
      </c>
      <c r="X519" s="861">
        <f t="shared" si="448"/>
        <v>-1.0520000000000005</v>
      </c>
      <c r="Y519" s="861">
        <f t="shared" si="448"/>
        <v>-1.8780000000000001</v>
      </c>
      <c r="Z519" s="882">
        <f t="shared" ref="Z519:AA526" si="449">Z455</f>
        <v>-8.2490000000000006</v>
      </c>
      <c r="AA519" s="861">
        <f t="shared" si="449"/>
        <v>-5.2480000000000002</v>
      </c>
      <c r="AB519" s="861">
        <f t="shared" ref="AB519:AD526" si="450">AB455-AA455</f>
        <v>-4.3760000000000003</v>
      </c>
      <c r="AC519" s="861">
        <f t="shared" si="450"/>
        <v>-4.0229999999999997</v>
      </c>
      <c r="AD519" s="861">
        <f t="shared" si="450"/>
        <v>-5.2179999999999982</v>
      </c>
      <c r="AE519" s="882">
        <f t="shared" ref="AE519:AF526" si="451">AE455</f>
        <v>-18.864999999999998</v>
      </c>
      <c r="AF519" s="861">
        <f t="shared" si="451"/>
        <v>-4.7850000000000001</v>
      </c>
      <c r="AG519" s="861">
        <f t="shared" ref="AG519:AI526" si="452">AG455-AF455</f>
        <v>-5.5939999999999994</v>
      </c>
      <c r="AH519" s="861">
        <f t="shared" si="452"/>
        <v>-4.4740000000000002</v>
      </c>
      <c r="AI519" s="861">
        <f t="shared" si="452"/>
        <v>-5.7180000000000017</v>
      </c>
      <c r="AJ519" s="882">
        <f t="shared" ref="AJ519:AK526" si="453">AJ455</f>
        <v>-20.571000000000002</v>
      </c>
      <c r="AK519" s="861">
        <f t="shared" si="453"/>
        <v>-4.7350000000000003</v>
      </c>
      <c r="AL519" s="861">
        <f t="shared" ref="AL519:AM526" si="454">AL455-AK455</f>
        <v>-5.1659999999999995</v>
      </c>
      <c r="AM519" s="883">
        <f t="shared" si="454"/>
        <v>-4.8840000000000003</v>
      </c>
      <c r="AN519" s="874">
        <v>-4.9000000000000004</v>
      </c>
      <c r="AO519" s="863">
        <f t="shared" ref="AO519:AO526" si="455">SUM(AK519,AL519,AM519,AN519)</f>
        <v>-19.685000000000002</v>
      </c>
      <c r="AP519" s="874">
        <v>-5</v>
      </c>
      <c r="AQ519" s="874">
        <v>-5</v>
      </c>
      <c r="AR519" s="874">
        <v>-5</v>
      </c>
      <c r="AS519" s="874">
        <v>-5</v>
      </c>
      <c r="AT519" s="863">
        <f t="shared" ref="AT519:AT526" si="456">SUM(AP519,AQ519,AR519,AS519)</f>
        <v>-20</v>
      </c>
      <c r="AU519" s="875">
        <v>-21</v>
      </c>
      <c r="AV519" s="875">
        <v>-22</v>
      </c>
      <c r="AW519" s="875">
        <v>-23</v>
      </c>
      <c r="AX519" s="793"/>
    </row>
    <row r="520" spans="1:50" s="29" customFormat="1" x14ac:dyDescent="0.45">
      <c r="A520" s="111" t="str">
        <f t="shared" si="440"/>
        <v>Proceeds from sales and maturities of marketable securities</v>
      </c>
      <c r="B520" s="793"/>
      <c r="C520" s="882">
        <f t="shared" si="441"/>
        <v>0.42499999999999999</v>
      </c>
      <c r="D520" s="882">
        <f t="shared" si="441"/>
        <v>7.7</v>
      </c>
      <c r="E520" s="882">
        <f t="shared" si="441"/>
        <v>0</v>
      </c>
      <c r="F520" s="882">
        <f t="shared" si="441"/>
        <v>4.96</v>
      </c>
      <c r="G520" s="861">
        <f t="shared" si="441"/>
        <v>0</v>
      </c>
      <c r="H520" s="861">
        <f t="shared" si="442"/>
        <v>7.9</v>
      </c>
      <c r="I520" s="861">
        <f t="shared" si="442"/>
        <v>5.09</v>
      </c>
      <c r="J520" s="861">
        <f t="shared" si="442"/>
        <v>2.4849999999999994</v>
      </c>
      <c r="K520" s="882">
        <f t="shared" si="443"/>
        <v>15.475</v>
      </c>
      <c r="L520" s="861">
        <f t="shared" si="443"/>
        <v>1.9359999999999999</v>
      </c>
      <c r="M520" s="861">
        <f t="shared" si="444"/>
        <v>4.4950000000000001</v>
      </c>
      <c r="N520" s="861">
        <f t="shared" si="444"/>
        <v>3.9210000000000003</v>
      </c>
      <c r="O520" s="861">
        <f t="shared" si="444"/>
        <v>0.72499999999999964</v>
      </c>
      <c r="P520" s="882">
        <f t="shared" si="445"/>
        <v>11.077</v>
      </c>
      <c r="Q520" s="861">
        <f t="shared" si="445"/>
        <v>1.1200000000000001</v>
      </c>
      <c r="R520" s="861">
        <f t="shared" si="446"/>
        <v>2.69</v>
      </c>
      <c r="S520" s="861">
        <f t="shared" si="446"/>
        <v>1.4999999999999996</v>
      </c>
      <c r="T520" s="861">
        <f t="shared" si="446"/>
        <v>3.4850000000000003</v>
      </c>
      <c r="U520" s="882">
        <f t="shared" si="447"/>
        <v>8.7949999999999999</v>
      </c>
      <c r="V520" s="861">
        <f t="shared" si="447"/>
        <v>9.2910000000000004</v>
      </c>
      <c r="W520" s="861">
        <f t="shared" si="448"/>
        <v>0</v>
      </c>
      <c r="X520" s="861">
        <f t="shared" si="448"/>
        <v>0</v>
      </c>
      <c r="Y520" s="841">
        <f t="shared" si="448"/>
        <v>0</v>
      </c>
      <c r="Z520" s="840">
        <f t="shared" si="449"/>
        <v>9.2910000000000004</v>
      </c>
      <c r="AA520" s="841">
        <f t="shared" si="449"/>
        <v>0</v>
      </c>
      <c r="AB520" s="861">
        <f t="shared" si="450"/>
        <v>0</v>
      </c>
      <c r="AC520" s="861">
        <f t="shared" si="450"/>
        <v>0</v>
      </c>
      <c r="AD520" s="841">
        <f t="shared" si="450"/>
        <v>0</v>
      </c>
      <c r="AE520" s="840">
        <f t="shared" si="451"/>
        <v>0</v>
      </c>
      <c r="AF520" s="841">
        <f t="shared" si="451"/>
        <v>0</v>
      </c>
      <c r="AG520" s="861">
        <f t="shared" si="452"/>
        <v>0</v>
      </c>
      <c r="AH520" s="861">
        <f t="shared" si="452"/>
        <v>0</v>
      </c>
      <c r="AI520" s="841">
        <f t="shared" si="452"/>
        <v>0</v>
      </c>
      <c r="AJ520" s="840">
        <f t="shared" si="453"/>
        <v>0</v>
      </c>
      <c r="AK520" s="841">
        <f t="shared" si="453"/>
        <v>0</v>
      </c>
      <c r="AL520" s="861">
        <f t="shared" si="454"/>
        <v>0</v>
      </c>
      <c r="AM520" s="842">
        <f t="shared" si="454"/>
        <v>0</v>
      </c>
      <c r="AN520" s="874"/>
      <c r="AO520" s="844">
        <f t="shared" si="455"/>
        <v>0</v>
      </c>
      <c r="AP520" s="874"/>
      <c r="AQ520" s="874"/>
      <c r="AR520" s="874"/>
      <c r="AS520" s="874"/>
      <c r="AT520" s="844">
        <f t="shared" si="456"/>
        <v>0</v>
      </c>
      <c r="AU520" s="875"/>
      <c r="AV520" s="875"/>
      <c r="AW520" s="875"/>
      <c r="AX520" s="793"/>
    </row>
    <row r="521" spans="1:50" s="29" customFormat="1" x14ac:dyDescent="0.45">
      <c r="A521" s="111" t="str">
        <f t="shared" si="440"/>
        <v>Additions to equipment and improvements</v>
      </c>
      <c r="B521" s="797"/>
      <c r="C521" s="882">
        <f t="shared" si="441"/>
        <v>-4.9349999999999996</v>
      </c>
      <c r="D521" s="882">
        <f t="shared" si="441"/>
        <v>-6.8040000000000003</v>
      </c>
      <c r="E521" s="882">
        <f t="shared" si="441"/>
        <v>-10.323</v>
      </c>
      <c r="F521" s="882">
        <f t="shared" si="441"/>
        <v>-9.9689999999999994</v>
      </c>
      <c r="G521" s="861">
        <f t="shared" si="441"/>
        <v>-1.835</v>
      </c>
      <c r="H521" s="861">
        <f t="shared" si="442"/>
        <v>-2.7759999999999998</v>
      </c>
      <c r="I521" s="861">
        <f t="shared" si="442"/>
        <v>-2.8370000000000006</v>
      </c>
      <c r="J521" s="861">
        <f t="shared" si="442"/>
        <v>-0.48599999999999977</v>
      </c>
      <c r="K521" s="882">
        <f t="shared" si="443"/>
        <v>-7.9340000000000002</v>
      </c>
      <c r="L521" s="861">
        <f t="shared" si="443"/>
        <v>-2.2549999999999999</v>
      </c>
      <c r="M521" s="861">
        <f t="shared" si="444"/>
        <v>-2.2480000000000002</v>
      </c>
      <c r="N521" s="861">
        <f t="shared" si="444"/>
        <v>-0.94099999999999984</v>
      </c>
      <c r="O521" s="861">
        <f t="shared" si="444"/>
        <v>-1.0869999999999997</v>
      </c>
      <c r="P521" s="882">
        <f t="shared" si="445"/>
        <v>-6.5309999999999997</v>
      </c>
      <c r="Q521" s="861">
        <f t="shared" si="445"/>
        <v>-3.3370000000000002</v>
      </c>
      <c r="R521" s="861">
        <f t="shared" si="446"/>
        <v>-2.6749999999999994</v>
      </c>
      <c r="S521" s="861">
        <f t="shared" si="446"/>
        <v>-3.9140000000000006</v>
      </c>
      <c r="T521" s="861">
        <f t="shared" si="446"/>
        <v>-4.0869999999999997</v>
      </c>
      <c r="U521" s="882">
        <f t="shared" si="447"/>
        <v>-14.013</v>
      </c>
      <c r="V521" s="861">
        <f t="shared" si="447"/>
        <v>-3.4620000000000002</v>
      </c>
      <c r="W521" s="861">
        <f t="shared" si="448"/>
        <v>-1.5269999999999997</v>
      </c>
      <c r="X521" s="861">
        <f t="shared" si="448"/>
        <v>-3.253000000000001</v>
      </c>
      <c r="Y521" s="861">
        <f t="shared" si="448"/>
        <v>-3.9229999999999983</v>
      </c>
      <c r="Z521" s="882">
        <f t="shared" si="449"/>
        <v>-12.164999999999999</v>
      </c>
      <c r="AA521" s="861">
        <f t="shared" si="449"/>
        <v>-2.4710000000000001</v>
      </c>
      <c r="AB521" s="861">
        <f t="shared" si="450"/>
        <v>-2.952</v>
      </c>
      <c r="AC521" s="861">
        <f t="shared" si="450"/>
        <v>-2.1829999999999998</v>
      </c>
      <c r="AD521" s="861">
        <f t="shared" si="450"/>
        <v>-2.1950000000000003</v>
      </c>
      <c r="AE521" s="882">
        <f t="shared" si="451"/>
        <v>-9.8010000000000002</v>
      </c>
      <c r="AF521" s="861">
        <f t="shared" si="451"/>
        <v>-2.1789999999999998</v>
      </c>
      <c r="AG521" s="861">
        <f t="shared" si="452"/>
        <v>-0.76200000000000001</v>
      </c>
      <c r="AH521" s="861">
        <f t="shared" si="452"/>
        <v>-1.1669999999999998</v>
      </c>
      <c r="AI521" s="861">
        <f t="shared" si="452"/>
        <v>-0.84400000000000031</v>
      </c>
      <c r="AJ521" s="882">
        <f t="shared" si="453"/>
        <v>-4.952</v>
      </c>
      <c r="AK521" s="861">
        <f t="shared" si="453"/>
        <v>-3.6890000000000001</v>
      </c>
      <c r="AL521" s="861">
        <f t="shared" si="454"/>
        <v>-1.5039999999999996</v>
      </c>
      <c r="AM521" s="883">
        <f t="shared" si="454"/>
        <v>-1.758</v>
      </c>
      <c r="AN521" s="874">
        <v>-2.2999999999999998</v>
      </c>
      <c r="AO521" s="863">
        <f t="shared" si="455"/>
        <v>-9.2509999999999994</v>
      </c>
      <c r="AP521" s="874">
        <v>-2.4</v>
      </c>
      <c r="AQ521" s="874">
        <v>-2.4</v>
      </c>
      <c r="AR521" s="874">
        <v>-2.4</v>
      </c>
      <c r="AS521" s="874">
        <v>-2.4</v>
      </c>
      <c r="AT521" s="863">
        <f t="shared" si="456"/>
        <v>-9.6</v>
      </c>
      <c r="AU521" s="875">
        <v>-10</v>
      </c>
      <c r="AV521" s="875">
        <v>-10.4</v>
      </c>
      <c r="AW521" s="875">
        <v>-10.8</v>
      </c>
      <c r="AX521" s="793"/>
    </row>
    <row r="522" spans="1:50" s="29" customFormat="1" x14ac:dyDescent="0.45">
      <c r="A522" s="111" t="str">
        <f t="shared" si="440"/>
        <v>Proceeds from corporate-owned life insurance policies</v>
      </c>
      <c r="B522" s="793"/>
      <c r="C522" s="882">
        <f t="shared" si="441"/>
        <v>0</v>
      </c>
      <c r="D522" s="882">
        <f t="shared" si="441"/>
        <v>0</v>
      </c>
      <c r="E522" s="882">
        <f t="shared" si="441"/>
        <v>0</v>
      </c>
      <c r="F522" s="882">
        <f t="shared" si="441"/>
        <v>0</v>
      </c>
      <c r="G522" s="861">
        <f t="shared" si="441"/>
        <v>0</v>
      </c>
      <c r="H522" s="861">
        <f t="shared" si="442"/>
        <v>0</v>
      </c>
      <c r="I522" s="861">
        <f t="shared" si="442"/>
        <v>0</v>
      </c>
      <c r="J522" s="861">
        <f t="shared" si="442"/>
        <v>0</v>
      </c>
      <c r="K522" s="882">
        <f t="shared" si="443"/>
        <v>0</v>
      </c>
      <c r="L522" s="861">
        <f t="shared" si="443"/>
        <v>0</v>
      </c>
      <c r="M522" s="861">
        <f t="shared" si="444"/>
        <v>0</v>
      </c>
      <c r="N522" s="861">
        <f t="shared" si="444"/>
        <v>0</v>
      </c>
      <c r="O522" s="861">
        <f t="shared" si="444"/>
        <v>0</v>
      </c>
      <c r="P522" s="882">
        <f t="shared" si="445"/>
        <v>0</v>
      </c>
      <c r="Q522" s="861">
        <f t="shared" si="445"/>
        <v>0</v>
      </c>
      <c r="R522" s="861">
        <f t="shared" si="446"/>
        <v>0</v>
      </c>
      <c r="S522" s="861">
        <f t="shared" si="446"/>
        <v>0</v>
      </c>
      <c r="T522" s="861">
        <f t="shared" si="446"/>
        <v>0</v>
      </c>
      <c r="U522" s="882">
        <f t="shared" si="447"/>
        <v>0</v>
      </c>
      <c r="V522" s="861">
        <f t="shared" si="447"/>
        <v>0</v>
      </c>
      <c r="W522" s="861">
        <f t="shared" si="448"/>
        <v>0</v>
      </c>
      <c r="X522" s="861">
        <f t="shared" si="448"/>
        <v>0</v>
      </c>
      <c r="Y522" s="841">
        <f t="shared" si="448"/>
        <v>0</v>
      </c>
      <c r="Z522" s="840">
        <f t="shared" si="449"/>
        <v>0</v>
      </c>
      <c r="AA522" s="841">
        <f t="shared" si="449"/>
        <v>0</v>
      </c>
      <c r="AB522" s="861">
        <f t="shared" si="450"/>
        <v>0</v>
      </c>
      <c r="AC522" s="861">
        <f t="shared" si="450"/>
        <v>0</v>
      </c>
      <c r="AD522" s="841">
        <f t="shared" si="450"/>
        <v>0</v>
      </c>
      <c r="AE522" s="840">
        <f t="shared" si="451"/>
        <v>0</v>
      </c>
      <c r="AF522" s="841">
        <f t="shared" si="451"/>
        <v>0</v>
      </c>
      <c r="AG522" s="861">
        <f t="shared" si="452"/>
        <v>0</v>
      </c>
      <c r="AH522" s="861">
        <f t="shared" si="452"/>
        <v>0</v>
      </c>
      <c r="AI522" s="841">
        <f t="shared" si="452"/>
        <v>0</v>
      </c>
      <c r="AJ522" s="840">
        <f t="shared" si="453"/>
        <v>0</v>
      </c>
      <c r="AK522" s="841">
        <f t="shared" si="453"/>
        <v>0</v>
      </c>
      <c r="AL522" s="861">
        <f t="shared" si="454"/>
        <v>2.5</v>
      </c>
      <c r="AM522" s="842">
        <f t="shared" si="454"/>
        <v>0</v>
      </c>
      <c r="AN522" s="862"/>
      <c r="AO522" s="844">
        <f t="shared" si="455"/>
        <v>2.5</v>
      </c>
      <c r="AP522" s="862"/>
      <c r="AQ522" s="862"/>
      <c r="AR522" s="862"/>
      <c r="AS522" s="862"/>
      <c r="AT522" s="844">
        <f t="shared" si="456"/>
        <v>0</v>
      </c>
      <c r="AU522" s="863"/>
      <c r="AV522" s="863"/>
      <c r="AW522" s="863"/>
      <c r="AX522" s="793"/>
    </row>
    <row r="523" spans="1:50" s="29" customFormat="1" x14ac:dyDescent="0.45">
      <c r="A523" s="111" t="str">
        <f t="shared" si="440"/>
        <v>Proceeds for disposal of equipment and improvements</v>
      </c>
      <c r="B523" s="793"/>
      <c r="C523" s="882">
        <f t="shared" si="441"/>
        <v>0</v>
      </c>
      <c r="D523" s="882">
        <f t="shared" si="441"/>
        <v>0.33600000000000002</v>
      </c>
      <c r="E523" s="882">
        <f t="shared" si="441"/>
        <v>1.0999999999999999E-2</v>
      </c>
      <c r="F523" s="882">
        <f t="shared" si="441"/>
        <v>0</v>
      </c>
      <c r="G523" s="861">
        <f t="shared" si="441"/>
        <v>0</v>
      </c>
      <c r="H523" s="861">
        <f t="shared" si="442"/>
        <v>0</v>
      </c>
      <c r="I523" s="861">
        <f t="shared" si="442"/>
        <v>0</v>
      </c>
      <c r="J523" s="861">
        <f t="shared" si="442"/>
        <v>0</v>
      </c>
      <c r="K523" s="882">
        <f t="shared" si="443"/>
        <v>0</v>
      </c>
      <c r="L523" s="861">
        <f t="shared" si="443"/>
        <v>0</v>
      </c>
      <c r="M523" s="861">
        <f t="shared" si="444"/>
        <v>0</v>
      </c>
      <c r="N523" s="861">
        <f t="shared" si="444"/>
        <v>0</v>
      </c>
      <c r="O523" s="861">
        <f t="shared" si="444"/>
        <v>0</v>
      </c>
      <c r="P523" s="882">
        <f t="shared" si="445"/>
        <v>0</v>
      </c>
      <c r="Q523" s="861">
        <f t="shared" si="445"/>
        <v>0</v>
      </c>
      <c r="R523" s="861">
        <f t="shared" si="446"/>
        <v>0</v>
      </c>
      <c r="S523" s="861">
        <f t="shared" si="446"/>
        <v>0</v>
      </c>
      <c r="T523" s="861">
        <f t="shared" si="446"/>
        <v>0</v>
      </c>
      <c r="U523" s="882">
        <f t="shared" si="447"/>
        <v>0</v>
      </c>
      <c r="V523" s="861">
        <f t="shared" si="447"/>
        <v>0</v>
      </c>
      <c r="W523" s="861">
        <f t="shared" si="448"/>
        <v>0</v>
      </c>
      <c r="X523" s="861">
        <f t="shared" si="448"/>
        <v>0</v>
      </c>
      <c r="Y523" s="841">
        <f t="shared" si="448"/>
        <v>0</v>
      </c>
      <c r="Z523" s="840">
        <f t="shared" si="449"/>
        <v>0</v>
      </c>
      <c r="AA523" s="841">
        <f t="shared" si="449"/>
        <v>0</v>
      </c>
      <c r="AB523" s="861">
        <f t="shared" si="450"/>
        <v>0</v>
      </c>
      <c r="AC523" s="861">
        <f t="shared" si="450"/>
        <v>0</v>
      </c>
      <c r="AD523" s="841">
        <f t="shared" si="450"/>
        <v>0</v>
      </c>
      <c r="AE523" s="840">
        <f t="shared" si="451"/>
        <v>0</v>
      </c>
      <c r="AF523" s="841">
        <f t="shared" si="451"/>
        <v>0</v>
      </c>
      <c r="AG523" s="861">
        <f t="shared" si="452"/>
        <v>0</v>
      </c>
      <c r="AH523" s="861">
        <f t="shared" si="452"/>
        <v>0</v>
      </c>
      <c r="AI523" s="841">
        <f t="shared" si="452"/>
        <v>0</v>
      </c>
      <c r="AJ523" s="840">
        <f t="shared" si="453"/>
        <v>0</v>
      </c>
      <c r="AK523" s="841">
        <f t="shared" si="453"/>
        <v>0</v>
      </c>
      <c r="AL523" s="861">
        <f t="shared" si="454"/>
        <v>0</v>
      </c>
      <c r="AM523" s="842">
        <f t="shared" si="454"/>
        <v>0</v>
      </c>
      <c r="AN523" s="862">
        <f>AN363</f>
        <v>0</v>
      </c>
      <c r="AO523" s="844">
        <f t="shared" si="455"/>
        <v>0</v>
      </c>
      <c r="AP523" s="862">
        <f t="shared" ref="AP523:AS523" si="457">AP363</f>
        <v>0</v>
      </c>
      <c r="AQ523" s="862">
        <f t="shared" si="457"/>
        <v>0</v>
      </c>
      <c r="AR523" s="862">
        <f t="shared" si="457"/>
        <v>0</v>
      </c>
      <c r="AS523" s="862">
        <f t="shared" si="457"/>
        <v>0</v>
      </c>
      <c r="AT523" s="844">
        <f t="shared" si="456"/>
        <v>0</v>
      </c>
      <c r="AU523" s="863">
        <f t="shared" ref="AU523:AW523" si="458">AU363</f>
        <v>0</v>
      </c>
      <c r="AV523" s="863">
        <f t="shared" si="458"/>
        <v>0</v>
      </c>
      <c r="AW523" s="863">
        <f t="shared" si="458"/>
        <v>0</v>
      </c>
      <c r="AX523" s="793"/>
    </row>
    <row r="524" spans="1:50" s="29" customFormat="1" x14ac:dyDescent="0.45">
      <c r="A524" s="111" t="str">
        <f t="shared" si="440"/>
        <v>Purchases of marketable securities</v>
      </c>
      <c r="B524" s="793"/>
      <c r="C524" s="882">
        <f t="shared" si="441"/>
        <v>0</v>
      </c>
      <c r="D524" s="882">
        <f t="shared" si="441"/>
        <v>-1.1200000000000001</v>
      </c>
      <c r="E524" s="882">
        <f t="shared" si="441"/>
        <v>0</v>
      </c>
      <c r="F524" s="882">
        <f t="shared" si="441"/>
        <v>-12.084</v>
      </c>
      <c r="G524" s="861">
        <f t="shared" si="441"/>
        <v>0</v>
      </c>
      <c r="H524" s="861">
        <f t="shared" si="442"/>
        <v>-8.5350000000000001</v>
      </c>
      <c r="I524" s="861">
        <f t="shared" si="442"/>
        <v>-5.5559999999999992</v>
      </c>
      <c r="J524" s="861">
        <f t="shared" si="442"/>
        <v>-1.2949999999999999</v>
      </c>
      <c r="K524" s="882">
        <f t="shared" si="443"/>
        <v>-15.385999999999999</v>
      </c>
      <c r="L524" s="861">
        <f t="shared" si="443"/>
        <v>0</v>
      </c>
      <c r="M524" s="861">
        <f t="shared" si="444"/>
        <v>-4.3490000000000002</v>
      </c>
      <c r="N524" s="861">
        <f t="shared" si="444"/>
        <v>-6.645999999999999</v>
      </c>
      <c r="O524" s="861">
        <f t="shared" si="444"/>
        <v>-1.1280000000000001</v>
      </c>
      <c r="P524" s="882">
        <f t="shared" si="445"/>
        <v>-12.122999999999999</v>
      </c>
      <c r="Q524" s="861">
        <f t="shared" si="445"/>
        <v>-1.514</v>
      </c>
      <c r="R524" s="861">
        <f t="shared" si="446"/>
        <v>-2.9049999999999994</v>
      </c>
      <c r="S524" s="861">
        <f t="shared" si="446"/>
        <v>-1.6050000000000004</v>
      </c>
      <c r="T524" s="861">
        <f t="shared" si="446"/>
        <v>-0.61299999999999955</v>
      </c>
      <c r="U524" s="882">
        <f t="shared" si="447"/>
        <v>-6.6369999999999996</v>
      </c>
      <c r="V524" s="861">
        <f t="shared" si="447"/>
        <v>0</v>
      </c>
      <c r="W524" s="861">
        <f t="shared" si="448"/>
        <v>0</v>
      </c>
      <c r="X524" s="861">
        <f t="shared" si="448"/>
        <v>0</v>
      </c>
      <c r="Y524" s="841">
        <f t="shared" si="448"/>
        <v>0</v>
      </c>
      <c r="Z524" s="840">
        <f t="shared" si="449"/>
        <v>0</v>
      </c>
      <c r="AA524" s="841">
        <f t="shared" si="449"/>
        <v>0</v>
      </c>
      <c r="AB524" s="861">
        <f t="shared" si="450"/>
        <v>0</v>
      </c>
      <c r="AC524" s="861">
        <f t="shared" si="450"/>
        <v>0</v>
      </c>
      <c r="AD524" s="841">
        <f t="shared" si="450"/>
        <v>0</v>
      </c>
      <c r="AE524" s="840">
        <f t="shared" si="451"/>
        <v>0</v>
      </c>
      <c r="AF524" s="841">
        <f t="shared" si="451"/>
        <v>0</v>
      </c>
      <c r="AG524" s="861">
        <f t="shared" si="452"/>
        <v>0</v>
      </c>
      <c r="AH524" s="861">
        <f t="shared" si="452"/>
        <v>0</v>
      </c>
      <c r="AI524" s="841">
        <f t="shared" si="452"/>
        <v>0</v>
      </c>
      <c r="AJ524" s="840">
        <f t="shared" si="453"/>
        <v>0</v>
      </c>
      <c r="AK524" s="841">
        <f t="shared" si="453"/>
        <v>0</v>
      </c>
      <c r="AL524" s="861">
        <f t="shared" si="454"/>
        <v>0</v>
      </c>
      <c r="AM524" s="842">
        <f t="shared" si="454"/>
        <v>0</v>
      </c>
      <c r="AN524" s="874"/>
      <c r="AO524" s="844">
        <f t="shared" si="455"/>
        <v>0</v>
      </c>
      <c r="AP524" s="874"/>
      <c r="AQ524" s="874"/>
      <c r="AR524" s="874"/>
      <c r="AS524" s="874"/>
      <c r="AT524" s="844">
        <f t="shared" si="456"/>
        <v>0</v>
      </c>
      <c r="AU524" s="875"/>
      <c r="AV524" s="875"/>
      <c r="AW524" s="875"/>
      <c r="AX524" s="793"/>
    </row>
    <row r="525" spans="1:50" s="29" customFormat="1" x14ac:dyDescent="0.45">
      <c r="A525" s="61" t="str">
        <f t="shared" si="440"/>
        <v>Payments for acquisitions, net of cash acquired</v>
      </c>
      <c r="B525" s="793"/>
      <c r="C525" s="840">
        <f t="shared" si="441"/>
        <v>-1.514</v>
      </c>
      <c r="D525" s="840">
        <f t="shared" si="441"/>
        <v>0</v>
      </c>
      <c r="E525" s="840">
        <f t="shared" si="441"/>
        <v>-11.494</v>
      </c>
      <c r="F525" s="840">
        <f t="shared" si="441"/>
        <v>-7.1059999999999999</v>
      </c>
      <c r="G525" s="841">
        <f t="shared" si="441"/>
        <v>0</v>
      </c>
      <c r="H525" s="841">
        <f t="shared" si="442"/>
        <v>-34.802</v>
      </c>
      <c r="I525" s="841">
        <f t="shared" si="442"/>
        <v>-0.23100000000000165</v>
      </c>
      <c r="J525" s="841">
        <f t="shared" si="442"/>
        <v>0</v>
      </c>
      <c r="K525" s="840">
        <f t="shared" si="443"/>
        <v>-35.033000000000001</v>
      </c>
      <c r="L525" s="841">
        <f t="shared" si="443"/>
        <v>0</v>
      </c>
      <c r="M525" s="841">
        <f t="shared" si="444"/>
        <v>0</v>
      </c>
      <c r="N525" s="841">
        <f t="shared" si="444"/>
        <v>0</v>
      </c>
      <c r="O525" s="841">
        <f t="shared" si="444"/>
        <v>-2.3450000000000002</v>
      </c>
      <c r="P525" s="840">
        <f t="shared" si="445"/>
        <v>-2.3450000000000002</v>
      </c>
      <c r="Q525" s="841">
        <f t="shared" si="445"/>
        <v>0</v>
      </c>
      <c r="R525" s="841">
        <f t="shared" si="446"/>
        <v>0</v>
      </c>
      <c r="S525" s="841">
        <f t="shared" si="446"/>
        <v>0</v>
      </c>
      <c r="T525" s="841">
        <f t="shared" si="446"/>
        <v>-163.84299999999999</v>
      </c>
      <c r="U525" s="840">
        <f t="shared" si="447"/>
        <v>-163.84299999999999</v>
      </c>
      <c r="V525" s="841">
        <f t="shared" si="447"/>
        <v>0</v>
      </c>
      <c r="W525" s="841">
        <f t="shared" si="448"/>
        <v>0</v>
      </c>
      <c r="X525" s="841">
        <f t="shared" si="448"/>
        <v>0</v>
      </c>
      <c r="Y525" s="841">
        <f t="shared" si="448"/>
        <v>0</v>
      </c>
      <c r="Z525" s="840">
        <f t="shared" si="449"/>
        <v>0</v>
      </c>
      <c r="AA525" s="841">
        <f t="shared" si="449"/>
        <v>-33.856000000000002</v>
      </c>
      <c r="AB525" s="841">
        <f t="shared" si="450"/>
        <v>-25.036000000000001</v>
      </c>
      <c r="AC525" s="841">
        <f t="shared" si="450"/>
        <v>0</v>
      </c>
      <c r="AD525" s="841">
        <f t="shared" si="450"/>
        <v>-3.9749999999999943</v>
      </c>
      <c r="AE525" s="840">
        <f t="shared" si="451"/>
        <v>-62.866999999999997</v>
      </c>
      <c r="AF525" s="841">
        <f t="shared" si="451"/>
        <v>0</v>
      </c>
      <c r="AG525" s="841">
        <f t="shared" si="452"/>
        <v>0</v>
      </c>
      <c r="AH525" s="841">
        <f t="shared" si="452"/>
        <v>0</v>
      </c>
      <c r="AI525" s="841">
        <f t="shared" si="452"/>
        <v>0</v>
      </c>
      <c r="AJ525" s="840">
        <f t="shared" si="453"/>
        <v>0</v>
      </c>
      <c r="AK525" s="841">
        <f t="shared" si="453"/>
        <v>0</v>
      </c>
      <c r="AL525" s="841">
        <f t="shared" si="454"/>
        <v>0</v>
      </c>
      <c r="AM525" s="842">
        <f t="shared" si="454"/>
        <v>-71.605000000000004</v>
      </c>
      <c r="AN525" s="843">
        <f>AN362</f>
        <v>0</v>
      </c>
      <c r="AO525" s="844">
        <f t="shared" si="455"/>
        <v>-71.605000000000004</v>
      </c>
      <c r="AP525" s="843">
        <f t="shared" ref="AP525:AS525" si="459">AP362</f>
        <v>0</v>
      </c>
      <c r="AQ525" s="843">
        <f t="shared" si="459"/>
        <v>0</v>
      </c>
      <c r="AR525" s="843">
        <f t="shared" si="459"/>
        <v>0</v>
      </c>
      <c r="AS525" s="843">
        <f t="shared" si="459"/>
        <v>0</v>
      </c>
      <c r="AT525" s="844">
        <f t="shared" si="456"/>
        <v>0</v>
      </c>
      <c r="AU525" s="844">
        <f t="shared" ref="AU525:AW525" si="460">AU362</f>
        <v>0</v>
      </c>
      <c r="AV525" s="844">
        <f t="shared" si="460"/>
        <v>0</v>
      </c>
      <c r="AW525" s="844">
        <f t="shared" si="460"/>
        <v>0</v>
      </c>
      <c r="AX525" s="793"/>
    </row>
    <row r="526" spans="1:50" s="29" customFormat="1" x14ac:dyDescent="0.45">
      <c r="A526" s="219" t="str">
        <f t="shared" si="440"/>
        <v>HealthFusion working capital adjustment payment</v>
      </c>
      <c r="B526" s="794"/>
      <c r="C526" s="865">
        <f t="shared" si="441"/>
        <v>0</v>
      </c>
      <c r="D526" s="865">
        <f t="shared" si="441"/>
        <v>0</v>
      </c>
      <c r="E526" s="865">
        <f t="shared" si="441"/>
        <v>0</v>
      </c>
      <c r="F526" s="865">
        <f t="shared" si="441"/>
        <v>0</v>
      </c>
      <c r="G526" s="864">
        <f t="shared" si="441"/>
        <v>0</v>
      </c>
      <c r="H526" s="864">
        <f t="shared" si="442"/>
        <v>0</v>
      </c>
      <c r="I526" s="864">
        <f t="shared" si="442"/>
        <v>0</v>
      </c>
      <c r="J526" s="864">
        <f t="shared" si="442"/>
        <v>0</v>
      </c>
      <c r="K526" s="865">
        <f t="shared" si="443"/>
        <v>0</v>
      </c>
      <c r="L526" s="864">
        <f t="shared" si="443"/>
        <v>0</v>
      </c>
      <c r="M526" s="864">
        <f t="shared" si="444"/>
        <v>0</v>
      </c>
      <c r="N526" s="864">
        <f t="shared" si="444"/>
        <v>0</v>
      </c>
      <c r="O526" s="864">
        <f t="shared" si="444"/>
        <v>0</v>
      </c>
      <c r="P526" s="865">
        <f t="shared" si="445"/>
        <v>0</v>
      </c>
      <c r="Q526" s="864">
        <f t="shared" si="445"/>
        <v>0</v>
      </c>
      <c r="R526" s="864">
        <f t="shared" si="446"/>
        <v>0</v>
      </c>
      <c r="S526" s="864">
        <f t="shared" si="446"/>
        <v>0</v>
      </c>
      <c r="T526" s="864">
        <f t="shared" si="446"/>
        <v>0</v>
      </c>
      <c r="U526" s="865">
        <f t="shared" si="447"/>
        <v>0</v>
      </c>
      <c r="V526" s="864">
        <f t="shared" si="447"/>
        <v>0</v>
      </c>
      <c r="W526" s="864">
        <f t="shared" si="448"/>
        <v>0</v>
      </c>
      <c r="X526" s="864">
        <f t="shared" si="448"/>
        <v>-0.28199999999999997</v>
      </c>
      <c r="Y526" s="849">
        <f t="shared" si="448"/>
        <v>0</v>
      </c>
      <c r="Z526" s="848">
        <f t="shared" si="449"/>
        <v>-0.28199999999999997</v>
      </c>
      <c r="AA526" s="849">
        <f t="shared" si="449"/>
        <v>0</v>
      </c>
      <c r="AB526" s="864">
        <f t="shared" si="450"/>
        <v>0</v>
      </c>
      <c r="AC526" s="864">
        <f t="shared" si="450"/>
        <v>0</v>
      </c>
      <c r="AD526" s="849">
        <f t="shared" si="450"/>
        <v>0</v>
      </c>
      <c r="AE526" s="848">
        <f t="shared" si="451"/>
        <v>0</v>
      </c>
      <c r="AF526" s="849">
        <f t="shared" si="451"/>
        <v>0</v>
      </c>
      <c r="AG526" s="864">
        <f t="shared" si="452"/>
        <v>0</v>
      </c>
      <c r="AH526" s="864">
        <f t="shared" si="452"/>
        <v>0</v>
      </c>
      <c r="AI526" s="849">
        <f t="shared" si="452"/>
        <v>0</v>
      </c>
      <c r="AJ526" s="848">
        <f t="shared" si="453"/>
        <v>0</v>
      </c>
      <c r="AK526" s="849">
        <f t="shared" si="453"/>
        <v>0</v>
      </c>
      <c r="AL526" s="864">
        <f t="shared" si="454"/>
        <v>0</v>
      </c>
      <c r="AM526" s="850">
        <f t="shared" si="454"/>
        <v>0</v>
      </c>
      <c r="AN526" s="904"/>
      <c r="AO526" s="848">
        <f t="shared" si="455"/>
        <v>0</v>
      </c>
      <c r="AP526" s="904"/>
      <c r="AQ526" s="904"/>
      <c r="AR526" s="904"/>
      <c r="AS526" s="904"/>
      <c r="AT526" s="848">
        <f t="shared" si="456"/>
        <v>0</v>
      </c>
      <c r="AU526" s="905"/>
      <c r="AV526" s="905"/>
      <c r="AW526" s="905"/>
      <c r="AX526" s="793"/>
    </row>
    <row r="527" spans="1:50" s="7" customFormat="1" x14ac:dyDescent="0.45">
      <c r="A527" s="104" t="str">
        <f t="shared" si="440"/>
        <v>Net CFI</v>
      </c>
      <c r="B527" s="150"/>
      <c r="C527" s="860">
        <f t="shared" ref="C527:AW527" si="461">SUM(C519:C526)</f>
        <v>-13.945</v>
      </c>
      <c r="D527" s="860">
        <f t="shared" si="461"/>
        <v>-10.582999999999998</v>
      </c>
      <c r="E527" s="860">
        <f t="shared" si="461"/>
        <v>-34.903999999999996</v>
      </c>
      <c r="F527" s="860">
        <f t="shared" si="461"/>
        <v>-53.654000000000003</v>
      </c>
      <c r="G527" s="859">
        <f t="shared" si="461"/>
        <v>-9.1349999999999998</v>
      </c>
      <c r="H527" s="859">
        <f t="shared" si="461"/>
        <v>-46.207999999999998</v>
      </c>
      <c r="I527" s="859">
        <f t="shared" si="461"/>
        <v>-7.1530000000000031</v>
      </c>
      <c r="J527" s="859">
        <f t="shared" si="461"/>
        <v>-1.1659999999999977</v>
      </c>
      <c r="K527" s="860">
        <f t="shared" si="461"/>
        <v>-63.661999999999999</v>
      </c>
      <c r="L527" s="859">
        <f t="shared" si="461"/>
        <v>-3.2210000000000001</v>
      </c>
      <c r="M527" s="859">
        <f t="shared" si="461"/>
        <v>-5.569</v>
      </c>
      <c r="N527" s="859">
        <f t="shared" si="461"/>
        <v>-6.831999999999999</v>
      </c>
      <c r="O527" s="859">
        <f t="shared" si="461"/>
        <v>-8.9010000000000016</v>
      </c>
      <c r="P527" s="860">
        <f t="shared" si="461"/>
        <v>-24.522999999999996</v>
      </c>
      <c r="Q527" s="859">
        <f t="shared" si="461"/>
        <v>-7.3660000000000005</v>
      </c>
      <c r="R527" s="859">
        <f t="shared" si="461"/>
        <v>-5.9419999999999993</v>
      </c>
      <c r="S527" s="859">
        <f t="shared" si="461"/>
        <v>-8.9359999999999999</v>
      </c>
      <c r="T527" s="859">
        <f t="shared" si="461"/>
        <v>-168.12899999999999</v>
      </c>
      <c r="U527" s="860">
        <f t="shared" si="461"/>
        <v>-190.37299999999999</v>
      </c>
      <c r="V527" s="859">
        <f t="shared" si="461"/>
        <v>2.8809999999999998</v>
      </c>
      <c r="W527" s="859">
        <f t="shared" si="461"/>
        <v>-3.8979999999999997</v>
      </c>
      <c r="X527" s="859">
        <f t="shared" si="461"/>
        <v>-4.5870000000000015</v>
      </c>
      <c r="Y527" s="846">
        <f t="shared" si="461"/>
        <v>-5.8009999999999984</v>
      </c>
      <c r="Z527" s="845">
        <f t="shared" si="461"/>
        <v>-11.404999999999999</v>
      </c>
      <c r="AA527" s="846">
        <f t="shared" si="461"/>
        <v>-41.575000000000003</v>
      </c>
      <c r="AB527" s="859">
        <f t="shared" si="461"/>
        <v>-32.364000000000004</v>
      </c>
      <c r="AC527" s="859">
        <f t="shared" si="461"/>
        <v>-6.2059999999999995</v>
      </c>
      <c r="AD527" s="846">
        <f t="shared" si="461"/>
        <v>-11.387999999999993</v>
      </c>
      <c r="AE527" s="845">
        <f t="shared" si="461"/>
        <v>-91.532999999999987</v>
      </c>
      <c r="AF527" s="846">
        <f t="shared" si="461"/>
        <v>-6.9640000000000004</v>
      </c>
      <c r="AG527" s="859">
        <f t="shared" si="461"/>
        <v>-6.3559999999999999</v>
      </c>
      <c r="AH527" s="859">
        <f t="shared" si="461"/>
        <v>-5.641</v>
      </c>
      <c r="AI527" s="846">
        <f t="shared" si="461"/>
        <v>-6.5620000000000021</v>
      </c>
      <c r="AJ527" s="845">
        <f t="shared" si="461"/>
        <v>-25.523000000000003</v>
      </c>
      <c r="AK527" s="846">
        <f t="shared" si="461"/>
        <v>-8.4239999999999995</v>
      </c>
      <c r="AL527" s="859">
        <f t="shared" si="461"/>
        <v>-4.169999999999999</v>
      </c>
      <c r="AM527" s="847">
        <f t="shared" si="461"/>
        <v>-78.247</v>
      </c>
      <c r="AN527" s="859">
        <f t="shared" si="461"/>
        <v>-7.2</v>
      </c>
      <c r="AO527" s="845">
        <f t="shared" si="461"/>
        <v>-98.040999999999997</v>
      </c>
      <c r="AP527" s="859">
        <f t="shared" si="461"/>
        <v>-7.4</v>
      </c>
      <c r="AQ527" s="859">
        <f t="shared" si="461"/>
        <v>-7.4</v>
      </c>
      <c r="AR527" s="859">
        <f t="shared" si="461"/>
        <v>-7.4</v>
      </c>
      <c r="AS527" s="859">
        <f t="shared" si="461"/>
        <v>-7.4</v>
      </c>
      <c r="AT527" s="845">
        <f t="shared" si="461"/>
        <v>-29.6</v>
      </c>
      <c r="AU527" s="860">
        <f t="shared" si="461"/>
        <v>-31</v>
      </c>
      <c r="AV527" s="860">
        <f t="shared" si="461"/>
        <v>-32.4</v>
      </c>
      <c r="AW527" s="860">
        <f t="shared" si="461"/>
        <v>-33.799999999999997</v>
      </c>
      <c r="AX527" s="795"/>
    </row>
    <row r="528" spans="1:50" s="7" customFormat="1" x14ac:dyDescent="0.45">
      <c r="A528" s="105"/>
      <c r="B528" s="106"/>
      <c r="C528" s="881"/>
      <c r="D528" s="881"/>
      <c r="E528" s="881"/>
      <c r="F528" s="881"/>
      <c r="G528" s="866"/>
      <c r="H528" s="866"/>
      <c r="I528" s="866"/>
      <c r="J528" s="866"/>
      <c r="K528" s="881"/>
      <c r="L528" s="866"/>
      <c r="M528" s="866"/>
      <c r="N528" s="866"/>
      <c r="O528" s="866"/>
      <c r="P528" s="881"/>
      <c r="Q528" s="866"/>
      <c r="R528" s="866"/>
      <c r="S528" s="866"/>
      <c r="T528" s="866"/>
      <c r="U528" s="881"/>
      <c r="V528" s="866"/>
      <c r="W528" s="866"/>
      <c r="X528" s="866"/>
      <c r="Y528" s="852"/>
      <c r="Z528" s="851"/>
      <c r="AA528" s="852"/>
      <c r="AB528" s="866"/>
      <c r="AC528" s="866"/>
      <c r="AD528" s="852"/>
      <c r="AE528" s="851"/>
      <c r="AF528" s="852"/>
      <c r="AG528" s="866"/>
      <c r="AH528" s="866"/>
      <c r="AI528" s="852"/>
      <c r="AJ528" s="851"/>
      <c r="AK528" s="852"/>
      <c r="AL528" s="866"/>
      <c r="AM528" s="853"/>
      <c r="AN528" s="896"/>
      <c r="AO528" s="897"/>
      <c r="AP528" s="896"/>
      <c r="AQ528" s="896"/>
      <c r="AR528" s="896"/>
      <c r="AS528" s="896"/>
      <c r="AT528" s="897"/>
      <c r="AU528" s="897"/>
      <c r="AV528" s="897"/>
      <c r="AW528" s="897"/>
      <c r="AX528" s="795"/>
    </row>
    <row r="529" spans="1:50" s="7" customFormat="1" x14ac:dyDescent="0.45">
      <c r="A529" s="105" t="str">
        <f t="shared" ref="A529:A538" si="462">A465</f>
        <v>CFF</v>
      </c>
      <c r="B529" s="106"/>
      <c r="C529" s="881"/>
      <c r="D529" s="881"/>
      <c r="E529" s="881"/>
      <c r="F529" s="881"/>
      <c r="G529" s="866"/>
      <c r="H529" s="866"/>
      <c r="I529" s="866"/>
      <c r="J529" s="866"/>
      <c r="K529" s="881"/>
      <c r="L529" s="866"/>
      <c r="M529" s="866"/>
      <c r="N529" s="866"/>
      <c r="O529" s="866"/>
      <c r="P529" s="881"/>
      <c r="Q529" s="866"/>
      <c r="R529" s="866"/>
      <c r="S529" s="866"/>
      <c r="T529" s="866"/>
      <c r="U529" s="881"/>
      <c r="V529" s="866"/>
      <c r="W529" s="866"/>
      <c r="X529" s="866"/>
      <c r="Y529" s="852"/>
      <c r="Z529" s="851"/>
      <c r="AA529" s="852"/>
      <c r="AB529" s="866"/>
      <c r="AC529" s="866"/>
      <c r="AD529" s="852"/>
      <c r="AE529" s="851"/>
      <c r="AF529" s="852"/>
      <c r="AG529" s="866"/>
      <c r="AH529" s="866"/>
      <c r="AI529" s="852"/>
      <c r="AJ529" s="851"/>
      <c r="AK529" s="852"/>
      <c r="AL529" s="866"/>
      <c r="AM529" s="853"/>
      <c r="AN529" s="896"/>
      <c r="AO529" s="897"/>
      <c r="AP529" s="896"/>
      <c r="AQ529" s="896"/>
      <c r="AR529" s="896"/>
      <c r="AS529" s="896"/>
      <c r="AT529" s="897"/>
      <c r="AU529" s="897"/>
      <c r="AV529" s="897"/>
      <c r="AW529" s="897"/>
      <c r="AX529" s="795"/>
    </row>
    <row r="530" spans="1:50" s="29" customFormat="1" x14ac:dyDescent="0.45">
      <c r="A530" s="111" t="str">
        <f t="shared" si="462"/>
        <v>Proceeds from line of credit</v>
      </c>
      <c r="B530" s="797"/>
      <c r="C530" s="882">
        <f t="shared" ref="C530:G536" si="463">C466</f>
        <v>1.5760000000000001</v>
      </c>
      <c r="D530" s="882">
        <f t="shared" si="463"/>
        <v>1.524</v>
      </c>
      <c r="E530" s="882">
        <f t="shared" si="463"/>
        <v>4.1449999999999996</v>
      </c>
      <c r="F530" s="882">
        <f t="shared" si="463"/>
        <v>8.4000000000000005E-2</v>
      </c>
      <c r="G530" s="861">
        <f t="shared" si="463"/>
        <v>0.05</v>
      </c>
      <c r="H530" s="861">
        <f t="shared" ref="H530:J536" si="464">H466-G466</f>
        <v>1.1999999999999997E-2</v>
      </c>
      <c r="I530" s="861">
        <f t="shared" si="464"/>
        <v>0</v>
      </c>
      <c r="J530" s="861">
        <f t="shared" si="464"/>
        <v>0.121</v>
      </c>
      <c r="K530" s="882">
        <f t="shared" ref="K530:L536" si="465">K466</f>
        <v>0.183</v>
      </c>
      <c r="L530" s="861">
        <f t="shared" si="465"/>
        <v>0</v>
      </c>
      <c r="M530" s="861">
        <f t="shared" ref="M530:O536" si="466">M466-L466</f>
        <v>0</v>
      </c>
      <c r="N530" s="861">
        <f t="shared" si="466"/>
        <v>0</v>
      </c>
      <c r="O530" s="861">
        <f t="shared" si="466"/>
        <v>0</v>
      </c>
      <c r="P530" s="882">
        <f t="shared" ref="P530:Q536" si="467">P466</f>
        <v>0</v>
      </c>
      <c r="Q530" s="861">
        <f t="shared" si="467"/>
        <v>0</v>
      </c>
      <c r="R530" s="861">
        <f t="shared" ref="R530:T536" si="468">R466-Q466</f>
        <v>0</v>
      </c>
      <c r="S530" s="861">
        <f t="shared" si="468"/>
        <v>0</v>
      </c>
      <c r="T530" s="861">
        <f t="shared" si="468"/>
        <v>173.50899999999999</v>
      </c>
      <c r="U530" s="882">
        <f t="shared" ref="U530:V536" si="469">U466</f>
        <v>173.50899999999999</v>
      </c>
      <c r="V530" s="861">
        <f t="shared" si="469"/>
        <v>0</v>
      </c>
      <c r="W530" s="861">
        <f t="shared" ref="W530:Y536" si="470">W466-V466</f>
        <v>0</v>
      </c>
      <c r="X530" s="861">
        <f t="shared" si="470"/>
        <v>0</v>
      </c>
      <c r="Y530" s="861">
        <f t="shared" si="470"/>
        <v>0</v>
      </c>
      <c r="Z530" s="882">
        <f t="shared" ref="Z530:AA536" si="471">Z466</f>
        <v>0</v>
      </c>
      <c r="AA530" s="861">
        <f t="shared" si="471"/>
        <v>30</v>
      </c>
      <c r="AB530" s="861">
        <f t="shared" ref="AB530:AD536" si="472">AB466-AA466</f>
        <v>20</v>
      </c>
      <c r="AC530" s="861">
        <f t="shared" si="472"/>
        <v>0</v>
      </c>
      <c r="AD530" s="861">
        <f t="shared" si="472"/>
        <v>0</v>
      </c>
      <c r="AE530" s="882">
        <f t="shared" ref="AE530:AF536" si="473">AE466</f>
        <v>50</v>
      </c>
      <c r="AF530" s="861">
        <f t="shared" si="473"/>
        <v>20</v>
      </c>
      <c r="AG530" s="861">
        <f t="shared" ref="AG530:AI536" si="474">AG466-AF466</f>
        <v>6</v>
      </c>
      <c r="AH530" s="861">
        <f t="shared" si="474"/>
        <v>0</v>
      </c>
      <c r="AI530" s="861">
        <f t="shared" si="474"/>
        <v>0</v>
      </c>
      <c r="AJ530" s="882">
        <f t="shared" ref="AJ530:AK536" si="475">AJ466</f>
        <v>26</v>
      </c>
      <c r="AK530" s="861">
        <f t="shared" si="475"/>
        <v>0</v>
      </c>
      <c r="AL530" s="861">
        <f t="shared" ref="AL530:AM536" si="476">AL466-AK466</f>
        <v>0</v>
      </c>
      <c r="AM530" s="883">
        <f t="shared" si="476"/>
        <v>37</v>
      </c>
      <c r="AN530" s="862">
        <f>AN367</f>
        <v>0</v>
      </c>
      <c r="AO530" s="863">
        <f t="shared" ref="AO530:AO537" si="477">SUM(AK530,AL530,AM530,AN530)</f>
        <v>37</v>
      </c>
      <c r="AP530" s="862">
        <f>AP367</f>
        <v>0</v>
      </c>
      <c r="AQ530" s="862">
        <f>AQ367</f>
        <v>0</v>
      </c>
      <c r="AR530" s="862">
        <f>AR367</f>
        <v>0</v>
      </c>
      <c r="AS530" s="862">
        <f>AS367</f>
        <v>0</v>
      </c>
      <c r="AT530" s="863">
        <f t="shared" ref="AT530:AT537" si="478">SUM(AP530,AQ530,AR530,AS530)</f>
        <v>0</v>
      </c>
      <c r="AU530" s="863">
        <f>AU367</f>
        <v>0</v>
      </c>
      <c r="AV530" s="863">
        <f>AV367</f>
        <v>0</v>
      </c>
      <c r="AW530" s="863">
        <f>AW367</f>
        <v>0</v>
      </c>
      <c r="AX530" s="793"/>
    </row>
    <row r="531" spans="1:50" s="29" customFormat="1" x14ac:dyDescent="0.45">
      <c r="A531" s="111" t="str">
        <f t="shared" si="462"/>
        <v>Principal repayments on line of credit</v>
      </c>
      <c r="B531" s="793"/>
      <c r="C531" s="882">
        <f t="shared" si="463"/>
        <v>0</v>
      </c>
      <c r="D531" s="882">
        <f t="shared" si="463"/>
        <v>0</v>
      </c>
      <c r="E531" s="882">
        <f t="shared" si="463"/>
        <v>0</v>
      </c>
      <c r="F531" s="882">
        <f t="shared" si="463"/>
        <v>0</v>
      </c>
      <c r="G531" s="861">
        <f t="shared" si="463"/>
        <v>0</v>
      </c>
      <c r="H531" s="861">
        <f t="shared" si="464"/>
        <v>0</v>
      </c>
      <c r="I531" s="861">
        <f t="shared" si="464"/>
        <v>0</v>
      </c>
      <c r="J531" s="861">
        <f t="shared" si="464"/>
        <v>0</v>
      </c>
      <c r="K531" s="882">
        <f t="shared" si="465"/>
        <v>0</v>
      </c>
      <c r="L531" s="861">
        <f t="shared" si="465"/>
        <v>0</v>
      </c>
      <c r="M531" s="861">
        <f t="shared" si="466"/>
        <v>0</v>
      </c>
      <c r="N531" s="861">
        <f t="shared" si="466"/>
        <v>0</v>
      </c>
      <c r="O531" s="861">
        <f t="shared" si="466"/>
        <v>0</v>
      </c>
      <c r="P531" s="882">
        <f t="shared" si="467"/>
        <v>0</v>
      </c>
      <c r="Q531" s="861">
        <f t="shared" si="467"/>
        <v>0</v>
      </c>
      <c r="R531" s="861">
        <f t="shared" si="468"/>
        <v>0</v>
      </c>
      <c r="S531" s="861">
        <f t="shared" si="468"/>
        <v>0</v>
      </c>
      <c r="T531" s="861">
        <f t="shared" si="468"/>
        <v>-68.509</v>
      </c>
      <c r="U531" s="882">
        <f t="shared" si="469"/>
        <v>-68.509</v>
      </c>
      <c r="V531" s="861">
        <f t="shared" si="469"/>
        <v>-17</v>
      </c>
      <c r="W531" s="861">
        <f t="shared" si="470"/>
        <v>-40</v>
      </c>
      <c r="X531" s="861">
        <f t="shared" si="470"/>
        <v>-23</v>
      </c>
      <c r="Y531" s="841">
        <f t="shared" si="470"/>
        <v>-10</v>
      </c>
      <c r="Z531" s="840">
        <f t="shared" si="471"/>
        <v>-90</v>
      </c>
      <c r="AA531" s="841">
        <f t="shared" si="471"/>
        <v>0</v>
      </c>
      <c r="AB531" s="861">
        <f t="shared" si="472"/>
        <v>-10</v>
      </c>
      <c r="AC531" s="861">
        <f t="shared" si="472"/>
        <v>-16</v>
      </c>
      <c r="AD531" s="841">
        <f t="shared" si="472"/>
        <v>-2</v>
      </c>
      <c r="AE531" s="840">
        <f t="shared" si="473"/>
        <v>-28</v>
      </c>
      <c r="AF531" s="841">
        <f t="shared" si="473"/>
        <v>-13</v>
      </c>
      <c r="AG531" s="861">
        <f t="shared" si="474"/>
        <v>-8</v>
      </c>
      <c r="AH531" s="861">
        <f t="shared" si="474"/>
        <v>-15</v>
      </c>
      <c r="AI531" s="841">
        <f t="shared" si="474"/>
        <v>-16</v>
      </c>
      <c r="AJ531" s="840">
        <f t="shared" si="475"/>
        <v>-52</v>
      </c>
      <c r="AK531" s="841">
        <f t="shared" si="475"/>
        <v>-5</v>
      </c>
      <c r="AL531" s="861">
        <f t="shared" si="476"/>
        <v>-6</v>
      </c>
      <c r="AM531" s="842">
        <f t="shared" si="476"/>
        <v>0</v>
      </c>
      <c r="AN531" s="862"/>
      <c r="AO531" s="844">
        <f t="shared" si="477"/>
        <v>-11</v>
      </c>
      <c r="AP531" s="862"/>
      <c r="AQ531" s="862"/>
      <c r="AR531" s="862"/>
      <c r="AS531" s="862"/>
      <c r="AT531" s="844">
        <f t="shared" si="478"/>
        <v>0</v>
      </c>
      <c r="AU531" s="863"/>
      <c r="AV531" s="863"/>
      <c r="AW531" s="863"/>
      <c r="AX531" s="793"/>
    </row>
    <row r="532" spans="1:50" s="29" customFormat="1" x14ac:dyDescent="0.45">
      <c r="A532" s="111" t="str">
        <f t="shared" si="462"/>
        <v>Proceeds from issuance of shares under employee plans</v>
      </c>
      <c r="B532" s="793"/>
      <c r="C532" s="882">
        <f t="shared" si="463"/>
        <v>5.8550000000000004</v>
      </c>
      <c r="D532" s="882">
        <f t="shared" si="463"/>
        <v>5.7169999999999996</v>
      </c>
      <c r="E532" s="882">
        <f t="shared" si="463"/>
        <v>12.789</v>
      </c>
      <c r="F532" s="882">
        <f t="shared" si="463"/>
        <v>0.94799999999999995</v>
      </c>
      <c r="G532" s="861">
        <f t="shared" si="463"/>
        <v>0.25</v>
      </c>
      <c r="H532" s="861">
        <f t="shared" si="464"/>
        <v>1.2849999999999999</v>
      </c>
      <c r="I532" s="861">
        <f t="shared" si="464"/>
        <v>0.66500000000000026</v>
      </c>
      <c r="J532" s="861">
        <f t="shared" si="464"/>
        <v>0</v>
      </c>
      <c r="K532" s="882">
        <f t="shared" si="465"/>
        <v>2.2000000000000002</v>
      </c>
      <c r="L532" s="861">
        <f t="shared" si="465"/>
        <v>-5.3999999999999999E-2</v>
      </c>
      <c r="M532" s="861">
        <f t="shared" si="466"/>
        <v>-1.0000000000000009E-3</v>
      </c>
      <c r="N532" s="861">
        <f t="shared" si="466"/>
        <v>0.22500000000000001</v>
      </c>
      <c r="O532" s="861">
        <f t="shared" si="466"/>
        <v>0.21299999999999999</v>
      </c>
      <c r="P532" s="882">
        <f t="shared" si="467"/>
        <v>0.38300000000000001</v>
      </c>
      <c r="Q532" s="861">
        <f t="shared" si="467"/>
        <v>0.22500000000000001</v>
      </c>
      <c r="R532" s="861">
        <f t="shared" si="468"/>
        <v>0.254</v>
      </c>
      <c r="S532" s="861">
        <f t="shared" si="468"/>
        <v>0.253</v>
      </c>
      <c r="T532" s="861">
        <f t="shared" si="468"/>
        <v>0.26</v>
      </c>
      <c r="U532" s="882">
        <f t="shared" si="469"/>
        <v>0.99199999999999999</v>
      </c>
      <c r="V532" s="861">
        <f t="shared" si="469"/>
        <v>0.35899999999999999</v>
      </c>
      <c r="W532" s="861">
        <f t="shared" si="470"/>
        <v>0.34299999999999997</v>
      </c>
      <c r="X532" s="861">
        <f t="shared" si="470"/>
        <v>0.29700000000000004</v>
      </c>
      <c r="Y532" s="841">
        <f t="shared" si="470"/>
        <v>0.31100000000000005</v>
      </c>
      <c r="Z532" s="840">
        <f t="shared" si="471"/>
        <v>1.31</v>
      </c>
      <c r="AA532" s="841">
        <f t="shared" si="471"/>
        <v>3.97</v>
      </c>
      <c r="AB532" s="861">
        <f t="shared" si="472"/>
        <v>0.35000000000000009</v>
      </c>
      <c r="AC532" s="861">
        <f t="shared" si="472"/>
        <v>0.3199999999999994</v>
      </c>
      <c r="AD532" s="841">
        <f t="shared" si="472"/>
        <v>0.24900000000000055</v>
      </c>
      <c r="AE532" s="840">
        <f t="shared" si="473"/>
        <v>4.8890000000000002</v>
      </c>
      <c r="AF532" s="841">
        <f t="shared" si="473"/>
        <v>1.3520000000000001</v>
      </c>
      <c r="AG532" s="861">
        <f t="shared" si="474"/>
        <v>2.7559999999999993</v>
      </c>
      <c r="AH532" s="861">
        <f t="shared" si="474"/>
        <v>0.39700000000000024</v>
      </c>
      <c r="AI532" s="841">
        <f t="shared" si="474"/>
        <v>3.0280000000000005</v>
      </c>
      <c r="AJ532" s="840">
        <f t="shared" si="475"/>
        <v>7.5330000000000004</v>
      </c>
      <c r="AK532" s="841">
        <f t="shared" si="475"/>
        <v>1.0960000000000001</v>
      </c>
      <c r="AL532" s="861">
        <f t="shared" si="476"/>
        <v>0.48599999999999999</v>
      </c>
      <c r="AM532" s="842">
        <f t="shared" si="476"/>
        <v>0.49399999999999999</v>
      </c>
      <c r="AN532" s="862"/>
      <c r="AO532" s="844">
        <f t="shared" si="477"/>
        <v>2.0760000000000001</v>
      </c>
      <c r="AP532" s="862"/>
      <c r="AQ532" s="862"/>
      <c r="AR532" s="862"/>
      <c r="AS532" s="862"/>
      <c r="AT532" s="844">
        <f t="shared" si="478"/>
        <v>0</v>
      </c>
      <c r="AU532" s="863"/>
      <c r="AV532" s="863"/>
      <c r="AW532" s="863"/>
      <c r="AX532" s="793"/>
    </row>
    <row r="533" spans="1:50" s="29" customFormat="1" x14ac:dyDescent="0.45">
      <c r="A533" s="111" t="str">
        <f t="shared" si="462"/>
        <v>Dividends paid</v>
      </c>
      <c r="B533" s="793"/>
      <c r="C533" s="882">
        <f t="shared" si="463"/>
        <v>-34.274999999999999</v>
      </c>
      <c r="D533" s="882">
        <f t="shared" si="463"/>
        <v>-34.716000000000001</v>
      </c>
      <c r="E533" s="882">
        <f t="shared" si="463"/>
        <v>-40.988999999999997</v>
      </c>
      <c r="F533" s="882">
        <f t="shared" si="463"/>
        <v>-41.534999999999997</v>
      </c>
      <c r="G533" s="861">
        <f t="shared" si="463"/>
        <v>-10.417</v>
      </c>
      <c r="H533" s="861">
        <f t="shared" si="464"/>
        <v>-10.426</v>
      </c>
      <c r="I533" s="861">
        <f t="shared" si="464"/>
        <v>-10.672000000000001</v>
      </c>
      <c r="J533" s="861">
        <f t="shared" si="464"/>
        <v>-10.688000000000002</v>
      </c>
      <c r="K533" s="882">
        <f t="shared" si="465"/>
        <v>-42.203000000000003</v>
      </c>
      <c r="L533" s="861">
        <f t="shared" si="465"/>
        <v>-10.686999999999999</v>
      </c>
      <c r="M533" s="861">
        <f t="shared" si="466"/>
        <v>-10.688000000000001</v>
      </c>
      <c r="N533" s="861">
        <f t="shared" si="466"/>
        <v>-10.698</v>
      </c>
      <c r="O533" s="861">
        <f t="shared" si="466"/>
        <v>-10.697000000000003</v>
      </c>
      <c r="P533" s="882">
        <f t="shared" si="467"/>
        <v>-42.77</v>
      </c>
      <c r="Q533" s="861">
        <f t="shared" si="467"/>
        <v>-10.7</v>
      </c>
      <c r="R533" s="861">
        <f t="shared" si="468"/>
        <v>-10.702999999999999</v>
      </c>
      <c r="S533" s="861">
        <f t="shared" si="468"/>
        <v>-10.722000000000001</v>
      </c>
      <c r="T533" s="861">
        <f t="shared" si="468"/>
        <v>-10.725000000000001</v>
      </c>
      <c r="U533" s="882">
        <f t="shared" si="469"/>
        <v>-42.85</v>
      </c>
      <c r="V533" s="861">
        <f t="shared" si="469"/>
        <v>0</v>
      </c>
      <c r="W533" s="861">
        <f t="shared" si="470"/>
        <v>0</v>
      </c>
      <c r="X533" s="861">
        <f t="shared" si="470"/>
        <v>0</v>
      </c>
      <c r="Y533" s="841">
        <f t="shared" si="470"/>
        <v>0</v>
      </c>
      <c r="Z533" s="840">
        <f t="shared" si="471"/>
        <v>0</v>
      </c>
      <c r="AA533" s="841">
        <f t="shared" si="471"/>
        <v>0</v>
      </c>
      <c r="AB533" s="861">
        <f t="shared" si="472"/>
        <v>0</v>
      </c>
      <c r="AC533" s="861">
        <f t="shared" si="472"/>
        <v>0</v>
      </c>
      <c r="AD533" s="841">
        <f t="shared" si="472"/>
        <v>0</v>
      </c>
      <c r="AE533" s="840">
        <f t="shared" si="473"/>
        <v>0</v>
      </c>
      <c r="AF533" s="841">
        <f t="shared" si="473"/>
        <v>0</v>
      </c>
      <c r="AG533" s="861">
        <f t="shared" si="474"/>
        <v>0</v>
      </c>
      <c r="AH533" s="861">
        <f t="shared" si="474"/>
        <v>0</v>
      </c>
      <c r="AI533" s="841">
        <f t="shared" si="474"/>
        <v>0</v>
      </c>
      <c r="AJ533" s="840">
        <f t="shared" si="475"/>
        <v>0</v>
      </c>
      <c r="AK533" s="841">
        <f t="shared" si="475"/>
        <v>0</v>
      </c>
      <c r="AL533" s="861">
        <f t="shared" si="476"/>
        <v>0</v>
      </c>
      <c r="AM533" s="842">
        <f t="shared" si="476"/>
        <v>0</v>
      </c>
      <c r="AN533" s="862">
        <f ca="1">AN364</f>
        <v>0</v>
      </c>
      <c r="AO533" s="844">
        <f t="shared" ca="1" si="477"/>
        <v>0</v>
      </c>
      <c r="AP533" s="862">
        <f t="shared" ref="AP533:AS533" ca="1" si="479">AP364</f>
        <v>0</v>
      </c>
      <c r="AQ533" s="862">
        <f t="shared" ca="1" si="479"/>
        <v>0</v>
      </c>
      <c r="AR533" s="862">
        <f t="shared" ca="1" si="479"/>
        <v>0</v>
      </c>
      <c r="AS533" s="862">
        <f t="shared" ca="1" si="479"/>
        <v>0</v>
      </c>
      <c r="AT533" s="844">
        <f t="shared" ca="1" si="478"/>
        <v>0</v>
      </c>
      <c r="AU533" s="863">
        <f t="shared" ref="AU533:AW533" ca="1" si="480">AU364</f>
        <v>0</v>
      </c>
      <c r="AV533" s="863">
        <f t="shared" ca="1" si="480"/>
        <v>0</v>
      </c>
      <c r="AW533" s="863">
        <f t="shared" ca="1" si="480"/>
        <v>0</v>
      </c>
      <c r="AX533" s="793"/>
    </row>
    <row r="534" spans="1:50" s="29" customFormat="1" x14ac:dyDescent="0.45">
      <c r="A534" s="111" t="str">
        <f t="shared" si="462"/>
        <v>Payment of debt issuance costs</v>
      </c>
      <c r="B534" s="793"/>
      <c r="C534" s="882">
        <f t="shared" si="463"/>
        <v>0</v>
      </c>
      <c r="D534" s="882">
        <f t="shared" si="463"/>
        <v>0</v>
      </c>
      <c r="E534" s="882">
        <f t="shared" si="463"/>
        <v>0</v>
      </c>
      <c r="F534" s="882">
        <f t="shared" si="463"/>
        <v>0</v>
      </c>
      <c r="G534" s="861">
        <f t="shared" si="463"/>
        <v>0</v>
      </c>
      <c r="H534" s="861">
        <f t="shared" si="464"/>
        <v>0</v>
      </c>
      <c r="I534" s="861">
        <f t="shared" si="464"/>
        <v>0</v>
      </c>
      <c r="J534" s="861">
        <f t="shared" si="464"/>
        <v>0</v>
      </c>
      <c r="K534" s="882">
        <f t="shared" si="465"/>
        <v>0</v>
      </c>
      <c r="L534" s="861">
        <f t="shared" si="465"/>
        <v>0</v>
      </c>
      <c r="M534" s="861">
        <f t="shared" si="466"/>
        <v>0</v>
      </c>
      <c r="N534" s="861">
        <f t="shared" si="466"/>
        <v>0</v>
      </c>
      <c r="O534" s="861">
        <f t="shared" si="466"/>
        <v>0</v>
      </c>
      <c r="P534" s="882">
        <f t="shared" si="467"/>
        <v>0</v>
      </c>
      <c r="Q534" s="861">
        <f t="shared" si="467"/>
        <v>0</v>
      </c>
      <c r="R534" s="861">
        <f t="shared" si="468"/>
        <v>0</v>
      </c>
      <c r="S534" s="861">
        <f t="shared" si="468"/>
        <v>0</v>
      </c>
      <c r="T534" s="861">
        <f t="shared" si="468"/>
        <v>-5.3819999999999997</v>
      </c>
      <c r="U534" s="882">
        <f t="shared" si="469"/>
        <v>-5.3819999999999997</v>
      </c>
      <c r="V534" s="861">
        <f t="shared" si="469"/>
        <v>0</v>
      </c>
      <c r="W534" s="861">
        <f t="shared" si="470"/>
        <v>0</v>
      </c>
      <c r="X534" s="861">
        <f t="shared" si="470"/>
        <v>0</v>
      </c>
      <c r="Y534" s="841">
        <f t="shared" si="470"/>
        <v>0</v>
      </c>
      <c r="Z534" s="840">
        <f t="shared" si="471"/>
        <v>0</v>
      </c>
      <c r="AA534" s="841">
        <f t="shared" si="471"/>
        <v>0</v>
      </c>
      <c r="AB534" s="861">
        <f t="shared" si="472"/>
        <v>0</v>
      </c>
      <c r="AC534" s="861">
        <f t="shared" si="472"/>
        <v>0</v>
      </c>
      <c r="AD534" s="841">
        <f t="shared" si="472"/>
        <v>-1.105</v>
      </c>
      <c r="AE534" s="840">
        <f t="shared" si="473"/>
        <v>-1.105</v>
      </c>
      <c r="AF534" s="841">
        <f t="shared" si="473"/>
        <v>0</v>
      </c>
      <c r="AG534" s="861">
        <f t="shared" si="474"/>
        <v>0</v>
      </c>
      <c r="AH534" s="861">
        <f t="shared" si="474"/>
        <v>0</v>
      </c>
      <c r="AI534" s="841">
        <f t="shared" si="474"/>
        <v>0</v>
      </c>
      <c r="AJ534" s="840">
        <f t="shared" si="475"/>
        <v>0</v>
      </c>
      <c r="AK534" s="841">
        <f t="shared" si="475"/>
        <v>0</v>
      </c>
      <c r="AL534" s="861">
        <f t="shared" si="476"/>
        <v>0</v>
      </c>
      <c r="AM534" s="842">
        <f t="shared" si="476"/>
        <v>0</v>
      </c>
      <c r="AN534" s="862"/>
      <c r="AO534" s="844">
        <f t="shared" si="477"/>
        <v>0</v>
      </c>
      <c r="AP534" s="862"/>
      <c r="AQ534" s="862"/>
      <c r="AR534" s="862"/>
      <c r="AS534" s="862"/>
      <c r="AT534" s="844">
        <f t="shared" si="478"/>
        <v>0</v>
      </c>
      <c r="AU534" s="863"/>
      <c r="AV534" s="863"/>
      <c r="AW534" s="863"/>
      <c r="AX534" s="793"/>
    </row>
    <row r="535" spans="1:50" s="29" customFormat="1" x14ac:dyDescent="0.45">
      <c r="A535" s="111" t="str">
        <f t="shared" si="462"/>
        <v>Payment of contingent consideration related to acquisitions</v>
      </c>
      <c r="B535" s="793"/>
      <c r="C535" s="882">
        <f t="shared" si="463"/>
        <v>0</v>
      </c>
      <c r="D535" s="882">
        <f t="shared" si="463"/>
        <v>-0.253</v>
      </c>
      <c r="E535" s="882">
        <f t="shared" si="463"/>
        <v>-1.319</v>
      </c>
      <c r="F535" s="882">
        <f t="shared" si="463"/>
        <v>-2.3530000000000002</v>
      </c>
      <c r="G535" s="861">
        <f t="shared" si="463"/>
        <v>-6.2E-2</v>
      </c>
      <c r="H535" s="861">
        <f t="shared" si="464"/>
        <v>-1.9330000000000001</v>
      </c>
      <c r="I535" s="861">
        <f t="shared" si="464"/>
        <v>-1.7250000000000001</v>
      </c>
      <c r="J535" s="861">
        <f t="shared" si="464"/>
        <v>0.29700000000000015</v>
      </c>
      <c r="K535" s="882">
        <f t="shared" si="465"/>
        <v>-3.423</v>
      </c>
      <c r="L535" s="861">
        <f t="shared" si="465"/>
        <v>0</v>
      </c>
      <c r="M535" s="861">
        <f t="shared" si="466"/>
        <v>-0.68600000000000005</v>
      </c>
      <c r="N535" s="861">
        <f t="shared" si="466"/>
        <v>0</v>
      </c>
      <c r="O535" s="861">
        <f t="shared" si="466"/>
        <v>0.68600000000000005</v>
      </c>
      <c r="P535" s="882">
        <f t="shared" si="467"/>
        <v>0</v>
      </c>
      <c r="Q535" s="861">
        <f t="shared" si="467"/>
        <v>0</v>
      </c>
      <c r="R535" s="861">
        <f t="shared" si="468"/>
        <v>0</v>
      </c>
      <c r="S535" s="861">
        <f t="shared" si="468"/>
        <v>0</v>
      </c>
      <c r="T535" s="861">
        <f t="shared" si="468"/>
        <v>0</v>
      </c>
      <c r="U535" s="882">
        <f t="shared" si="469"/>
        <v>0</v>
      </c>
      <c r="V535" s="861">
        <f t="shared" si="469"/>
        <v>0</v>
      </c>
      <c r="W535" s="861">
        <f t="shared" si="470"/>
        <v>0</v>
      </c>
      <c r="X535" s="861">
        <f t="shared" si="470"/>
        <v>0</v>
      </c>
      <c r="Y535" s="841">
        <f t="shared" si="470"/>
        <v>0</v>
      </c>
      <c r="Z535" s="840">
        <f t="shared" si="471"/>
        <v>0</v>
      </c>
      <c r="AA535" s="841">
        <f t="shared" si="471"/>
        <v>-18.817</v>
      </c>
      <c r="AB535" s="861">
        <f t="shared" si="472"/>
        <v>0</v>
      </c>
      <c r="AC535" s="861">
        <f t="shared" si="472"/>
        <v>0</v>
      </c>
      <c r="AD535" s="841">
        <f t="shared" si="472"/>
        <v>0</v>
      </c>
      <c r="AE535" s="840">
        <f t="shared" si="473"/>
        <v>-18.817</v>
      </c>
      <c r="AF535" s="841">
        <f t="shared" si="473"/>
        <v>0</v>
      </c>
      <c r="AG535" s="861">
        <f t="shared" si="474"/>
        <v>0</v>
      </c>
      <c r="AH535" s="861">
        <f t="shared" si="474"/>
        <v>0</v>
      </c>
      <c r="AI535" s="841">
        <f t="shared" si="474"/>
        <v>0</v>
      </c>
      <c r="AJ535" s="840">
        <f t="shared" si="475"/>
        <v>0</v>
      </c>
      <c r="AK535" s="841">
        <f t="shared" si="475"/>
        <v>0</v>
      </c>
      <c r="AL535" s="861">
        <f t="shared" si="476"/>
        <v>0</v>
      </c>
      <c r="AM535" s="842">
        <f t="shared" si="476"/>
        <v>0</v>
      </c>
      <c r="AN535" s="874"/>
      <c r="AO535" s="844">
        <f t="shared" si="477"/>
        <v>0</v>
      </c>
      <c r="AP535" s="874"/>
      <c r="AQ535" s="874"/>
      <c r="AR535" s="874"/>
      <c r="AS535" s="874"/>
      <c r="AT535" s="844">
        <f t="shared" si="478"/>
        <v>0</v>
      </c>
      <c r="AU535" s="875"/>
      <c r="AV535" s="875"/>
      <c r="AW535" s="875"/>
      <c r="AX535" s="793"/>
    </row>
    <row r="536" spans="1:50" s="29" customFormat="1" x14ac:dyDescent="0.45">
      <c r="A536" s="111" t="str">
        <f t="shared" si="462"/>
        <v>Repurchase of common stocks</v>
      </c>
      <c r="B536" s="797"/>
      <c r="C536" s="882">
        <f t="shared" si="463"/>
        <v>0</v>
      </c>
      <c r="D536" s="882">
        <f t="shared" si="463"/>
        <v>0</v>
      </c>
      <c r="E536" s="882">
        <f t="shared" si="463"/>
        <v>0</v>
      </c>
      <c r="F536" s="882">
        <f t="shared" si="463"/>
        <v>0</v>
      </c>
      <c r="G536" s="861">
        <f t="shared" si="463"/>
        <v>0</v>
      </c>
      <c r="H536" s="861">
        <f t="shared" si="464"/>
        <v>0</v>
      </c>
      <c r="I536" s="861">
        <f t="shared" si="464"/>
        <v>0</v>
      </c>
      <c r="J536" s="861">
        <f t="shared" si="464"/>
        <v>0</v>
      </c>
      <c r="K536" s="882">
        <f t="shared" si="465"/>
        <v>0</v>
      </c>
      <c r="L536" s="861">
        <f t="shared" si="465"/>
        <v>0</v>
      </c>
      <c r="M536" s="861">
        <f t="shared" si="466"/>
        <v>0</v>
      </c>
      <c r="N536" s="861">
        <f t="shared" si="466"/>
        <v>0</v>
      </c>
      <c r="O536" s="861">
        <f t="shared" si="466"/>
        <v>0</v>
      </c>
      <c r="P536" s="882">
        <f t="shared" si="467"/>
        <v>0</v>
      </c>
      <c r="Q536" s="861">
        <f t="shared" si="467"/>
        <v>0</v>
      </c>
      <c r="R536" s="861">
        <f t="shared" si="468"/>
        <v>0</v>
      </c>
      <c r="S536" s="861">
        <f t="shared" si="468"/>
        <v>0</v>
      </c>
      <c r="T536" s="861">
        <f t="shared" si="468"/>
        <v>0</v>
      </c>
      <c r="U536" s="882">
        <f t="shared" si="469"/>
        <v>0</v>
      </c>
      <c r="V536" s="861">
        <f t="shared" si="469"/>
        <v>0</v>
      </c>
      <c r="W536" s="861">
        <f t="shared" si="470"/>
        <v>0</v>
      </c>
      <c r="X536" s="861">
        <f t="shared" si="470"/>
        <v>0</v>
      </c>
      <c r="Y536" s="861">
        <f t="shared" si="470"/>
        <v>0</v>
      </c>
      <c r="Z536" s="882">
        <f t="shared" si="471"/>
        <v>0</v>
      </c>
      <c r="AA536" s="861">
        <f t="shared" si="471"/>
        <v>0</v>
      </c>
      <c r="AB536" s="861">
        <f t="shared" si="472"/>
        <v>0</v>
      </c>
      <c r="AC536" s="861">
        <f t="shared" si="472"/>
        <v>0</v>
      </c>
      <c r="AD536" s="861">
        <f t="shared" si="472"/>
        <v>0</v>
      </c>
      <c r="AE536" s="882">
        <f t="shared" si="473"/>
        <v>0</v>
      </c>
      <c r="AF536" s="861">
        <f t="shared" si="473"/>
        <v>0</v>
      </c>
      <c r="AG536" s="861">
        <f t="shared" si="474"/>
        <v>0</v>
      </c>
      <c r="AH536" s="861">
        <f t="shared" si="474"/>
        <v>0</v>
      </c>
      <c r="AI536" s="861">
        <f t="shared" si="474"/>
        <v>0</v>
      </c>
      <c r="AJ536" s="882">
        <f t="shared" si="475"/>
        <v>0</v>
      </c>
      <c r="AK536" s="861">
        <f t="shared" si="475"/>
        <v>0</v>
      </c>
      <c r="AL536" s="861">
        <f t="shared" si="476"/>
        <v>0</v>
      </c>
      <c r="AM536" s="883">
        <f t="shared" si="476"/>
        <v>0</v>
      </c>
      <c r="AN536" s="862">
        <f>AN368</f>
        <v>0</v>
      </c>
      <c r="AO536" s="863">
        <f t="shared" ref="AO536" si="481">SUM(AK536,AL536,AM536,AN536)</f>
        <v>0</v>
      </c>
      <c r="AP536" s="862">
        <f>AP368</f>
        <v>0</v>
      </c>
      <c r="AQ536" s="862">
        <f>AQ368</f>
        <v>0</v>
      </c>
      <c r="AR536" s="862">
        <f>AR368</f>
        <v>0</v>
      </c>
      <c r="AS536" s="862">
        <f>AS368</f>
        <v>0</v>
      </c>
      <c r="AT536" s="863">
        <f t="shared" ref="AT536" si="482">SUM(AP536,AQ536,AR536,AS536)</f>
        <v>0</v>
      </c>
      <c r="AU536" s="863">
        <f>AU368</f>
        <v>0</v>
      </c>
      <c r="AV536" s="863">
        <f>AV368</f>
        <v>0</v>
      </c>
      <c r="AW536" s="863">
        <f>AW368</f>
        <v>0</v>
      </c>
      <c r="AX536" s="793"/>
    </row>
    <row r="537" spans="1:50" s="29" customFormat="1" x14ac:dyDescent="0.45">
      <c r="A537" s="219" t="str">
        <f t="shared" si="462"/>
        <v>Cancellation of shares related to tax withholdings for vesting of equity awards</v>
      </c>
      <c r="B537" s="794"/>
      <c r="C537" s="865">
        <f t="shared" ref="C537:G537" si="483">C473</f>
        <v>0</v>
      </c>
      <c r="D537" s="865">
        <f t="shared" si="483"/>
        <v>0</v>
      </c>
      <c r="E537" s="865">
        <f t="shared" si="483"/>
        <v>0</v>
      </c>
      <c r="F537" s="865">
        <f t="shared" si="483"/>
        <v>0</v>
      </c>
      <c r="G537" s="864">
        <f t="shared" si="483"/>
        <v>0</v>
      </c>
      <c r="H537" s="864">
        <f t="shared" ref="H537:J537" si="484">H473-G473</f>
        <v>0</v>
      </c>
      <c r="I537" s="864">
        <f t="shared" si="484"/>
        <v>0</v>
      </c>
      <c r="J537" s="864">
        <f t="shared" si="484"/>
        <v>0</v>
      </c>
      <c r="K537" s="865">
        <f t="shared" ref="K537:L537" si="485">K473</f>
        <v>0</v>
      </c>
      <c r="L537" s="864">
        <f t="shared" si="485"/>
        <v>0</v>
      </c>
      <c r="M537" s="864">
        <f t="shared" ref="M537:O537" si="486">M473-L473</f>
        <v>0</v>
      </c>
      <c r="N537" s="864">
        <f t="shared" si="486"/>
        <v>0</v>
      </c>
      <c r="O537" s="864">
        <f t="shared" si="486"/>
        <v>0</v>
      </c>
      <c r="P537" s="865">
        <f t="shared" ref="P537:Q537" si="487">P473</f>
        <v>0</v>
      </c>
      <c r="Q537" s="864">
        <f t="shared" si="487"/>
        <v>0</v>
      </c>
      <c r="R537" s="864">
        <f t="shared" ref="R537:T537" si="488">R473-Q473</f>
        <v>0</v>
      </c>
      <c r="S537" s="864">
        <f t="shared" si="488"/>
        <v>0</v>
      </c>
      <c r="T537" s="864">
        <f t="shared" si="488"/>
        <v>0</v>
      </c>
      <c r="U537" s="865">
        <f t="shared" ref="U537:V537" si="489">U473</f>
        <v>0</v>
      </c>
      <c r="V537" s="864">
        <f t="shared" si="489"/>
        <v>0</v>
      </c>
      <c r="W537" s="864">
        <f t="shared" ref="W537:Y537" si="490">W473-V473</f>
        <v>0</v>
      </c>
      <c r="X537" s="864">
        <f t="shared" si="490"/>
        <v>0</v>
      </c>
      <c r="Y537" s="849">
        <f t="shared" si="490"/>
        <v>0</v>
      </c>
      <c r="Z537" s="848">
        <f t="shared" ref="Z537:AA537" si="491">Z473</f>
        <v>0</v>
      </c>
      <c r="AA537" s="849">
        <f t="shared" si="491"/>
        <v>-0.70799999999999996</v>
      </c>
      <c r="AB537" s="864">
        <f t="shared" ref="AB537:AD537" si="492">AB473-AA473</f>
        <v>-7.0000000000000062E-2</v>
      </c>
      <c r="AC537" s="864">
        <f t="shared" si="492"/>
        <v>1.100000000000001E-2</v>
      </c>
      <c r="AD537" s="849">
        <f t="shared" si="492"/>
        <v>-8.0999999999999961E-2</v>
      </c>
      <c r="AE537" s="848">
        <f t="shared" ref="AE537:AF537" si="493">AE473</f>
        <v>-0.84799999999999998</v>
      </c>
      <c r="AF537" s="849">
        <f t="shared" si="493"/>
        <v>-1.554</v>
      </c>
      <c r="AG537" s="864">
        <f t="shared" ref="AG537:AI537" si="494">AG473-AF473</f>
        <v>-0.65000000000000013</v>
      </c>
      <c r="AH537" s="864">
        <f t="shared" si="494"/>
        <v>-0.39399999999999968</v>
      </c>
      <c r="AI537" s="849">
        <f t="shared" si="494"/>
        <v>-0.58300000000000018</v>
      </c>
      <c r="AJ537" s="848">
        <f t="shared" ref="AJ537:AK537" si="495">AJ473</f>
        <v>-3.181</v>
      </c>
      <c r="AK537" s="849">
        <f t="shared" si="495"/>
        <v>-2.4009999999999998</v>
      </c>
      <c r="AL537" s="864">
        <f t="shared" ref="AL537:AM537" si="496">AL473-AK473</f>
        <v>-0.44200000000000017</v>
      </c>
      <c r="AM537" s="850">
        <f t="shared" si="496"/>
        <v>-0.79899999999999993</v>
      </c>
      <c r="AN537" s="904"/>
      <c r="AO537" s="848">
        <f t="shared" si="477"/>
        <v>-3.6419999999999999</v>
      </c>
      <c r="AP537" s="904"/>
      <c r="AQ537" s="904"/>
      <c r="AR537" s="904"/>
      <c r="AS537" s="904"/>
      <c r="AT537" s="848">
        <f t="shared" si="478"/>
        <v>0</v>
      </c>
      <c r="AU537" s="905"/>
      <c r="AV537" s="905"/>
      <c r="AW537" s="905"/>
      <c r="AX537" s="793"/>
    </row>
    <row r="538" spans="1:50" s="7" customFormat="1" x14ac:dyDescent="0.45">
      <c r="A538" s="104" t="str">
        <f t="shared" si="462"/>
        <v>Net CFF</v>
      </c>
      <c r="B538" s="150"/>
      <c r="C538" s="860">
        <f t="shared" ref="C538:AW538" si="497">SUM(C530:C537)</f>
        <v>-26.843999999999998</v>
      </c>
      <c r="D538" s="860">
        <f t="shared" si="497"/>
        <v>-27.728000000000002</v>
      </c>
      <c r="E538" s="860">
        <f t="shared" si="497"/>
        <v>-25.373999999999999</v>
      </c>
      <c r="F538" s="860">
        <f t="shared" si="497"/>
        <v>-42.856000000000002</v>
      </c>
      <c r="G538" s="859">
        <f t="shared" si="497"/>
        <v>-10.178999999999998</v>
      </c>
      <c r="H538" s="859">
        <f t="shared" si="497"/>
        <v>-11.061999999999999</v>
      </c>
      <c r="I538" s="859">
        <f t="shared" si="497"/>
        <v>-11.731999999999999</v>
      </c>
      <c r="J538" s="859">
        <f t="shared" si="497"/>
        <v>-10.270000000000001</v>
      </c>
      <c r="K538" s="860">
        <f t="shared" si="497"/>
        <v>-43.243000000000002</v>
      </c>
      <c r="L538" s="859">
        <f t="shared" si="497"/>
        <v>-10.741</v>
      </c>
      <c r="M538" s="859">
        <f t="shared" si="497"/>
        <v>-11.375</v>
      </c>
      <c r="N538" s="859">
        <f t="shared" si="497"/>
        <v>-10.473000000000001</v>
      </c>
      <c r="O538" s="859">
        <f t="shared" si="497"/>
        <v>-9.7980000000000036</v>
      </c>
      <c r="P538" s="860">
        <f t="shared" si="497"/>
        <v>-42.387</v>
      </c>
      <c r="Q538" s="859">
        <f t="shared" si="497"/>
        <v>-10.475</v>
      </c>
      <c r="R538" s="859">
        <f t="shared" si="497"/>
        <v>-10.449</v>
      </c>
      <c r="S538" s="859">
        <f t="shared" si="497"/>
        <v>-10.469000000000001</v>
      </c>
      <c r="T538" s="859">
        <f t="shared" si="497"/>
        <v>89.152999999999992</v>
      </c>
      <c r="U538" s="860">
        <f t="shared" si="497"/>
        <v>57.759999999999991</v>
      </c>
      <c r="V538" s="859">
        <f t="shared" si="497"/>
        <v>-16.640999999999998</v>
      </c>
      <c r="W538" s="859">
        <f t="shared" si="497"/>
        <v>-39.656999999999996</v>
      </c>
      <c r="X538" s="859">
        <f t="shared" si="497"/>
        <v>-22.702999999999999</v>
      </c>
      <c r="Y538" s="846">
        <f t="shared" si="497"/>
        <v>-9.6890000000000001</v>
      </c>
      <c r="Z538" s="845">
        <f t="shared" si="497"/>
        <v>-88.69</v>
      </c>
      <c r="AA538" s="846">
        <f t="shared" si="497"/>
        <v>14.444999999999999</v>
      </c>
      <c r="AB538" s="859">
        <f t="shared" si="497"/>
        <v>10.28</v>
      </c>
      <c r="AC538" s="859">
        <f t="shared" si="497"/>
        <v>-15.669</v>
      </c>
      <c r="AD538" s="846">
        <f t="shared" si="497"/>
        <v>-2.9369999999999994</v>
      </c>
      <c r="AE538" s="845">
        <f t="shared" si="497"/>
        <v>6.1189999999999989</v>
      </c>
      <c r="AF538" s="846">
        <f t="shared" si="497"/>
        <v>6.798</v>
      </c>
      <c r="AG538" s="859">
        <f t="shared" si="497"/>
        <v>0.10599999999999921</v>
      </c>
      <c r="AH538" s="859">
        <f t="shared" si="497"/>
        <v>-14.997</v>
      </c>
      <c r="AI538" s="846">
        <f t="shared" si="497"/>
        <v>-13.555</v>
      </c>
      <c r="AJ538" s="845">
        <f t="shared" si="497"/>
        <v>-21.648</v>
      </c>
      <c r="AK538" s="846">
        <f t="shared" si="497"/>
        <v>-6.3049999999999997</v>
      </c>
      <c r="AL538" s="859">
        <f t="shared" si="497"/>
        <v>-5.9560000000000004</v>
      </c>
      <c r="AM538" s="847">
        <f t="shared" si="497"/>
        <v>36.695</v>
      </c>
      <c r="AN538" s="859">
        <f t="shared" ca="1" si="497"/>
        <v>0</v>
      </c>
      <c r="AO538" s="845">
        <f t="shared" ca="1" si="497"/>
        <v>24.434000000000001</v>
      </c>
      <c r="AP538" s="859">
        <f t="shared" ca="1" si="497"/>
        <v>0</v>
      </c>
      <c r="AQ538" s="859">
        <f t="shared" ca="1" si="497"/>
        <v>0</v>
      </c>
      <c r="AR538" s="859">
        <f t="shared" ca="1" si="497"/>
        <v>0</v>
      </c>
      <c r="AS538" s="859">
        <f t="shared" ca="1" si="497"/>
        <v>0</v>
      </c>
      <c r="AT538" s="845">
        <f t="shared" ca="1" si="497"/>
        <v>0</v>
      </c>
      <c r="AU538" s="860">
        <f t="shared" ca="1" si="497"/>
        <v>0</v>
      </c>
      <c r="AV538" s="860">
        <f t="shared" ca="1" si="497"/>
        <v>0</v>
      </c>
      <c r="AW538" s="860">
        <f t="shared" ca="1" si="497"/>
        <v>0</v>
      </c>
      <c r="AX538" s="795"/>
    </row>
    <row r="539" spans="1:50" s="7" customFormat="1" x14ac:dyDescent="0.45">
      <c r="A539" s="105"/>
      <c r="B539" s="106"/>
      <c r="C539" s="881"/>
      <c r="D539" s="881"/>
      <c r="E539" s="881"/>
      <c r="F539" s="881"/>
      <c r="G539" s="866"/>
      <c r="H539" s="866"/>
      <c r="I539" s="866"/>
      <c r="J539" s="866"/>
      <c r="K539" s="881"/>
      <c r="L539" s="866"/>
      <c r="M539" s="866"/>
      <c r="N539" s="866"/>
      <c r="O539" s="866"/>
      <c r="P539" s="881"/>
      <c r="Q539" s="866"/>
      <c r="R539" s="866"/>
      <c r="S539" s="866"/>
      <c r="T539" s="866"/>
      <c r="U539" s="881"/>
      <c r="V539" s="866"/>
      <c r="W539" s="866"/>
      <c r="X539" s="866"/>
      <c r="Y539" s="852"/>
      <c r="Z539" s="851"/>
      <c r="AA539" s="852"/>
      <c r="AB539" s="866"/>
      <c r="AC539" s="866"/>
      <c r="AD539" s="852"/>
      <c r="AE539" s="851"/>
      <c r="AF539" s="852"/>
      <c r="AG539" s="866"/>
      <c r="AH539" s="866"/>
      <c r="AI539" s="852"/>
      <c r="AJ539" s="851"/>
      <c r="AK539" s="852"/>
      <c r="AL539" s="866"/>
      <c r="AM539" s="853"/>
      <c r="AN539" s="896"/>
      <c r="AO539" s="855"/>
      <c r="AP539" s="896"/>
      <c r="AQ539" s="896"/>
      <c r="AR539" s="896"/>
      <c r="AS539" s="896"/>
      <c r="AT539" s="855"/>
      <c r="AU539" s="897"/>
      <c r="AV539" s="897"/>
      <c r="AW539" s="897"/>
      <c r="AX539" s="795"/>
    </row>
    <row r="540" spans="1:50" s="29" customFormat="1" x14ac:dyDescent="0.45">
      <c r="A540" s="56" t="str">
        <f>A476</f>
        <v>FX</v>
      </c>
      <c r="B540" s="147"/>
      <c r="C540" s="840">
        <f>C476</f>
        <v>0</v>
      </c>
      <c r="D540" s="840">
        <f>D476</f>
        <v>0</v>
      </c>
      <c r="E540" s="840">
        <f>E476</f>
        <v>0</v>
      </c>
      <c r="F540" s="840">
        <f>F476</f>
        <v>0</v>
      </c>
      <c r="G540" s="841">
        <f>G476</f>
        <v>0</v>
      </c>
      <c r="H540" s="841">
        <f>H476-G476</f>
        <v>0</v>
      </c>
      <c r="I540" s="841">
        <f>I476-H476</f>
        <v>0</v>
      </c>
      <c r="J540" s="841">
        <f>J476-I476</f>
        <v>0</v>
      </c>
      <c r="K540" s="840">
        <f>K476</f>
        <v>0</v>
      </c>
      <c r="L540" s="841">
        <f>L476</f>
        <v>0</v>
      </c>
      <c r="M540" s="841">
        <f>M476-L476</f>
        <v>0</v>
      </c>
      <c r="N540" s="841">
        <f>N476-M476</f>
        <v>0</v>
      </c>
      <c r="O540" s="841">
        <f>O476-N476</f>
        <v>0</v>
      </c>
      <c r="P540" s="840">
        <f>P476</f>
        <v>0</v>
      </c>
      <c r="Q540" s="841">
        <f>Q476</f>
        <v>0</v>
      </c>
      <c r="R540" s="841">
        <f>R476-Q476</f>
        <v>0</v>
      </c>
      <c r="S540" s="841">
        <f>S476-R476</f>
        <v>0</v>
      </c>
      <c r="T540" s="841">
        <f>T476-S476</f>
        <v>0</v>
      </c>
      <c r="U540" s="840">
        <f>U476</f>
        <v>0</v>
      </c>
      <c r="V540" s="841">
        <f>V476</f>
        <v>0</v>
      </c>
      <c r="W540" s="841">
        <f>W476-V476</f>
        <v>0</v>
      </c>
      <c r="X540" s="841">
        <f>X476-W476</f>
        <v>0</v>
      </c>
      <c r="Y540" s="841">
        <f>Y476-X476</f>
        <v>0</v>
      </c>
      <c r="Z540" s="840">
        <f>Z476</f>
        <v>0</v>
      </c>
      <c r="AA540" s="841">
        <f>AA476</f>
        <v>0</v>
      </c>
      <c r="AB540" s="841">
        <f>AB476-AA476</f>
        <v>0</v>
      </c>
      <c r="AC540" s="841">
        <f>AC476-AB476</f>
        <v>0</v>
      </c>
      <c r="AD540" s="841">
        <f>AD476-AC476</f>
        <v>0</v>
      </c>
      <c r="AE540" s="840">
        <f>AE476</f>
        <v>0</v>
      </c>
      <c r="AF540" s="841">
        <f>AF476</f>
        <v>0</v>
      </c>
      <c r="AG540" s="841">
        <f>AG476-AF476</f>
        <v>0</v>
      </c>
      <c r="AH540" s="841">
        <f>AH476-AG476</f>
        <v>0</v>
      </c>
      <c r="AI540" s="841">
        <f>AI476-AH476</f>
        <v>0</v>
      </c>
      <c r="AJ540" s="840">
        <f>AJ476</f>
        <v>0</v>
      </c>
      <c r="AK540" s="841">
        <f>AK476</f>
        <v>0</v>
      </c>
      <c r="AL540" s="841">
        <f>AL476-AK476</f>
        <v>0</v>
      </c>
      <c r="AM540" s="842">
        <f>AM476-AL476</f>
        <v>0</v>
      </c>
      <c r="AN540" s="843"/>
      <c r="AO540" s="844">
        <f>SUM(AK540,AL540,AM540,AN540)</f>
        <v>0</v>
      </c>
      <c r="AP540" s="843"/>
      <c r="AQ540" s="843"/>
      <c r="AR540" s="843"/>
      <c r="AS540" s="843"/>
      <c r="AT540" s="844">
        <f>SUM(AP540,AQ540,AR540,AS540)</f>
        <v>0</v>
      </c>
      <c r="AU540" s="844"/>
      <c r="AV540" s="844"/>
      <c r="AW540" s="844"/>
      <c r="AX540" s="793"/>
    </row>
    <row r="541" spans="1:50" s="7" customFormat="1" x14ac:dyDescent="0.45">
      <c r="A541" s="105" t="str">
        <f>A477</f>
        <v>Net Change in Cash Balance</v>
      </c>
      <c r="B541" s="106"/>
      <c r="C541" s="881">
        <f t="shared" ref="C541:AW541" si="498">C538+C527+C516+C540</f>
        <v>14.430999999999983</v>
      </c>
      <c r="D541" s="881">
        <f t="shared" si="498"/>
        <v>32.005999999999993</v>
      </c>
      <c r="E541" s="881">
        <f t="shared" si="498"/>
        <v>17.827000000000027</v>
      </c>
      <c r="F541" s="881">
        <f t="shared" si="498"/>
        <v>-28.445000000000007</v>
      </c>
      <c r="G541" s="866">
        <f t="shared" si="498"/>
        <v>12.212999999999997</v>
      </c>
      <c r="H541" s="866">
        <f t="shared" si="498"/>
        <v>-45.395999999999994</v>
      </c>
      <c r="I541" s="866">
        <f t="shared" si="498"/>
        <v>9.2849999999999966</v>
      </c>
      <c r="J541" s="866">
        <f t="shared" si="498"/>
        <v>21.043999999999997</v>
      </c>
      <c r="K541" s="881">
        <f t="shared" si="498"/>
        <v>-2.8540000000000134</v>
      </c>
      <c r="L541" s="866">
        <f t="shared" si="498"/>
        <v>4.602999999999998</v>
      </c>
      <c r="M541" s="866">
        <f t="shared" si="498"/>
        <v>7.2320000000000029</v>
      </c>
      <c r="N541" s="866">
        <f t="shared" si="498"/>
        <v>-1.3400000000000034</v>
      </c>
      <c r="O541" s="866">
        <f t="shared" si="498"/>
        <v>5.352999999999998</v>
      </c>
      <c r="P541" s="881">
        <f t="shared" si="498"/>
        <v>15.848000000000013</v>
      </c>
      <c r="Q541" s="866">
        <f t="shared" si="498"/>
        <v>-14.134</v>
      </c>
      <c r="R541" s="866">
        <f t="shared" si="498"/>
        <v>-6.2119999999999944</v>
      </c>
      <c r="S541" s="866">
        <f t="shared" si="498"/>
        <v>-5.9990000000000023</v>
      </c>
      <c r="T541" s="866">
        <f t="shared" si="498"/>
        <v>-65.471999999999994</v>
      </c>
      <c r="U541" s="881">
        <f t="shared" si="498"/>
        <v>-91.816999999999979</v>
      </c>
      <c r="V541" s="866">
        <f t="shared" si="498"/>
        <v>-0.82699999999999463</v>
      </c>
      <c r="W541" s="866">
        <f t="shared" si="498"/>
        <v>-0.10299999999998732</v>
      </c>
      <c r="X541" s="866">
        <f t="shared" si="498"/>
        <v>-2.252000000000006</v>
      </c>
      <c r="Y541" s="852">
        <f t="shared" si="498"/>
        <v>13.678999999999998</v>
      </c>
      <c r="Z541" s="851">
        <f t="shared" si="498"/>
        <v>10.497</v>
      </c>
      <c r="AA541" s="852">
        <f t="shared" si="498"/>
        <v>-13.337000000000002</v>
      </c>
      <c r="AB541" s="866">
        <f t="shared" si="498"/>
        <v>2.2169999999999987</v>
      </c>
      <c r="AC541" s="866">
        <f t="shared" si="498"/>
        <v>-4.7170000000000059</v>
      </c>
      <c r="AD541" s="852">
        <f t="shared" si="498"/>
        <v>4.4660000000000046</v>
      </c>
      <c r="AE541" s="851">
        <f t="shared" si="498"/>
        <v>-11.370999999999981</v>
      </c>
      <c r="AF541" s="852">
        <f t="shared" si="498"/>
        <v>2.8459999999999992</v>
      </c>
      <c r="AG541" s="866">
        <f t="shared" si="498"/>
        <v>5.6540000000000132</v>
      </c>
      <c r="AH541" s="866">
        <f t="shared" si="498"/>
        <v>-2.2750000000000021</v>
      </c>
      <c r="AI541" s="852">
        <f t="shared" si="498"/>
        <v>-2.9209999999999923</v>
      </c>
      <c r="AJ541" s="851">
        <f t="shared" si="498"/>
        <v>3.304000000000002</v>
      </c>
      <c r="AK541" s="852">
        <f t="shared" si="498"/>
        <v>2.2679999999999971</v>
      </c>
      <c r="AL541" s="866">
        <f t="shared" si="498"/>
        <v>13.641000000000004</v>
      </c>
      <c r="AM541" s="853">
        <f t="shared" si="498"/>
        <v>-17.944999999999986</v>
      </c>
      <c r="AN541" s="867">
        <f t="shared" ca="1" si="498"/>
        <v>9.6527031153497482</v>
      </c>
      <c r="AO541" s="855">
        <f t="shared" ca="1" si="498"/>
        <v>7.6167031153497362</v>
      </c>
      <c r="AP541" s="867">
        <f t="shared" ca="1" si="498"/>
        <v>11.801664733461257</v>
      </c>
      <c r="AQ541" s="867">
        <f t="shared" ca="1" si="498"/>
        <v>15.058521682346539</v>
      </c>
      <c r="AR541" s="867">
        <f t="shared" ca="1" si="498"/>
        <v>13.544876579023819</v>
      </c>
      <c r="AS541" s="867">
        <f t="shared" ca="1" si="498"/>
        <v>13.473978910536674</v>
      </c>
      <c r="AT541" s="855">
        <f t="shared" ca="1" si="498"/>
        <v>53.879041905368275</v>
      </c>
      <c r="AU541" s="868">
        <f t="shared" ca="1" si="498"/>
        <v>56.843525803765758</v>
      </c>
      <c r="AV541" s="868">
        <f t="shared" ca="1" si="498"/>
        <v>57.221853959983214</v>
      </c>
      <c r="AW541" s="868">
        <f t="shared" ca="1" si="498"/>
        <v>59.774791047762633</v>
      </c>
      <c r="AX541" s="795"/>
    </row>
    <row r="542" spans="1:50" s="7" customFormat="1" x14ac:dyDescent="0.45">
      <c r="A542" s="105"/>
      <c r="B542" s="106"/>
      <c r="C542" s="881"/>
      <c r="D542" s="881"/>
      <c r="E542" s="881"/>
      <c r="F542" s="881"/>
      <c r="G542" s="866"/>
      <c r="H542" s="866"/>
      <c r="I542" s="866"/>
      <c r="J542" s="866"/>
      <c r="K542" s="881"/>
      <c r="L542" s="866"/>
      <c r="M542" s="866"/>
      <c r="N542" s="866"/>
      <c r="O542" s="866"/>
      <c r="P542" s="881"/>
      <c r="Q542" s="866"/>
      <c r="R542" s="866"/>
      <c r="S542" s="866"/>
      <c r="T542" s="866"/>
      <c r="U542" s="881"/>
      <c r="V542" s="866"/>
      <c r="W542" s="866"/>
      <c r="X542" s="866"/>
      <c r="Y542" s="852"/>
      <c r="Z542" s="851"/>
      <c r="AA542" s="852"/>
      <c r="AB542" s="866"/>
      <c r="AC542" s="866"/>
      <c r="AD542" s="852"/>
      <c r="AE542" s="851"/>
      <c r="AF542" s="852"/>
      <c r="AG542" s="866"/>
      <c r="AH542" s="866"/>
      <c r="AI542" s="852"/>
      <c r="AJ542" s="851"/>
      <c r="AK542" s="852"/>
      <c r="AL542" s="866"/>
      <c r="AM542" s="853"/>
      <c r="AN542" s="896"/>
      <c r="AO542" s="855"/>
      <c r="AP542" s="896"/>
      <c r="AQ542" s="896"/>
      <c r="AR542" s="896"/>
      <c r="AS542" s="896"/>
      <c r="AT542" s="855"/>
      <c r="AU542" s="897"/>
      <c r="AV542" s="897"/>
      <c r="AW542" s="897"/>
      <c r="AX542" s="795"/>
    </row>
    <row r="543" spans="1:50" s="7" customFormat="1" x14ac:dyDescent="0.45">
      <c r="A543" s="105" t="str">
        <f>A479</f>
        <v>Beginning Cash Balance</v>
      </c>
      <c r="B543" s="106"/>
      <c r="C543" s="881">
        <f>C479</f>
        <v>70.180000000000007</v>
      </c>
      <c r="D543" s="881">
        <f t="shared" ref="D543:J543" si="499">C544</f>
        <v>84.61099999999999</v>
      </c>
      <c r="E543" s="881">
        <f t="shared" si="499"/>
        <v>116.61699999999999</v>
      </c>
      <c r="F543" s="881">
        <f t="shared" si="499"/>
        <v>134.44400000000002</v>
      </c>
      <c r="G543" s="866">
        <f t="shared" si="499"/>
        <v>105.99900000000001</v>
      </c>
      <c r="H543" s="866">
        <f t="shared" si="499"/>
        <v>118.212</v>
      </c>
      <c r="I543" s="866">
        <f t="shared" si="499"/>
        <v>72.816000000000003</v>
      </c>
      <c r="J543" s="866">
        <f t="shared" si="499"/>
        <v>82.100999999999999</v>
      </c>
      <c r="K543" s="881">
        <f>F544</f>
        <v>105.99900000000001</v>
      </c>
      <c r="L543" s="866">
        <f>K544</f>
        <v>103.145</v>
      </c>
      <c r="M543" s="866">
        <f>L544</f>
        <v>107.74799999999999</v>
      </c>
      <c r="N543" s="866">
        <f>M544</f>
        <v>114.97999999999999</v>
      </c>
      <c r="O543" s="866">
        <f>N544</f>
        <v>113.63999999999999</v>
      </c>
      <c r="P543" s="881">
        <f>K544</f>
        <v>103.145</v>
      </c>
      <c r="Q543" s="866">
        <f>P544</f>
        <v>118.99300000000001</v>
      </c>
      <c r="R543" s="866">
        <f>Q544</f>
        <v>104.85900000000001</v>
      </c>
      <c r="S543" s="866">
        <f>R544</f>
        <v>98.64700000000002</v>
      </c>
      <c r="T543" s="866">
        <f>S544</f>
        <v>92.648000000000025</v>
      </c>
      <c r="U543" s="881">
        <f>P544</f>
        <v>118.99300000000001</v>
      </c>
      <c r="V543" s="866">
        <f>U544</f>
        <v>27.17600000000003</v>
      </c>
      <c r="W543" s="866">
        <f>V544</f>
        <v>26.349000000000036</v>
      </c>
      <c r="X543" s="866">
        <f>W544</f>
        <v>26.246000000000048</v>
      </c>
      <c r="Y543" s="852">
        <f>X544</f>
        <v>23.994000000000042</v>
      </c>
      <c r="Z543" s="851">
        <f>U544</f>
        <v>27.17600000000003</v>
      </c>
      <c r="AA543" s="852">
        <f>AA479</f>
        <v>42.588999999999999</v>
      </c>
      <c r="AB543" s="866">
        <f>AA544+AB479-AA479</f>
        <v>24.335999999999999</v>
      </c>
      <c r="AC543" s="866">
        <f>AB544+AC479-AB479</f>
        <v>31.468999999999994</v>
      </c>
      <c r="AD543" s="852">
        <f>AC544</f>
        <v>26.751999999999988</v>
      </c>
      <c r="AE543" s="851">
        <f>AA543</f>
        <v>42.588999999999999</v>
      </c>
      <c r="AF543" s="852">
        <f>AE544</f>
        <v>31.218000000000018</v>
      </c>
      <c r="AG543" s="866">
        <f>AF544</f>
        <v>34.064000000000014</v>
      </c>
      <c r="AH543" s="866">
        <f>AG544</f>
        <v>39.718000000000025</v>
      </c>
      <c r="AI543" s="852">
        <f>AH544</f>
        <v>37.443000000000026</v>
      </c>
      <c r="AJ543" s="851">
        <f>AE544</f>
        <v>31.218000000000018</v>
      </c>
      <c r="AK543" s="852">
        <f>AJ544</f>
        <v>34.52200000000002</v>
      </c>
      <c r="AL543" s="866">
        <f>AK544</f>
        <v>36.79000000000002</v>
      </c>
      <c r="AM543" s="853">
        <f>AL544</f>
        <v>50.431000000000026</v>
      </c>
      <c r="AN543" s="867">
        <f>AM544</f>
        <v>32.48600000000004</v>
      </c>
      <c r="AO543" s="855">
        <f>AJ544</f>
        <v>34.52200000000002</v>
      </c>
      <c r="AP543" s="867">
        <f ca="1">AO544</f>
        <v>42.138703115349756</v>
      </c>
      <c r="AQ543" s="867">
        <f ca="1">AP544</f>
        <v>53.940367848811015</v>
      </c>
      <c r="AR543" s="867">
        <f ca="1">AQ544</f>
        <v>68.998889531157559</v>
      </c>
      <c r="AS543" s="867">
        <f ca="1">AR544</f>
        <v>82.54376611018138</v>
      </c>
      <c r="AT543" s="855">
        <f ca="1">AO544</f>
        <v>42.138703115349756</v>
      </c>
      <c r="AU543" s="868">
        <f ca="1">AT544</f>
        <v>96.017745020718024</v>
      </c>
      <c r="AV543" s="868">
        <f ca="1">AU544</f>
        <v>152.86127082448377</v>
      </c>
      <c r="AW543" s="868">
        <f ca="1">AV544</f>
        <v>210.08312478446697</v>
      </c>
      <c r="AX543" s="795"/>
    </row>
    <row r="544" spans="1:50" s="7" customFormat="1" x14ac:dyDescent="0.45">
      <c r="A544" s="105" t="str">
        <f>A480</f>
        <v>Ending Cash Balance</v>
      </c>
      <c r="B544" s="106"/>
      <c r="C544" s="881">
        <f t="shared" ref="C544:AM544" si="500">C543+C541</f>
        <v>84.61099999999999</v>
      </c>
      <c r="D544" s="881">
        <f t="shared" si="500"/>
        <v>116.61699999999999</v>
      </c>
      <c r="E544" s="881">
        <f t="shared" si="500"/>
        <v>134.44400000000002</v>
      </c>
      <c r="F544" s="881">
        <f t="shared" si="500"/>
        <v>105.99900000000001</v>
      </c>
      <c r="G544" s="866">
        <f t="shared" si="500"/>
        <v>118.212</v>
      </c>
      <c r="H544" s="866">
        <f t="shared" si="500"/>
        <v>72.816000000000003</v>
      </c>
      <c r="I544" s="866">
        <f t="shared" si="500"/>
        <v>82.100999999999999</v>
      </c>
      <c r="J544" s="866">
        <f t="shared" si="500"/>
        <v>103.145</v>
      </c>
      <c r="K544" s="881">
        <f t="shared" si="500"/>
        <v>103.145</v>
      </c>
      <c r="L544" s="866">
        <f t="shared" si="500"/>
        <v>107.74799999999999</v>
      </c>
      <c r="M544" s="866">
        <f t="shared" si="500"/>
        <v>114.97999999999999</v>
      </c>
      <c r="N544" s="866">
        <f t="shared" si="500"/>
        <v>113.63999999999999</v>
      </c>
      <c r="O544" s="866">
        <f t="shared" si="500"/>
        <v>118.99299999999998</v>
      </c>
      <c r="P544" s="881">
        <f t="shared" si="500"/>
        <v>118.99300000000001</v>
      </c>
      <c r="Q544" s="866">
        <f t="shared" si="500"/>
        <v>104.85900000000001</v>
      </c>
      <c r="R544" s="866">
        <f t="shared" si="500"/>
        <v>98.64700000000002</v>
      </c>
      <c r="S544" s="866">
        <f t="shared" si="500"/>
        <v>92.648000000000025</v>
      </c>
      <c r="T544" s="866">
        <f t="shared" si="500"/>
        <v>27.17600000000003</v>
      </c>
      <c r="U544" s="881">
        <f t="shared" si="500"/>
        <v>27.17600000000003</v>
      </c>
      <c r="V544" s="866">
        <f t="shared" si="500"/>
        <v>26.349000000000036</v>
      </c>
      <c r="W544" s="866">
        <f t="shared" si="500"/>
        <v>26.246000000000048</v>
      </c>
      <c r="X544" s="866">
        <f t="shared" si="500"/>
        <v>23.994000000000042</v>
      </c>
      <c r="Y544" s="852">
        <f t="shared" si="500"/>
        <v>37.673000000000044</v>
      </c>
      <c r="Z544" s="851">
        <f t="shared" si="500"/>
        <v>37.67300000000003</v>
      </c>
      <c r="AA544" s="852">
        <f t="shared" si="500"/>
        <v>29.251999999999995</v>
      </c>
      <c r="AB544" s="866">
        <f t="shared" si="500"/>
        <v>26.552999999999997</v>
      </c>
      <c r="AC544" s="866">
        <f t="shared" si="500"/>
        <v>26.751999999999988</v>
      </c>
      <c r="AD544" s="852">
        <f t="shared" si="500"/>
        <v>31.217999999999993</v>
      </c>
      <c r="AE544" s="851">
        <f t="shared" si="500"/>
        <v>31.218000000000018</v>
      </c>
      <c r="AF544" s="852">
        <f t="shared" si="500"/>
        <v>34.064000000000014</v>
      </c>
      <c r="AG544" s="866">
        <f t="shared" si="500"/>
        <v>39.718000000000025</v>
      </c>
      <c r="AH544" s="866">
        <f t="shared" si="500"/>
        <v>37.443000000000026</v>
      </c>
      <c r="AI544" s="852">
        <f t="shared" si="500"/>
        <v>34.522000000000034</v>
      </c>
      <c r="AJ544" s="851">
        <f t="shared" si="500"/>
        <v>34.52200000000002</v>
      </c>
      <c r="AK544" s="852">
        <f t="shared" si="500"/>
        <v>36.79000000000002</v>
      </c>
      <c r="AL544" s="866">
        <f t="shared" si="500"/>
        <v>50.431000000000026</v>
      </c>
      <c r="AM544" s="853">
        <f t="shared" si="500"/>
        <v>32.48600000000004</v>
      </c>
      <c r="AN544" s="867">
        <f t="shared" ref="AN544:AW544" ca="1" si="501">AN543+AN541</f>
        <v>42.138703115349784</v>
      </c>
      <c r="AO544" s="855">
        <f t="shared" ca="1" si="501"/>
        <v>42.138703115349756</v>
      </c>
      <c r="AP544" s="867">
        <f t="shared" ca="1" si="501"/>
        <v>53.940367848811015</v>
      </c>
      <c r="AQ544" s="867">
        <f t="shared" ca="1" si="501"/>
        <v>68.998889531157559</v>
      </c>
      <c r="AR544" s="867">
        <f t="shared" ca="1" si="501"/>
        <v>82.54376611018138</v>
      </c>
      <c r="AS544" s="867">
        <f t="shared" ca="1" si="501"/>
        <v>96.017745020718053</v>
      </c>
      <c r="AT544" s="855">
        <f t="shared" ca="1" si="501"/>
        <v>96.017745020718024</v>
      </c>
      <c r="AU544" s="868">
        <f t="shared" ca="1" si="501"/>
        <v>152.86127082448377</v>
      </c>
      <c r="AV544" s="868">
        <f t="shared" ca="1" si="501"/>
        <v>210.08312478446697</v>
      </c>
      <c r="AW544" s="868">
        <f t="shared" ca="1" si="501"/>
        <v>269.85791583222959</v>
      </c>
      <c r="AX544" s="795"/>
    </row>
    <row r="545" spans="1:50" s="7" customFormat="1" x14ac:dyDescent="0.45">
      <c r="A545" s="54"/>
      <c r="B545" s="69"/>
      <c r="C545" s="851"/>
      <c r="D545" s="851"/>
      <c r="E545" s="851"/>
      <c r="F545" s="851"/>
      <c r="G545" s="852"/>
      <c r="H545" s="852"/>
      <c r="I545" s="852"/>
      <c r="J545" s="852"/>
      <c r="K545" s="851"/>
      <c r="L545" s="852"/>
      <c r="M545" s="852"/>
      <c r="N545" s="852"/>
      <c r="O545" s="852"/>
      <c r="P545" s="851"/>
      <c r="Q545" s="852"/>
      <c r="R545" s="852"/>
      <c r="S545" s="852"/>
      <c r="T545" s="852"/>
      <c r="U545" s="851"/>
      <c r="V545" s="852"/>
      <c r="W545" s="852"/>
      <c r="X545" s="852"/>
      <c r="Y545" s="852"/>
      <c r="Z545" s="851"/>
      <c r="AA545" s="852"/>
      <c r="AB545" s="852"/>
      <c r="AC545" s="852"/>
      <c r="AD545" s="852"/>
      <c r="AE545" s="851"/>
      <c r="AF545" s="852"/>
      <c r="AG545" s="852"/>
      <c r="AH545" s="852"/>
      <c r="AI545" s="852"/>
      <c r="AJ545" s="851"/>
      <c r="AK545" s="852"/>
      <c r="AL545" s="852"/>
      <c r="AM545" s="853"/>
      <c r="AN545" s="854"/>
      <c r="AO545" s="855"/>
      <c r="AP545" s="854"/>
      <c r="AQ545" s="854"/>
      <c r="AR545" s="854"/>
      <c r="AS545" s="854"/>
      <c r="AT545" s="855"/>
      <c r="AU545" s="855"/>
      <c r="AV545" s="855"/>
      <c r="AW545" s="855"/>
      <c r="AX545" s="795"/>
    </row>
    <row r="546" spans="1:50" s="29" customFormat="1" x14ac:dyDescent="0.45">
      <c r="A546" s="86" t="s">
        <v>166</v>
      </c>
      <c r="B546" s="86"/>
      <c r="C546" s="942">
        <f t="shared" ref="C546:Z546" si="502">ROUND(C544-C575,6)</f>
        <v>0</v>
      </c>
      <c r="D546" s="942">
        <f t="shared" si="502"/>
        <v>0</v>
      </c>
      <c r="E546" s="942">
        <f t="shared" si="502"/>
        <v>0</v>
      </c>
      <c r="F546" s="942">
        <f t="shared" si="502"/>
        <v>0</v>
      </c>
      <c r="G546" s="942">
        <f t="shared" si="502"/>
        <v>0</v>
      </c>
      <c r="H546" s="942">
        <f t="shared" si="502"/>
        <v>0</v>
      </c>
      <c r="I546" s="942">
        <f t="shared" si="502"/>
        <v>0</v>
      </c>
      <c r="J546" s="942">
        <f t="shared" si="502"/>
        <v>0</v>
      </c>
      <c r="K546" s="942">
        <f t="shared" si="502"/>
        <v>0</v>
      </c>
      <c r="L546" s="942">
        <f t="shared" si="502"/>
        <v>0</v>
      </c>
      <c r="M546" s="942">
        <f t="shared" si="502"/>
        <v>0</v>
      </c>
      <c r="N546" s="942">
        <f t="shared" si="502"/>
        <v>0</v>
      </c>
      <c r="O546" s="942">
        <f t="shared" si="502"/>
        <v>0</v>
      </c>
      <c r="P546" s="942">
        <f t="shared" si="502"/>
        <v>0</v>
      </c>
      <c r="Q546" s="942">
        <f t="shared" si="502"/>
        <v>0</v>
      </c>
      <c r="R546" s="942">
        <f t="shared" si="502"/>
        <v>0</v>
      </c>
      <c r="S546" s="942">
        <f t="shared" si="502"/>
        <v>0</v>
      </c>
      <c r="T546" s="942">
        <f t="shared" si="502"/>
        <v>0</v>
      </c>
      <c r="U546" s="942">
        <f t="shared" si="502"/>
        <v>0</v>
      </c>
      <c r="V546" s="942">
        <f t="shared" si="502"/>
        <v>0</v>
      </c>
      <c r="W546" s="942">
        <f t="shared" si="502"/>
        <v>0</v>
      </c>
      <c r="X546" s="942">
        <f t="shared" si="502"/>
        <v>0</v>
      </c>
      <c r="Y546" s="942">
        <f t="shared" si="502"/>
        <v>0</v>
      </c>
      <c r="Z546" s="942">
        <f t="shared" si="502"/>
        <v>0</v>
      </c>
      <c r="AA546" s="942">
        <f>ROUND(AA544-AA575-AA576,6)</f>
        <v>0</v>
      </c>
      <c r="AB546" s="942">
        <f>ROUND(AB544-AB575,6)</f>
        <v>0</v>
      </c>
      <c r="AC546" s="942">
        <f t="shared" ref="AC546:AW546" si="503">ROUND(AC544-AC575-AC576,6)</f>
        <v>0</v>
      </c>
      <c r="AD546" s="942">
        <f t="shared" si="503"/>
        <v>0</v>
      </c>
      <c r="AE546" s="942">
        <f t="shared" si="503"/>
        <v>0</v>
      </c>
      <c r="AF546" s="942">
        <f t="shared" si="503"/>
        <v>0</v>
      </c>
      <c r="AG546" s="942">
        <f t="shared" si="503"/>
        <v>0</v>
      </c>
      <c r="AH546" s="942">
        <f t="shared" si="503"/>
        <v>0</v>
      </c>
      <c r="AI546" s="942">
        <f t="shared" si="503"/>
        <v>0</v>
      </c>
      <c r="AJ546" s="942">
        <f t="shared" si="503"/>
        <v>0</v>
      </c>
      <c r="AK546" s="942">
        <f t="shared" si="503"/>
        <v>0</v>
      </c>
      <c r="AL546" s="942">
        <f t="shared" si="503"/>
        <v>0</v>
      </c>
      <c r="AM546" s="943">
        <f t="shared" si="503"/>
        <v>0</v>
      </c>
      <c r="AN546" s="944">
        <f t="shared" ca="1" si="503"/>
        <v>0</v>
      </c>
      <c r="AO546" s="944">
        <f t="shared" ca="1" si="503"/>
        <v>0</v>
      </c>
      <c r="AP546" s="944">
        <f t="shared" ca="1" si="503"/>
        <v>0</v>
      </c>
      <c r="AQ546" s="944">
        <f t="shared" ca="1" si="503"/>
        <v>0</v>
      </c>
      <c r="AR546" s="944">
        <f t="shared" ca="1" si="503"/>
        <v>0</v>
      </c>
      <c r="AS546" s="944">
        <f t="shared" ca="1" si="503"/>
        <v>0</v>
      </c>
      <c r="AT546" s="944">
        <f t="shared" ca="1" si="503"/>
        <v>0</v>
      </c>
      <c r="AU546" s="944">
        <f t="shared" ca="1" si="503"/>
        <v>0</v>
      </c>
      <c r="AV546" s="944">
        <f t="shared" ca="1" si="503"/>
        <v>0</v>
      </c>
      <c r="AW546" s="944">
        <f t="shared" ca="1" si="503"/>
        <v>0</v>
      </c>
      <c r="AX546" s="793"/>
    </row>
    <row r="547" spans="1:50" s="7" customFormat="1" x14ac:dyDescent="0.45">
      <c r="A547" s="54"/>
      <c r="B547" s="69"/>
      <c r="C547" s="851"/>
      <c r="D547" s="851"/>
      <c r="E547" s="851"/>
      <c r="F547" s="851"/>
      <c r="G547" s="852"/>
      <c r="H547" s="852"/>
      <c r="I547" s="852"/>
      <c r="J547" s="852"/>
      <c r="K547" s="851"/>
      <c r="L547" s="852"/>
      <c r="M547" s="852"/>
      <c r="N547" s="852"/>
      <c r="O547" s="852"/>
      <c r="P547" s="851"/>
      <c r="Q547" s="852"/>
      <c r="R547" s="852"/>
      <c r="S547" s="852"/>
      <c r="T547" s="852"/>
      <c r="U547" s="851"/>
      <c r="V547" s="852"/>
      <c r="W547" s="852"/>
      <c r="X547" s="852"/>
      <c r="Y547" s="852"/>
      <c r="Z547" s="851"/>
      <c r="AA547" s="852"/>
      <c r="AB547" s="852"/>
      <c r="AC547" s="852"/>
      <c r="AD547" s="852"/>
      <c r="AE547" s="851"/>
      <c r="AF547" s="852"/>
      <c r="AG547" s="852"/>
      <c r="AH547" s="852"/>
      <c r="AI547" s="852"/>
      <c r="AJ547" s="851"/>
      <c r="AK547" s="852"/>
      <c r="AL547" s="852"/>
      <c r="AM547" s="853"/>
      <c r="AN547" s="854"/>
      <c r="AO547" s="855"/>
      <c r="AP547" s="854"/>
      <c r="AQ547" s="854"/>
      <c r="AR547" s="854"/>
      <c r="AS547" s="854"/>
      <c r="AT547" s="855"/>
      <c r="AU547" s="855"/>
      <c r="AV547" s="855"/>
      <c r="AW547" s="855"/>
      <c r="AX547" s="795"/>
    </row>
    <row r="548" spans="1:50" s="7" customFormat="1" x14ac:dyDescent="0.45">
      <c r="A548" s="638" t="s">
        <v>379</v>
      </c>
      <c r="B548" s="639"/>
      <c r="C548" s="812"/>
      <c r="D548" s="812"/>
      <c r="E548" s="812"/>
      <c r="F548" s="812"/>
      <c r="G548" s="812"/>
      <c r="H548" s="812"/>
      <c r="I548" s="812"/>
      <c r="J548" s="812"/>
      <c r="K548" s="812"/>
      <c r="L548" s="812"/>
      <c r="M548" s="812"/>
      <c r="N548" s="812"/>
      <c r="O548" s="812"/>
      <c r="P548" s="812"/>
      <c r="Q548" s="812"/>
      <c r="R548" s="812"/>
      <c r="S548" s="812"/>
      <c r="T548" s="812"/>
      <c r="U548" s="812"/>
      <c r="V548" s="812"/>
      <c r="W548" s="812"/>
      <c r="X548" s="812"/>
      <c r="Y548" s="812"/>
      <c r="Z548" s="812"/>
      <c r="AA548" s="812"/>
      <c r="AB548" s="812"/>
      <c r="AC548" s="812"/>
      <c r="AD548" s="812"/>
      <c r="AE548" s="812"/>
      <c r="AF548" s="812"/>
      <c r="AG548" s="812"/>
      <c r="AH548" s="812"/>
      <c r="AI548" s="812"/>
      <c r="AJ548" s="812"/>
      <c r="AK548" s="812"/>
      <c r="AL548" s="812"/>
      <c r="AM548" s="813"/>
      <c r="AN548" s="814"/>
      <c r="AO548" s="814"/>
      <c r="AP548" s="814"/>
      <c r="AQ548" s="814"/>
      <c r="AR548" s="814"/>
      <c r="AS548" s="814"/>
      <c r="AT548" s="814"/>
      <c r="AU548" s="814"/>
      <c r="AV548" s="814"/>
      <c r="AW548" s="814"/>
      <c r="AX548" s="795"/>
    </row>
    <row r="549" spans="1:50" s="7" customFormat="1" hidden="1" outlineLevel="1" x14ac:dyDescent="0.45">
      <c r="A549" s="54" t="s">
        <v>569</v>
      </c>
      <c r="B549" s="69"/>
      <c r="C549" s="851">
        <f>C302</f>
        <v>291.81100000000004</v>
      </c>
      <c r="D549" s="851">
        <f t="shared" ref="D549:F549" si="504">D302</f>
        <v>353.363</v>
      </c>
      <c r="E549" s="851">
        <f t="shared" si="504"/>
        <v>429.83500000000004</v>
      </c>
      <c r="F549" s="851">
        <f t="shared" si="504"/>
        <v>460.22899999999993</v>
      </c>
      <c r="G549" s="852"/>
      <c r="H549" s="852"/>
      <c r="I549" s="852"/>
      <c r="J549" s="852">
        <f>G302+H302+I302+J302</f>
        <v>444.66700000000003</v>
      </c>
      <c r="K549" s="851">
        <f t="shared" ref="K549" si="505">K302</f>
        <v>444.66700000000003</v>
      </c>
      <c r="L549" s="852">
        <f>H302+I302+J302+L302</f>
        <v>453.03200000000004</v>
      </c>
      <c r="M549" s="852">
        <f>I302+J302+L302+M302</f>
        <v>462.47</v>
      </c>
      <c r="N549" s="852">
        <f>J302+L302+M302+N302</f>
        <v>477.03999999999996</v>
      </c>
      <c r="O549" s="852">
        <f>L302+M302+N302+O302</f>
        <v>490.22500000000002</v>
      </c>
      <c r="P549" s="851">
        <f t="shared" ref="P549" si="506">P302</f>
        <v>490.22499999999997</v>
      </c>
      <c r="Q549" s="852">
        <f>M302+N302+O302+Q302</f>
        <v>494.495</v>
      </c>
      <c r="R549" s="852">
        <f>N302+O302+Q302+R302</f>
        <v>499.34500000000003</v>
      </c>
      <c r="S549" s="852">
        <f>O302+Q302+R302+S302</f>
        <v>492.95300000000009</v>
      </c>
      <c r="T549" s="852">
        <f>Q302+R302+S302+T302</f>
        <v>492.47700000000009</v>
      </c>
      <c r="U549" s="851">
        <f t="shared" ref="U549" si="507">U302</f>
        <v>492.47699999999998</v>
      </c>
      <c r="V549" s="852">
        <f>R302+S302+T302+V302</f>
        <v>492.51799999999997</v>
      </c>
      <c r="W549" s="852">
        <f>S302+T302+V302+W302</f>
        <v>494.315</v>
      </c>
      <c r="X549" s="852">
        <f>T302+V302+W302+X302</f>
        <v>505.15100000000001</v>
      </c>
      <c r="Y549" s="852">
        <f>V302+W302+X302+Y302</f>
        <v>509.62399999999997</v>
      </c>
      <c r="Z549" s="851">
        <f t="shared" ref="Z549" si="508">Z302</f>
        <v>509.62400000000002</v>
      </c>
      <c r="AA549" s="852">
        <f>W302+X302+Y302+AA302</f>
        <v>518.34100000000001</v>
      </c>
      <c r="AB549" s="852">
        <f>X302+Y302+AA302+AB302</f>
        <v>523.78199999999993</v>
      </c>
      <c r="AC549" s="852">
        <f>Y302+AA302+AB302+AC302</f>
        <v>527.62900000000002</v>
      </c>
      <c r="AD549" s="852">
        <f>AA302+AB302+AC302+AD302</f>
        <v>531.01900000000001</v>
      </c>
      <c r="AE549" s="851">
        <f t="shared" ref="AE549" si="509">AE302</f>
        <v>531.01900000000001</v>
      </c>
      <c r="AF549" s="852">
        <f>AB302+AC302+AD302+AF302</f>
        <v>533.29700000000003</v>
      </c>
      <c r="AG549" s="852">
        <f>AC302+AD302+AF302+AG302</f>
        <v>531.01100000000008</v>
      </c>
      <c r="AH549" s="852">
        <f>AD302+AF302+AG302+AH302</f>
        <v>530.16300000000001</v>
      </c>
      <c r="AI549" s="852">
        <f>AF302+AG302+AH302+AI302</f>
        <v>529.173</v>
      </c>
      <c r="AJ549" s="851">
        <f t="shared" ref="AJ549" si="510">AJ302</f>
        <v>529.173</v>
      </c>
      <c r="AK549" s="852">
        <f>AG302+AH302+AI302+AK302</f>
        <v>527.83399999999995</v>
      </c>
      <c r="AL549" s="852">
        <f>AH302+AI302+AK302+AL302</f>
        <v>531.76900000000001</v>
      </c>
      <c r="AM549" s="853">
        <f>AI302+AK302+AL302+AM302</f>
        <v>538.64199999999994</v>
      </c>
      <c r="AN549" s="854">
        <f>AK302+AL302+AM302+AN302</f>
        <v>542.50978999999995</v>
      </c>
      <c r="AO549" s="855">
        <f t="shared" ref="AO549" si="511">AO302</f>
        <v>542.50978999999995</v>
      </c>
      <c r="AP549" s="854">
        <f>AL302+AM302+AN302+AP302</f>
        <v>547.58697499999994</v>
      </c>
      <c r="AQ549" s="854">
        <f>AM302+AN302+AP302+AQ302</f>
        <v>552.10723499999995</v>
      </c>
      <c r="AR549" s="854">
        <f>AN302+AP302+AQ302+AR302</f>
        <v>556.14991499999996</v>
      </c>
      <c r="AS549" s="854">
        <f>AP302+AQ302+AR302+AS302</f>
        <v>560.05666680000002</v>
      </c>
      <c r="AT549" s="855">
        <f t="shared" ref="AT549:AW549" si="512">AT302</f>
        <v>560.05666680000002</v>
      </c>
      <c r="AU549" s="855">
        <f t="shared" si="512"/>
        <v>576.83351700280002</v>
      </c>
      <c r="AV549" s="855">
        <f t="shared" si="512"/>
        <v>594.49886466333362</v>
      </c>
      <c r="AW549" s="855">
        <f t="shared" si="512"/>
        <v>613.10726911612983</v>
      </c>
      <c r="AX549" s="795"/>
    </row>
    <row r="550" spans="1:50" s="7" customFormat="1" hidden="1" outlineLevel="1" x14ac:dyDescent="0.45">
      <c r="A550" s="54" t="s">
        <v>570</v>
      </c>
      <c r="B550" s="69"/>
      <c r="C550" s="851">
        <f>C305</f>
        <v>104.79500000000002</v>
      </c>
      <c r="D550" s="851">
        <f t="shared" ref="D550:F550" si="513">D305</f>
        <v>118.54599999999998</v>
      </c>
      <c r="E550" s="851">
        <f t="shared" si="513"/>
        <v>140.40500000000003</v>
      </c>
      <c r="F550" s="851">
        <f t="shared" si="513"/>
        <v>177.083</v>
      </c>
      <c r="G550" s="852"/>
      <c r="H550" s="852"/>
      <c r="I550" s="852"/>
      <c r="J550" s="852">
        <f>G305+H305+I305+J305</f>
        <v>203.952</v>
      </c>
      <c r="K550" s="851">
        <f t="shared" ref="K550" si="514">K305</f>
        <v>203.952</v>
      </c>
      <c r="L550" s="852">
        <f>H305+I305+J305+L305</f>
        <v>210.94900000000001</v>
      </c>
      <c r="M550" s="852">
        <f>I305+J305+L305+M305</f>
        <v>219.22300000000001</v>
      </c>
      <c r="N550" s="852">
        <f>J305+L305+M305+N305</f>
        <v>203.69000000000003</v>
      </c>
      <c r="O550" s="852">
        <f>L305+M305+N305+O305</f>
        <v>206.54000000000002</v>
      </c>
      <c r="P550" s="851">
        <f t="shared" ref="P550" si="515">P305</f>
        <v>206.54</v>
      </c>
      <c r="Q550" s="852">
        <f>M305+N305+O305+Q305</f>
        <v>207.43400000000003</v>
      </c>
      <c r="R550" s="852">
        <f>N305+O305+Q305+R305</f>
        <v>208.22900000000001</v>
      </c>
      <c r="S550" s="852">
        <f>O305+Q305+R305+S305</f>
        <v>208.18799999999999</v>
      </c>
      <c r="T550" s="852">
        <f>Q305+R305+S305+T305</f>
        <v>209.67399999999998</v>
      </c>
      <c r="U550" s="851">
        <f t="shared" ref="U550" si="516">U305</f>
        <v>209.67400000000001</v>
      </c>
      <c r="V550" s="852">
        <f>R305+S305+T305+V305</f>
        <v>208.404</v>
      </c>
      <c r="W550" s="852">
        <f>S305+T305+V305+W305</f>
        <v>205.655</v>
      </c>
      <c r="X550" s="852">
        <f>T305+V305+W305+X305</f>
        <v>204.767</v>
      </c>
      <c r="Y550" s="852">
        <f>V305+W305+X305+Y305</f>
        <v>202.70100000000002</v>
      </c>
      <c r="Z550" s="851">
        <f t="shared" ref="Z550" si="517">Z305</f>
        <v>202.70099999999996</v>
      </c>
      <c r="AA550" s="852">
        <f>W305+X305+Y305+AA305</f>
        <v>205.79300000000001</v>
      </c>
      <c r="AB550" s="852">
        <f>X305+Y305+AA305+AB305</f>
        <v>208.798</v>
      </c>
      <c r="AC550" s="852">
        <f>Y305+AA305+AB305+AC305</f>
        <v>214.81399999999999</v>
      </c>
      <c r="AD550" s="852">
        <f>AA305+AB305+AC305+AD305</f>
        <v>218.50799999999998</v>
      </c>
      <c r="AE550" s="851">
        <f t="shared" ref="AE550" si="518">AE305</f>
        <v>218.50800000000004</v>
      </c>
      <c r="AF550" s="852">
        <f>AB305+AC305+AD305+AF305</f>
        <v>219.22199999999998</v>
      </c>
      <c r="AG550" s="852">
        <f>AC305+AD305+AF305+AG305</f>
        <v>219.71099999999996</v>
      </c>
      <c r="AH550" s="852">
        <f>AD305+AF305+AG305+AH305</f>
        <v>218.51499999999999</v>
      </c>
      <c r="AI550" s="852">
        <f>AF305+AG305+AH305+AI305</f>
        <v>216.95499999999998</v>
      </c>
      <c r="AJ550" s="851">
        <f t="shared" ref="AJ550" si="519">AJ305</f>
        <v>216.95499999999998</v>
      </c>
      <c r="AK550" s="852">
        <f>AG305+AH305+AI305+AK305</f>
        <v>218.23599999999999</v>
      </c>
      <c r="AL550" s="852">
        <f>AH305+AI305+AK305+AL305</f>
        <v>220.74400000000003</v>
      </c>
      <c r="AM550" s="853">
        <f>AI305+AK305+AL305+AM305</f>
        <v>225.17099999999999</v>
      </c>
      <c r="AN550" s="854">
        <f>AK305+AL305+AM305+AN305</f>
        <v>230.35745643999999</v>
      </c>
      <c r="AO550" s="855">
        <f t="shared" ref="AO550" si="520">AO305</f>
        <v>230.35745643999999</v>
      </c>
      <c r="AP550" s="854">
        <f>AL305+AM305+AN305+AP305</f>
        <v>232.26927188499999</v>
      </c>
      <c r="AQ550" s="854">
        <f>AM305+AN305+AP305+AQ305</f>
        <v>234.92216392499995</v>
      </c>
      <c r="AR550" s="854">
        <f>AN305+AP305+AQ305+AR305</f>
        <v>236.341250925</v>
      </c>
      <c r="AS550" s="854">
        <f>AP305+AQ305+AR305+AS305</f>
        <v>237.42088403699998</v>
      </c>
      <c r="AT550" s="855">
        <f t="shared" ref="AT550:AW550" si="521">AT305</f>
        <v>237.42088403699998</v>
      </c>
      <c r="AU550" s="855">
        <f t="shared" si="521"/>
        <v>245.66868779460123</v>
      </c>
      <c r="AV550" s="855">
        <f t="shared" si="521"/>
        <v>253.15600000626159</v>
      </c>
      <c r="AW550" s="855">
        <f t="shared" si="521"/>
        <v>261.04093725948991</v>
      </c>
      <c r="AX550" s="795"/>
    </row>
    <row r="551" spans="1:50" s="7" customFormat="1" hidden="1" outlineLevel="1" x14ac:dyDescent="0.45">
      <c r="A551" s="54" t="s">
        <v>571</v>
      </c>
      <c r="B551" s="69"/>
      <c r="C551" s="851">
        <f>C582</f>
        <v>8.6839999999999993</v>
      </c>
      <c r="D551" s="851">
        <f t="shared" ref="D551:AM551" si="522">D582</f>
        <v>8.7680000000000007</v>
      </c>
      <c r="E551" s="851">
        <f t="shared" si="522"/>
        <v>11.563000000000001</v>
      </c>
      <c r="F551" s="851">
        <f t="shared" si="522"/>
        <v>12.72</v>
      </c>
      <c r="G551" s="852">
        <f t="shared" si="522"/>
        <v>10.561</v>
      </c>
      <c r="H551" s="852">
        <f t="shared" si="522"/>
        <v>12.212</v>
      </c>
      <c r="I551" s="852">
        <f t="shared" si="522"/>
        <v>12.048</v>
      </c>
      <c r="J551" s="852">
        <f t="shared" si="522"/>
        <v>11.135</v>
      </c>
      <c r="K551" s="851">
        <f t="shared" si="522"/>
        <v>11.135</v>
      </c>
      <c r="L551" s="852">
        <f t="shared" si="522"/>
        <v>9.7690000000000001</v>
      </c>
      <c r="M551" s="852">
        <f t="shared" si="522"/>
        <v>9.7799999999999994</v>
      </c>
      <c r="N551" s="852">
        <f t="shared" si="522"/>
        <v>12.16</v>
      </c>
      <c r="O551" s="852">
        <f t="shared" si="522"/>
        <v>11.535</v>
      </c>
      <c r="P551" s="851">
        <f t="shared" si="522"/>
        <v>11.535</v>
      </c>
      <c r="Q551" s="852">
        <f t="shared" si="522"/>
        <v>11.356999999999999</v>
      </c>
      <c r="R551" s="852">
        <f t="shared" si="522"/>
        <v>12.955</v>
      </c>
      <c r="S551" s="852">
        <f t="shared" si="522"/>
        <v>14.111000000000001</v>
      </c>
      <c r="T551" s="852">
        <f t="shared" si="522"/>
        <v>14.91</v>
      </c>
      <c r="U551" s="851">
        <f t="shared" si="522"/>
        <v>14.91</v>
      </c>
      <c r="V551" s="852">
        <f t="shared" si="522"/>
        <v>16.631</v>
      </c>
      <c r="W551" s="852">
        <f t="shared" si="522"/>
        <v>18.518999999999998</v>
      </c>
      <c r="X551" s="852">
        <f t="shared" si="522"/>
        <v>15.944000000000001</v>
      </c>
      <c r="Y551" s="852">
        <f t="shared" si="522"/>
        <v>17.969000000000001</v>
      </c>
      <c r="Z551" s="851">
        <f t="shared" si="522"/>
        <v>17.969000000000001</v>
      </c>
      <c r="AA551" s="852">
        <f t="shared" si="522"/>
        <v>18.283000000000001</v>
      </c>
      <c r="AB551" s="852">
        <f t="shared" si="522"/>
        <v>15.369</v>
      </c>
      <c r="AC551" s="852">
        <f t="shared" si="522"/>
        <v>17.943999999999999</v>
      </c>
      <c r="AD551" s="852">
        <f t="shared" si="522"/>
        <v>17.18</v>
      </c>
      <c r="AE551" s="851">
        <f t="shared" si="522"/>
        <v>17.18</v>
      </c>
      <c r="AF551" s="852">
        <f t="shared" si="522"/>
        <v>17.396999999999998</v>
      </c>
      <c r="AG551" s="852">
        <f t="shared" si="522"/>
        <v>16.986999999999998</v>
      </c>
      <c r="AH551" s="852">
        <f t="shared" si="522"/>
        <v>18.504999999999999</v>
      </c>
      <c r="AI551" s="852">
        <f t="shared" si="522"/>
        <v>20.826000000000001</v>
      </c>
      <c r="AJ551" s="851">
        <f t="shared" si="522"/>
        <v>20.826000000000001</v>
      </c>
      <c r="AK551" s="852">
        <f t="shared" si="522"/>
        <v>21.984999999999999</v>
      </c>
      <c r="AL551" s="852">
        <f t="shared" si="522"/>
        <v>20.611999999999998</v>
      </c>
      <c r="AM551" s="853">
        <f t="shared" si="522"/>
        <v>23.100999999999999</v>
      </c>
      <c r="AN551" s="854">
        <f>AN569*AN549</f>
        <v>22.24290139</v>
      </c>
      <c r="AO551" s="855">
        <f>AN551</f>
        <v>22.24290139</v>
      </c>
      <c r="AP551" s="854">
        <f t="shared" ref="AP551:AS551" si="523">AP569*AP549</f>
        <v>22.451065974999999</v>
      </c>
      <c r="AQ551" s="854">
        <f t="shared" si="523"/>
        <v>22.636396634999997</v>
      </c>
      <c r="AR551" s="854">
        <f t="shared" si="523"/>
        <v>22.802146515</v>
      </c>
      <c r="AS551" s="854">
        <f t="shared" si="523"/>
        <v>22.962323338800001</v>
      </c>
      <c r="AT551" s="855">
        <f t="shared" ref="AT551:AT553" si="524">AS551</f>
        <v>22.962323338800001</v>
      </c>
      <c r="AU551" s="855">
        <f t="shared" ref="AU551:AW551" si="525">AU569*AU549</f>
        <v>23.650174197114801</v>
      </c>
      <c r="AV551" s="855">
        <f t="shared" si="525"/>
        <v>24.374453451196679</v>
      </c>
      <c r="AW551" s="855">
        <f t="shared" si="525"/>
        <v>25.137398033761325</v>
      </c>
      <c r="AX551" s="795"/>
    </row>
    <row r="552" spans="1:50" s="7" customFormat="1" hidden="1" outlineLevel="1" x14ac:dyDescent="0.45">
      <c r="A552" s="54" t="s">
        <v>572</v>
      </c>
      <c r="B552" s="69"/>
      <c r="C552" s="851">
        <f>C601</f>
        <v>8.9510000000000005</v>
      </c>
      <c r="D552" s="851">
        <f t="shared" ref="D552:AM552" si="526">D601</f>
        <v>10.247</v>
      </c>
      <c r="E552" s="851">
        <f t="shared" si="526"/>
        <v>11.87</v>
      </c>
      <c r="F552" s="851">
        <f t="shared" si="526"/>
        <v>11.914999999999999</v>
      </c>
      <c r="G552" s="852">
        <f t="shared" si="526"/>
        <v>12.073</v>
      </c>
      <c r="H552" s="852">
        <f t="shared" si="526"/>
        <v>11.976000000000001</v>
      </c>
      <c r="I552" s="852">
        <f t="shared" si="526"/>
        <v>13.692</v>
      </c>
      <c r="J552" s="852">
        <f t="shared" si="526"/>
        <v>15.952999999999999</v>
      </c>
      <c r="K552" s="851">
        <f t="shared" si="526"/>
        <v>15.952999999999999</v>
      </c>
      <c r="L552" s="852">
        <f t="shared" si="526"/>
        <v>13.894</v>
      </c>
      <c r="M552" s="852">
        <f t="shared" si="526"/>
        <v>15.949</v>
      </c>
      <c r="N552" s="852">
        <f t="shared" si="526"/>
        <v>19.588000000000001</v>
      </c>
      <c r="O552" s="852">
        <f t="shared" si="526"/>
        <v>24.050999999999998</v>
      </c>
      <c r="P552" s="851">
        <f t="shared" si="526"/>
        <v>24.050999999999998</v>
      </c>
      <c r="Q552" s="852">
        <f t="shared" si="526"/>
        <v>15.645</v>
      </c>
      <c r="R552" s="852">
        <f t="shared" si="526"/>
        <v>16.321000000000002</v>
      </c>
      <c r="S552" s="852">
        <f t="shared" si="526"/>
        <v>16.344999999999999</v>
      </c>
      <c r="T552" s="852">
        <f t="shared" si="526"/>
        <v>18.670000000000002</v>
      </c>
      <c r="U552" s="851">
        <f t="shared" si="526"/>
        <v>18.670000000000002</v>
      </c>
      <c r="V552" s="852">
        <f t="shared" si="526"/>
        <v>14.257</v>
      </c>
      <c r="W552" s="852">
        <f t="shared" si="526"/>
        <v>15.192</v>
      </c>
      <c r="X552" s="852">
        <f t="shared" si="526"/>
        <v>18.62</v>
      </c>
      <c r="Y552" s="852">
        <f t="shared" si="526"/>
        <v>24.513000000000002</v>
      </c>
      <c r="Z552" s="851">
        <f t="shared" si="526"/>
        <v>24.513000000000002</v>
      </c>
      <c r="AA552" s="852">
        <f t="shared" si="526"/>
        <v>14.388</v>
      </c>
      <c r="AB552" s="852">
        <f t="shared" si="526"/>
        <v>17.602</v>
      </c>
      <c r="AC552" s="852">
        <f t="shared" si="526"/>
        <v>21.898</v>
      </c>
      <c r="AD552" s="852">
        <f t="shared" si="526"/>
        <v>27.91</v>
      </c>
      <c r="AE552" s="851">
        <f t="shared" si="526"/>
        <v>27.91</v>
      </c>
      <c r="AF552" s="852">
        <f t="shared" si="526"/>
        <v>17.567</v>
      </c>
      <c r="AG552" s="852">
        <f t="shared" si="526"/>
        <v>18.885000000000002</v>
      </c>
      <c r="AH552" s="852">
        <f t="shared" si="526"/>
        <v>24.178999999999998</v>
      </c>
      <c r="AI552" s="852">
        <f t="shared" si="526"/>
        <v>25.663</v>
      </c>
      <c r="AJ552" s="851">
        <f t="shared" si="526"/>
        <v>25.663</v>
      </c>
      <c r="AK552" s="852">
        <f t="shared" si="526"/>
        <v>17.225999999999999</v>
      </c>
      <c r="AL552" s="852">
        <f t="shared" si="526"/>
        <v>21.824999999999999</v>
      </c>
      <c r="AM552" s="853">
        <f t="shared" si="526"/>
        <v>25.309000000000001</v>
      </c>
      <c r="AN552" s="854">
        <f>AN570*AN549</f>
        <v>21.7003916</v>
      </c>
      <c r="AO552" s="855">
        <f t="shared" ref="AO552:AO553" si="527">AN552</f>
        <v>21.7003916</v>
      </c>
      <c r="AP552" s="854">
        <f t="shared" ref="AP552:AS552" si="528">AP570*AP549</f>
        <v>21.903478999999997</v>
      </c>
      <c r="AQ552" s="854">
        <f t="shared" si="528"/>
        <v>22.084289399999999</v>
      </c>
      <c r="AR552" s="854">
        <f t="shared" si="528"/>
        <v>22.245996599999998</v>
      </c>
      <c r="AS552" s="854">
        <f t="shared" si="528"/>
        <v>22.402266672</v>
      </c>
      <c r="AT552" s="855">
        <f t="shared" si="524"/>
        <v>22.402266672</v>
      </c>
      <c r="AU552" s="855">
        <f t="shared" ref="AU552:AW552" si="529">AU570*AU549</f>
        <v>23.073340680112</v>
      </c>
      <c r="AV552" s="855">
        <f t="shared" si="529"/>
        <v>23.779954586533346</v>
      </c>
      <c r="AW552" s="855">
        <f t="shared" si="529"/>
        <v>24.524290764645194</v>
      </c>
      <c r="AX552" s="795"/>
    </row>
    <row r="553" spans="1:50" s="7" customFormat="1" hidden="1" outlineLevel="1" x14ac:dyDescent="0.45">
      <c r="A553" s="54" t="s">
        <v>573</v>
      </c>
      <c r="B553" s="69"/>
      <c r="C553" s="851">
        <f>C605</f>
        <v>16.22</v>
      </c>
      <c r="D553" s="851">
        <f t="shared" ref="D553:AM553" si="530">D605</f>
        <v>29.315999999999999</v>
      </c>
      <c r="E553" s="851">
        <f t="shared" si="530"/>
        <v>19.568000000000001</v>
      </c>
      <c r="F553" s="851">
        <f t="shared" si="530"/>
        <v>26.507999999999999</v>
      </c>
      <c r="G553" s="852">
        <f t="shared" si="530"/>
        <v>26.477</v>
      </c>
      <c r="H553" s="852">
        <f t="shared" si="530"/>
        <v>32.343000000000004</v>
      </c>
      <c r="I553" s="852">
        <f t="shared" si="530"/>
        <v>27.747</v>
      </c>
      <c r="J553" s="852">
        <f t="shared" si="530"/>
        <v>21.369</v>
      </c>
      <c r="K553" s="851">
        <f t="shared" si="530"/>
        <v>21.369</v>
      </c>
      <c r="L553" s="852">
        <f t="shared" si="530"/>
        <v>20.616</v>
      </c>
      <c r="M553" s="852">
        <f t="shared" si="530"/>
        <v>31.413</v>
      </c>
      <c r="N553" s="852">
        <f t="shared" si="530"/>
        <v>33.905999999999999</v>
      </c>
      <c r="O553" s="852">
        <f t="shared" si="530"/>
        <v>33.923999999999999</v>
      </c>
      <c r="P553" s="851">
        <f t="shared" si="530"/>
        <v>33.923999999999999</v>
      </c>
      <c r="Q553" s="852">
        <f t="shared" si="530"/>
        <v>37.026000000000003</v>
      </c>
      <c r="R553" s="852">
        <f t="shared" si="530"/>
        <v>37.593000000000004</v>
      </c>
      <c r="S553" s="852">
        <f t="shared" si="530"/>
        <v>38.575000000000003</v>
      </c>
      <c r="T553" s="852">
        <f t="shared" si="530"/>
        <v>50.238</v>
      </c>
      <c r="U553" s="851">
        <f t="shared" si="530"/>
        <v>50.238</v>
      </c>
      <c r="V553" s="852">
        <f t="shared" si="530"/>
        <v>52.66</v>
      </c>
      <c r="W553" s="852">
        <f t="shared" si="530"/>
        <v>50.734000000000002</v>
      </c>
      <c r="X553" s="852">
        <f t="shared" si="530"/>
        <v>44.338000000000001</v>
      </c>
      <c r="Y553" s="852">
        <f t="shared" si="530"/>
        <v>46.774999999999999</v>
      </c>
      <c r="Z553" s="851">
        <f t="shared" si="530"/>
        <v>46.774999999999999</v>
      </c>
      <c r="AA553" s="852">
        <f t="shared" si="530"/>
        <v>32.618000000000002</v>
      </c>
      <c r="AB553" s="852">
        <f t="shared" si="530"/>
        <v>31.913</v>
      </c>
      <c r="AC553" s="852">
        <f t="shared" si="530"/>
        <v>30.152999999999999</v>
      </c>
      <c r="AD553" s="852">
        <f t="shared" si="530"/>
        <v>48.317</v>
      </c>
      <c r="AE553" s="851">
        <f t="shared" si="530"/>
        <v>48.317</v>
      </c>
      <c r="AF553" s="852">
        <f t="shared" si="530"/>
        <v>62.067</v>
      </c>
      <c r="AG553" s="852">
        <f t="shared" si="530"/>
        <v>43.883000000000003</v>
      </c>
      <c r="AH553" s="852">
        <f t="shared" si="530"/>
        <v>41.61</v>
      </c>
      <c r="AI553" s="852">
        <f t="shared" si="530"/>
        <v>41.064</v>
      </c>
      <c r="AJ553" s="851">
        <f t="shared" si="530"/>
        <v>41.064</v>
      </c>
      <c r="AK553" s="852">
        <f t="shared" si="530"/>
        <v>41.411999999999999</v>
      </c>
      <c r="AL553" s="852">
        <f t="shared" si="530"/>
        <v>41.545000000000002</v>
      </c>
      <c r="AM553" s="853">
        <f t="shared" si="530"/>
        <v>38.930999999999997</v>
      </c>
      <c r="AN553" s="854">
        <f>AN571*AN549</f>
        <v>41.230744039999998</v>
      </c>
      <c r="AO553" s="855">
        <f t="shared" si="527"/>
        <v>41.230744039999998</v>
      </c>
      <c r="AP553" s="854">
        <f t="shared" ref="AP553:AS553" si="531">AP571*AP549</f>
        <v>41.616610099999995</v>
      </c>
      <c r="AQ553" s="854">
        <f t="shared" si="531"/>
        <v>41.960149859999994</v>
      </c>
      <c r="AR553" s="854">
        <f t="shared" si="531"/>
        <v>42.267393539999993</v>
      </c>
      <c r="AS553" s="854">
        <f t="shared" si="531"/>
        <v>42.564306676800001</v>
      </c>
      <c r="AT553" s="855">
        <f t="shared" si="524"/>
        <v>42.564306676800001</v>
      </c>
      <c r="AU553" s="855">
        <f t="shared" ref="AU553:AW553" si="532">AU571*AU549</f>
        <v>43.8393472922128</v>
      </c>
      <c r="AV553" s="855">
        <f t="shared" si="532"/>
        <v>45.181913714413355</v>
      </c>
      <c r="AW553" s="855">
        <f t="shared" si="532"/>
        <v>46.596152452825869</v>
      </c>
      <c r="AX553" s="795"/>
    </row>
    <row r="554" spans="1:50" s="7" customFormat="1" hidden="1" outlineLevel="1" x14ac:dyDescent="0.45">
      <c r="A554" s="54"/>
      <c r="B554" s="69"/>
      <c r="C554" s="851"/>
      <c r="D554" s="851"/>
      <c r="E554" s="851"/>
      <c r="F554" s="851"/>
      <c r="G554" s="852"/>
      <c r="H554" s="852"/>
      <c r="I554" s="852"/>
      <c r="J554" s="852"/>
      <c r="K554" s="851"/>
      <c r="L554" s="852"/>
      <c r="M554" s="852"/>
      <c r="N554" s="852"/>
      <c r="O554" s="852"/>
      <c r="P554" s="851"/>
      <c r="Q554" s="852"/>
      <c r="R554" s="852"/>
      <c r="S554" s="852"/>
      <c r="T554" s="852"/>
      <c r="U554" s="851"/>
      <c r="V554" s="852"/>
      <c r="W554" s="852"/>
      <c r="X554" s="852"/>
      <c r="Y554" s="852"/>
      <c r="Z554" s="851"/>
      <c r="AA554" s="852"/>
      <c r="AB554" s="852"/>
      <c r="AC554" s="852"/>
      <c r="AD554" s="852"/>
      <c r="AE554" s="851"/>
      <c r="AF554" s="852"/>
      <c r="AG554" s="852"/>
      <c r="AH554" s="852"/>
      <c r="AI554" s="852"/>
      <c r="AJ554" s="851"/>
      <c r="AK554" s="852"/>
      <c r="AL554" s="852"/>
      <c r="AM554" s="853"/>
      <c r="AN554" s="854"/>
      <c r="AO554" s="855"/>
      <c r="AP554" s="854"/>
      <c r="AQ554" s="854"/>
      <c r="AR554" s="854"/>
      <c r="AS554" s="854"/>
      <c r="AT554" s="855"/>
      <c r="AU554" s="855"/>
      <c r="AV554" s="855"/>
      <c r="AW554" s="855"/>
      <c r="AX554" s="795"/>
    </row>
    <row r="555" spans="1:50" s="29" customFormat="1" hidden="1" outlineLevel="1" x14ac:dyDescent="0.45">
      <c r="A555" s="61" t="s">
        <v>575</v>
      </c>
      <c r="B555" s="147"/>
      <c r="C555" s="840">
        <f>C578</f>
        <v>107.458</v>
      </c>
      <c r="D555" s="840">
        <f t="shared" ref="D555:AM555" si="533">D578</f>
        <v>139.77199999999999</v>
      </c>
      <c r="E555" s="840">
        <f t="shared" si="533"/>
        <v>145.756</v>
      </c>
      <c r="F555" s="840">
        <f t="shared" si="533"/>
        <v>148.25700000000001</v>
      </c>
      <c r="G555" s="841">
        <f t="shared" si="533"/>
        <v>138.94900000000001</v>
      </c>
      <c r="H555" s="841">
        <f t="shared" si="533"/>
        <v>139.52600000000001</v>
      </c>
      <c r="I555" s="841">
        <f t="shared" si="533"/>
        <v>126.298</v>
      </c>
      <c r="J555" s="841">
        <f t="shared" si="533"/>
        <v>113.268</v>
      </c>
      <c r="K555" s="840">
        <f t="shared" si="533"/>
        <v>113.268</v>
      </c>
      <c r="L555" s="841">
        <f t="shared" si="533"/>
        <v>111.842</v>
      </c>
      <c r="M555" s="841">
        <f t="shared" si="533"/>
        <v>106.652</v>
      </c>
      <c r="N555" s="841">
        <f t="shared" si="533"/>
        <v>105.879</v>
      </c>
      <c r="O555" s="841">
        <f t="shared" si="533"/>
        <v>107.669</v>
      </c>
      <c r="P555" s="840">
        <f t="shared" si="533"/>
        <v>107.669</v>
      </c>
      <c r="Q555" s="841">
        <f t="shared" si="533"/>
        <v>99.974000000000004</v>
      </c>
      <c r="R555" s="841">
        <f t="shared" si="533"/>
        <v>98.393000000000001</v>
      </c>
      <c r="S555" s="841">
        <f t="shared" si="533"/>
        <v>92.591999999999999</v>
      </c>
      <c r="T555" s="841">
        <f t="shared" si="533"/>
        <v>94.024000000000001</v>
      </c>
      <c r="U555" s="840">
        <f t="shared" si="533"/>
        <v>94.024000000000001</v>
      </c>
      <c r="V555" s="841">
        <f t="shared" si="533"/>
        <v>81.795000000000002</v>
      </c>
      <c r="W555" s="841">
        <f t="shared" si="533"/>
        <v>78.406000000000006</v>
      </c>
      <c r="X555" s="841">
        <f t="shared" si="533"/>
        <v>75.516000000000005</v>
      </c>
      <c r="Y555" s="841">
        <f t="shared" si="533"/>
        <v>83.406999999999996</v>
      </c>
      <c r="Z555" s="840">
        <f t="shared" si="533"/>
        <v>83.406999999999996</v>
      </c>
      <c r="AA555" s="841">
        <f t="shared" si="533"/>
        <v>81.605000000000004</v>
      </c>
      <c r="AB555" s="841">
        <f t="shared" si="533"/>
        <v>81.712000000000003</v>
      </c>
      <c r="AC555" s="841">
        <f t="shared" si="533"/>
        <v>79.415999999999997</v>
      </c>
      <c r="AD555" s="841">
        <f t="shared" si="533"/>
        <v>84.962000000000003</v>
      </c>
      <c r="AE555" s="840">
        <f t="shared" si="533"/>
        <v>84.962000000000003</v>
      </c>
      <c r="AF555" s="841">
        <f t="shared" si="533"/>
        <v>86.063999999999993</v>
      </c>
      <c r="AG555" s="841">
        <f t="shared" si="533"/>
        <v>85.548000000000002</v>
      </c>
      <c r="AH555" s="841">
        <f t="shared" si="533"/>
        <v>84.36</v>
      </c>
      <c r="AI555" s="841">
        <f t="shared" si="533"/>
        <v>87.459000000000003</v>
      </c>
      <c r="AJ555" s="840">
        <f t="shared" si="533"/>
        <v>87.459000000000003</v>
      </c>
      <c r="AK555" s="841">
        <f t="shared" si="533"/>
        <v>81.748000000000005</v>
      </c>
      <c r="AL555" s="841">
        <f t="shared" si="533"/>
        <v>83.707999999999998</v>
      </c>
      <c r="AM555" s="842">
        <f t="shared" si="533"/>
        <v>79.730999999999995</v>
      </c>
      <c r="AN555" s="843">
        <f>AN556*2-AI555</f>
        <v>81.815912617486333</v>
      </c>
      <c r="AO555" s="844">
        <f>AN555</f>
        <v>81.815912617486333</v>
      </c>
      <c r="AP555" s="843">
        <f>AP556*2-AK555</f>
        <v>82.228864644808695</v>
      </c>
      <c r="AQ555" s="843">
        <f t="shared" ref="AQ555:AS555" si="534">AQ556*2-AL555</f>
        <v>82.829264327868856</v>
      </c>
      <c r="AR555" s="843">
        <f t="shared" si="534"/>
        <v>84.378810983606542</v>
      </c>
      <c r="AS555" s="843">
        <f t="shared" si="534"/>
        <v>85.433886509089007</v>
      </c>
      <c r="AT555" s="844">
        <f>AS555</f>
        <v>85.433886509089007</v>
      </c>
      <c r="AU555" s="844">
        <f>AU556*2-AT555</f>
        <v>86.82598569174715</v>
      </c>
      <c r="AV555" s="844">
        <f t="shared" ref="AV555:AW555" si="535">AV556*2-AU555</f>
        <v>90.70929170086481</v>
      </c>
      <c r="AW555" s="844">
        <f t="shared" si="535"/>
        <v>91.882763855578219</v>
      </c>
      <c r="AX555" s="793"/>
    </row>
    <row r="556" spans="1:50" s="29" customFormat="1" hidden="1" outlineLevel="1" x14ac:dyDescent="0.45">
      <c r="A556" s="61" t="s">
        <v>574</v>
      </c>
      <c r="B556" s="147"/>
      <c r="C556" s="840"/>
      <c r="D556" s="840">
        <f>AVERAGE(C555,D555)</f>
        <v>123.61499999999999</v>
      </c>
      <c r="E556" s="840">
        <f t="shared" ref="E556:F556" si="536">AVERAGE(D555,E555)</f>
        <v>142.76400000000001</v>
      </c>
      <c r="F556" s="840">
        <f t="shared" si="536"/>
        <v>147.00650000000002</v>
      </c>
      <c r="G556" s="841"/>
      <c r="H556" s="841"/>
      <c r="I556" s="841"/>
      <c r="J556" s="841">
        <f>AVERAGE(F555,J555)</f>
        <v>130.76249999999999</v>
      </c>
      <c r="K556" s="840">
        <f>AVERAGE(F555,K555)</f>
        <v>130.76249999999999</v>
      </c>
      <c r="L556" s="841">
        <f t="shared" ref="L556:Z556" si="537">AVERAGE(G555,L555)</f>
        <v>125.3955</v>
      </c>
      <c r="M556" s="841">
        <f t="shared" si="537"/>
        <v>123.089</v>
      </c>
      <c r="N556" s="841">
        <f t="shared" si="537"/>
        <v>116.08850000000001</v>
      </c>
      <c r="O556" s="841">
        <f t="shared" si="537"/>
        <v>110.46850000000001</v>
      </c>
      <c r="P556" s="840">
        <f t="shared" si="537"/>
        <v>110.46850000000001</v>
      </c>
      <c r="Q556" s="841">
        <f t="shared" si="537"/>
        <v>105.908</v>
      </c>
      <c r="R556" s="841">
        <f t="shared" si="537"/>
        <v>102.52250000000001</v>
      </c>
      <c r="S556" s="841">
        <f t="shared" si="537"/>
        <v>99.235500000000002</v>
      </c>
      <c r="T556" s="841">
        <f t="shared" si="537"/>
        <v>100.84649999999999</v>
      </c>
      <c r="U556" s="840">
        <f t="shared" si="537"/>
        <v>100.84649999999999</v>
      </c>
      <c r="V556" s="841">
        <f t="shared" si="537"/>
        <v>90.884500000000003</v>
      </c>
      <c r="W556" s="841">
        <f t="shared" si="537"/>
        <v>88.399500000000003</v>
      </c>
      <c r="X556" s="841">
        <f t="shared" si="537"/>
        <v>84.054000000000002</v>
      </c>
      <c r="Y556" s="841">
        <f t="shared" si="537"/>
        <v>88.715499999999992</v>
      </c>
      <c r="Z556" s="840">
        <f t="shared" si="537"/>
        <v>88.715499999999992</v>
      </c>
      <c r="AA556" s="841">
        <f t="shared" ref="AA556" si="538">AVERAGE(V555,AA555)</f>
        <v>81.7</v>
      </c>
      <c r="AB556" s="841">
        <f t="shared" ref="AB556" si="539">AVERAGE(W555,AB555)</f>
        <v>80.058999999999997</v>
      </c>
      <c r="AC556" s="841">
        <f t="shared" ref="AC556" si="540">AVERAGE(X555,AC555)</f>
        <v>77.466000000000008</v>
      </c>
      <c r="AD556" s="841">
        <f t="shared" ref="AD556" si="541">AVERAGE(Y555,AD555)</f>
        <v>84.1845</v>
      </c>
      <c r="AE556" s="840">
        <f t="shared" ref="AE556" si="542">AVERAGE(Z555,AE555)</f>
        <v>84.1845</v>
      </c>
      <c r="AF556" s="841">
        <f t="shared" ref="AF556" si="543">AVERAGE(AA555,AF555)</f>
        <v>83.834499999999991</v>
      </c>
      <c r="AG556" s="841">
        <f t="shared" ref="AG556" si="544">AVERAGE(AB555,AG555)</f>
        <v>83.63</v>
      </c>
      <c r="AH556" s="841">
        <f t="shared" ref="AH556" si="545">AVERAGE(AC555,AH555)</f>
        <v>81.888000000000005</v>
      </c>
      <c r="AI556" s="841">
        <f t="shared" ref="AI556" si="546">AVERAGE(AD555,AI555)</f>
        <v>86.210499999999996</v>
      </c>
      <c r="AJ556" s="840">
        <f t="shared" ref="AJ556" si="547">AVERAGE(AE555,AJ555)</f>
        <v>86.210499999999996</v>
      </c>
      <c r="AK556" s="841">
        <f t="shared" ref="AK556" si="548">AVERAGE(AF555,AK555)</f>
        <v>83.906000000000006</v>
      </c>
      <c r="AL556" s="841">
        <f t="shared" ref="AL556" si="549">AVERAGE(AG555,AL555)</f>
        <v>84.628</v>
      </c>
      <c r="AM556" s="842">
        <f t="shared" ref="AM556" si="550">AVERAGE(AH555,AM555)</f>
        <v>82.045500000000004</v>
      </c>
      <c r="AN556" s="843">
        <f>(AN564/(AN3+AM3+AL3+AK3))*AN549</f>
        <v>84.637456308743168</v>
      </c>
      <c r="AO556" s="844">
        <f t="shared" ref="AO556" si="551">AVERAGE(AJ555,AO555)</f>
        <v>84.637456308743168</v>
      </c>
      <c r="AP556" s="843">
        <f>(AP564/(AP3+AN3+AM3+AL3))*AP549</f>
        <v>81.98843232240435</v>
      </c>
      <c r="AQ556" s="843">
        <f>(AQ564/(AQ3+AP3+AN3+AM3))*AQ549</f>
        <v>83.268632163934427</v>
      </c>
      <c r="AR556" s="843">
        <f>(AR564/(AR3+AQ3+AP3+AN3))*AR549</f>
        <v>82.054905491803268</v>
      </c>
      <c r="AS556" s="843">
        <f>(AS564/(AS3+AR3+AQ3+AP3))*AS549</f>
        <v>83.62489956328767</v>
      </c>
      <c r="AT556" s="844">
        <f t="shared" ref="AT556" si="552">AVERAGE(AO555,AT555)</f>
        <v>83.62489956328767</v>
      </c>
      <c r="AU556" s="844">
        <f>AU564/AU3*AU549</f>
        <v>86.129936100418078</v>
      </c>
      <c r="AV556" s="844">
        <f>AV564/AV3*AV549</f>
        <v>88.76763869630598</v>
      </c>
      <c r="AW556" s="844">
        <f>AW564/AW3*AW549</f>
        <v>91.296027778221514</v>
      </c>
      <c r="AX556" s="793"/>
    </row>
    <row r="557" spans="1:50" s="29" customFormat="1" hidden="1" outlineLevel="1" x14ac:dyDescent="0.45">
      <c r="A557" s="61"/>
      <c r="B557" s="147"/>
      <c r="C557" s="840"/>
      <c r="D557" s="840"/>
      <c r="E557" s="840"/>
      <c r="F557" s="840"/>
      <c r="G557" s="841"/>
      <c r="H557" s="841"/>
      <c r="I557" s="841"/>
      <c r="J557" s="841"/>
      <c r="K557" s="840"/>
      <c r="L557" s="841"/>
      <c r="M557" s="841"/>
      <c r="N557" s="841"/>
      <c r="O557" s="841"/>
      <c r="P557" s="840"/>
      <c r="Q557" s="841"/>
      <c r="R557" s="841"/>
      <c r="S557" s="841"/>
      <c r="T557" s="841"/>
      <c r="U557" s="840"/>
      <c r="V557" s="841"/>
      <c r="W557" s="841"/>
      <c r="X557" s="841"/>
      <c r="Y557" s="841"/>
      <c r="Z557" s="840"/>
      <c r="AA557" s="841"/>
      <c r="AB557" s="841"/>
      <c r="AC557" s="841"/>
      <c r="AD557" s="841"/>
      <c r="AE557" s="840"/>
      <c r="AF557" s="841"/>
      <c r="AG557" s="841"/>
      <c r="AH557" s="841"/>
      <c r="AI557" s="841"/>
      <c r="AJ557" s="840"/>
      <c r="AK557" s="841"/>
      <c r="AL557" s="841"/>
      <c r="AM557" s="842"/>
      <c r="AN557" s="843"/>
      <c r="AO557" s="844"/>
      <c r="AP557" s="843"/>
      <c r="AQ557" s="843"/>
      <c r="AR557" s="843"/>
      <c r="AS557" s="843"/>
      <c r="AT557" s="844"/>
      <c r="AU557" s="844"/>
      <c r="AV557" s="844"/>
      <c r="AW557" s="844"/>
      <c r="AX557" s="793"/>
    </row>
    <row r="558" spans="1:50" s="29" customFormat="1" hidden="1" outlineLevel="1" x14ac:dyDescent="0.45">
      <c r="A558" s="61" t="s">
        <v>576</v>
      </c>
      <c r="B558" s="147"/>
      <c r="C558" s="840">
        <f>C579</f>
        <v>1.34</v>
      </c>
      <c r="D558" s="840">
        <f t="shared" ref="D558:AM558" si="553">D579</f>
        <v>1.9330000000000001</v>
      </c>
      <c r="E558" s="840">
        <f t="shared" si="553"/>
        <v>1.242</v>
      </c>
      <c r="F558" s="840">
        <f t="shared" si="553"/>
        <v>0.71</v>
      </c>
      <c r="G558" s="841">
        <f t="shared" si="553"/>
        <v>0.98299999999999998</v>
      </c>
      <c r="H558" s="841">
        <f t="shared" si="553"/>
        <v>0.996</v>
      </c>
      <c r="I558" s="841">
        <f t="shared" si="553"/>
        <v>0.92800000000000005</v>
      </c>
      <c r="J558" s="841">
        <f t="shared" si="553"/>
        <v>0.83399999999999996</v>
      </c>
      <c r="K558" s="840">
        <f t="shared" si="553"/>
        <v>0.83399999999999996</v>
      </c>
      <c r="L558" s="841">
        <f t="shared" si="553"/>
        <v>0.755</v>
      </c>
      <c r="M558" s="841">
        <f t="shared" si="553"/>
        <v>0.745</v>
      </c>
      <c r="N558" s="841">
        <f t="shared" si="553"/>
        <v>0.66500000000000004</v>
      </c>
      <c r="O558" s="841">
        <f t="shared" si="553"/>
        <v>0.622</v>
      </c>
      <c r="P558" s="840">
        <f t="shared" si="553"/>
        <v>0.622</v>
      </c>
      <c r="Q558" s="841">
        <f t="shared" si="553"/>
        <v>0.64700000000000002</v>
      </c>
      <c r="R558" s="841">
        <f t="shared" si="553"/>
        <v>0.64900000000000002</v>
      </c>
      <c r="S558" s="841">
        <f t="shared" si="553"/>
        <v>0.66200000000000003</v>
      </c>
      <c r="T558" s="841">
        <f t="shared" si="553"/>
        <v>0.55500000000000005</v>
      </c>
      <c r="U558" s="840">
        <f t="shared" si="553"/>
        <v>0.55500000000000005</v>
      </c>
      <c r="V558" s="841">
        <f t="shared" si="553"/>
        <v>0.43</v>
      </c>
      <c r="W558" s="841">
        <f t="shared" si="553"/>
        <v>0.35299999999999998</v>
      </c>
      <c r="X558" s="841">
        <f t="shared" si="553"/>
        <v>0.252</v>
      </c>
      <c r="Y558" s="841">
        <f t="shared" si="553"/>
        <v>0.158</v>
      </c>
      <c r="Z558" s="840">
        <f t="shared" si="553"/>
        <v>0.158</v>
      </c>
      <c r="AA558" s="841">
        <f t="shared" si="553"/>
        <v>0.1</v>
      </c>
      <c r="AB558" s="841">
        <f t="shared" si="553"/>
        <v>0.14699999999999999</v>
      </c>
      <c r="AC558" s="841">
        <f t="shared" si="553"/>
        <v>0.154</v>
      </c>
      <c r="AD558" s="841">
        <f t="shared" si="553"/>
        <v>0.18</v>
      </c>
      <c r="AE558" s="840">
        <f t="shared" si="553"/>
        <v>0.18</v>
      </c>
      <c r="AF558" s="841">
        <f t="shared" si="553"/>
        <v>0.161</v>
      </c>
      <c r="AG558" s="841">
        <f t="shared" si="553"/>
        <v>0.153</v>
      </c>
      <c r="AH558" s="841">
        <f t="shared" si="553"/>
        <v>0.129</v>
      </c>
      <c r="AI558" s="841">
        <f t="shared" si="553"/>
        <v>0.12</v>
      </c>
      <c r="AJ558" s="840">
        <f t="shared" si="553"/>
        <v>0.12</v>
      </c>
      <c r="AK558" s="841">
        <f t="shared" si="553"/>
        <v>7.1999999999999995E-2</v>
      </c>
      <c r="AL558" s="841">
        <f t="shared" si="553"/>
        <v>5.8000000000000003E-2</v>
      </c>
      <c r="AM558" s="842">
        <f t="shared" si="553"/>
        <v>7.4999999999999997E-2</v>
      </c>
      <c r="AN558" s="843">
        <f>AN559*2-AI558</f>
        <v>0.13175678299453553</v>
      </c>
      <c r="AO558" s="844">
        <f>AN558</f>
        <v>0.13175678299453553</v>
      </c>
      <c r="AP558" s="843">
        <f t="shared" ref="AP558:AS558" si="554">AP559*2-AK558</f>
        <v>0.18184619878142078</v>
      </c>
      <c r="AQ558" s="843">
        <f t="shared" si="554"/>
        <v>0.19874553434426223</v>
      </c>
      <c r="AR558" s="843">
        <f t="shared" si="554"/>
        <v>0.18329644909836063</v>
      </c>
      <c r="AS558" s="843">
        <f t="shared" si="554"/>
        <v>0.12843048718299871</v>
      </c>
      <c r="AT558" s="844">
        <f>AS558</f>
        <v>0.12843048718299871</v>
      </c>
      <c r="AU558" s="844">
        <f>AU559*2-AT558</f>
        <v>0.14079547204396159</v>
      </c>
      <c r="AV558" s="844">
        <f t="shared" ref="AV558:AW558" si="555">AV559*2-AU558</f>
        <v>0.13663576083961282</v>
      </c>
      <c r="AW558" s="844">
        <f t="shared" si="555"/>
        <v>0.14865488097403734</v>
      </c>
      <c r="AX558" s="793"/>
    </row>
    <row r="559" spans="1:50" s="29" customFormat="1" hidden="1" outlineLevel="1" x14ac:dyDescent="0.45">
      <c r="A559" s="61" t="s">
        <v>577</v>
      </c>
      <c r="B559" s="147"/>
      <c r="C559" s="840"/>
      <c r="D559" s="840">
        <f>AVERAGE(C558,D558)</f>
        <v>1.6365000000000001</v>
      </c>
      <c r="E559" s="840">
        <f t="shared" ref="E559" si="556">AVERAGE(D558,E558)</f>
        <v>1.5874999999999999</v>
      </c>
      <c r="F559" s="840">
        <f t="shared" ref="F559" si="557">AVERAGE(E558,F558)</f>
        <v>0.97599999999999998</v>
      </c>
      <c r="G559" s="841"/>
      <c r="H559" s="841"/>
      <c r="I559" s="841"/>
      <c r="J559" s="841">
        <f>AVERAGE(F558,J558)</f>
        <v>0.77200000000000002</v>
      </c>
      <c r="K559" s="840">
        <f>AVERAGE(F558,K558)</f>
        <v>0.77200000000000002</v>
      </c>
      <c r="L559" s="841">
        <f t="shared" ref="L559" si="558">AVERAGE(G558,L558)</f>
        <v>0.86899999999999999</v>
      </c>
      <c r="M559" s="841">
        <f t="shared" ref="M559" si="559">AVERAGE(H558,M558)</f>
        <v>0.87050000000000005</v>
      </c>
      <c r="N559" s="841">
        <f t="shared" ref="N559" si="560">AVERAGE(I558,N558)</f>
        <v>0.79649999999999999</v>
      </c>
      <c r="O559" s="841">
        <f t="shared" ref="O559" si="561">AVERAGE(J558,O558)</f>
        <v>0.72799999999999998</v>
      </c>
      <c r="P559" s="840">
        <f t="shared" ref="P559" si="562">AVERAGE(K558,P558)</f>
        <v>0.72799999999999998</v>
      </c>
      <c r="Q559" s="841">
        <f t="shared" ref="Q559" si="563">AVERAGE(L558,Q558)</f>
        <v>0.70100000000000007</v>
      </c>
      <c r="R559" s="841">
        <f t="shared" ref="R559" si="564">AVERAGE(M558,R558)</f>
        <v>0.69700000000000006</v>
      </c>
      <c r="S559" s="841">
        <f t="shared" ref="S559" si="565">AVERAGE(N558,S558)</f>
        <v>0.66349999999999998</v>
      </c>
      <c r="T559" s="841">
        <f t="shared" ref="T559" si="566">AVERAGE(O558,T558)</f>
        <v>0.58850000000000002</v>
      </c>
      <c r="U559" s="840">
        <f t="shared" ref="U559" si="567">AVERAGE(P558,U558)</f>
        <v>0.58850000000000002</v>
      </c>
      <c r="V559" s="841">
        <f t="shared" ref="V559" si="568">AVERAGE(Q558,V558)</f>
        <v>0.53849999999999998</v>
      </c>
      <c r="W559" s="841">
        <f t="shared" ref="W559" si="569">AVERAGE(R558,W558)</f>
        <v>0.501</v>
      </c>
      <c r="X559" s="841">
        <f t="shared" ref="X559" si="570">AVERAGE(S558,X558)</f>
        <v>0.45700000000000002</v>
      </c>
      <c r="Y559" s="841">
        <f t="shared" ref="Y559" si="571">AVERAGE(T558,Y558)</f>
        <v>0.35650000000000004</v>
      </c>
      <c r="Z559" s="840">
        <f t="shared" ref="Z559" si="572">AVERAGE(U558,Z558)</f>
        <v>0.35650000000000004</v>
      </c>
      <c r="AA559" s="841">
        <f t="shared" ref="AA559" si="573">AVERAGE(V558,AA558)</f>
        <v>0.26500000000000001</v>
      </c>
      <c r="AB559" s="841">
        <f t="shared" ref="AB559" si="574">AVERAGE(W558,AB558)</f>
        <v>0.25</v>
      </c>
      <c r="AC559" s="841">
        <f t="shared" ref="AC559" si="575">AVERAGE(X558,AC558)</f>
        <v>0.20300000000000001</v>
      </c>
      <c r="AD559" s="841">
        <f t="shared" ref="AD559" si="576">AVERAGE(Y558,AD558)</f>
        <v>0.16899999999999998</v>
      </c>
      <c r="AE559" s="840">
        <f t="shared" ref="AE559" si="577">AVERAGE(Z558,AE558)</f>
        <v>0.16899999999999998</v>
      </c>
      <c r="AF559" s="841">
        <f t="shared" ref="AF559" si="578">AVERAGE(AA558,AF558)</f>
        <v>0.1305</v>
      </c>
      <c r="AG559" s="841">
        <f t="shared" ref="AG559" si="579">AVERAGE(AB558,AG558)</f>
        <v>0.15</v>
      </c>
      <c r="AH559" s="841">
        <f t="shared" ref="AH559" si="580">AVERAGE(AC558,AH558)</f>
        <v>0.14150000000000001</v>
      </c>
      <c r="AI559" s="841">
        <f t="shared" ref="AI559" si="581">AVERAGE(AD558,AI558)</f>
        <v>0.15</v>
      </c>
      <c r="AJ559" s="840">
        <f t="shared" ref="AJ559" si="582">AVERAGE(AE558,AJ558)</f>
        <v>0.15</v>
      </c>
      <c r="AK559" s="841">
        <f t="shared" ref="AK559" si="583">AVERAGE(AF558,AK558)</f>
        <v>0.11649999999999999</v>
      </c>
      <c r="AL559" s="841">
        <f t="shared" ref="AL559" si="584">AVERAGE(AG558,AL558)</f>
        <v>0.1055</v>
      </c>
      <c r="AM559" s="842">
        <f t="shared" ref="AM559" si="585">AVERAGE(AH558,AM558)</f>
        <v>0.10200000000000001</v>
      </c>
      <c r="AN559" s="843">
        <f>(AN565/(AN3+AM3+AL3+AK3))*AN550</f>
        <v>0.12587839149726776</v>
      </c>
      <c r="AO559" s="844">
        <f t="shared" ref="AO559" si="586">AVERAGE(AJ558,AO558)</f>
        <v>0.12587839149726776</v>
      </c>
      <c r="AP559" s="843">
        <f>(AP565/(AP3+AN3+AM3+AL3))*AP550</f>
        <v>0.12692309939071039</v>
      </c>
      <c r="AQ559" s="843">
        <f>(AQ565/(AQ3+AP3+AN3+AM3))*AQ550</f>
        <v>0.12837276717213111</v>
      </c>
      <c r="AR559" s="843">
        <f>(AR565/(AR3+AQ3+AP3+AN3))*AR550</f>
        <v>0.12914822454918032</v>
      </c>
      <c r="AS559" s="843">
        <f>(AS565/(AS3+AR3+AQ3+AP3))*AS550</f>
        <v>0.13009363508876712</v>
      </c>
      <c r="AT559" s="844">
        <f t="shared" ref="AT559" si="587">AVERAGE(AO558,AT558)</f>
        <v>0.13009363508876712</v>
      </c>
      <c r="AU559" s="844">
        <f>AU565/AU3*AU550</f>
        <v>0.13461297961348015</v>
      </c>
      <c r="AV559" s="844">
        <f>AV565/AV3*AV550</f>
        <v>0.1387156164417872</v>
      </c>
      <c r="AW559" s="844">
        <f>AW565/AW3*AW550</f>
        <v>0.14264532090682508</v>
      </c>
      <c r="AX559" s="793"/>
    </row>
    <row r="560" spans="1:50" s="29" customFormat="1" hidden="1" outlineLevel="1" x14ac:dyDescent="0.45">
      <c r="A560" s="61"/>
      <c r="B560" s="147"/>
      <c r="C560" s="840"/>
      <c r="D560" s="840"/>
      <c r="E560" s="840"/>
      <c r="F560" s="840"/>
      <c r="G560" s="841"/>
      <c r="H560" s="841"/>
      <c r="I560" s="841"/>
      <c r="J560" s="841"/>
      <c r="K560" s="840"/>
      <c r="L560" s="841"/>
      <c r="M560" s="841"/>
      <c r="N560" s="841"/>
      <c r="O560" s="841"/>
      <c r="P560" s="840"/>
      <c r="Q560" s="841"/>
      <c r="R560" s="841"/>
      <c r="S560" s="841"/>
      <c r="T560" s="841"/>
      <c r="U560" s="840"/>
      <c r="V560" s="841"/>
      <c r="W560" s="841"/>
      <c r="X560" s="841"/>
      <c r="Y560" s="841"/>
      <c r="Z560" s="840"/>
      <c r="AA560" s="841"/>
      <c r="AB560" s="841"/>
      <c r="AC560" s="841"/>
      <c r="AD560" s="841"/>
      <c r="AE560" s="840"/>
      <c r="AF560" s="841"/>
      <c r="AG560" s="841"/>
      <c r="AH560" s="841"/>
      <c r="AI560" s="841"/>
      <c r="AJ560" s="840"/>
      <c r="AK560" s="841"/>
      <c r="AL560" s="841"/>
      <c r="AM560" s="842"/>
      <c r="AN560" s="843"/>
      <c r="AO560" s="844"/>
      <c r="AP560" s="843"/>
      <c r="AQ560" s="843"/>
      <c r="AR560" s="843"/>
      <c r="AS560" s="843"/>
      <c r="AT560" s="844"/>
      <c r="AU560" s="844"/>
      <c r="AV560" s="844"/>
      <c r="AW560" s="844"/>
      <c r="AX560" s="793"/>
    </row>
    <row r="561" spans="1:50" s="29" customFormat="1" hidden="1" outlineLevel="1" x14ac:dyDescent="0.45">
      <c r="A561" s="61" t="s">
        <v>578</v>
      </c>
      <c r="B561" s="147"/>
      <c r="C561" s="840">
        <f>C599</f>
        <v>3.3420000000000001</v>
      </c>
      <c r="D561" s="840">
        <f t="shared" ref="D561:AM561" si="588">D599</f>
        <v>6.6859999999999999</v>
      </c>
      <c r="E561" s="840">
        <f t="shared" si="588"/>
        <v>4.532</v>
      </c>
      <c r="F561" s="840">
        <f t="shared" si="588"/>
        <v>11.500999999999999</v>
      </c>
      <c r="G561" s="841">
        <f t="shared" si="588"/>
        <v>7.44</v>
      </c>
      <c r="H561" s="841">
        <f t="shared" si="588"/>
        <v>8.8230000000000004</v>
      </c>
      <c r="I561" s="841">
        <f t="shared" si="588"/>
        <v>4.7969999999999997</v>
      </c>
      <c r="J561" s="841">
        <f t="shared" si="588"/>
        <v>7.8879999999999999</v>
      </c>
      <c r="K561" s="840">
        <f t="shared" si="588"/>
        <v>7.8879999999999999</v>
      </c>
      <c r="L561" s="841">
        <f t="shared" si="588"/>
        <v>8.85</v>
      </c>
      <c r="M561" s="841">
        <f t="shared" si="588"/>
        <v>8.9649999999999999</v>
      </c>
      <c r="N561" s="841">
        <f t="shared" si="588"/>
        <v>6.9619999999999997</v>
      </c>
      <c r="O561" s="841">
        <f t="shared" si="588"/>
        <v>10.018000000000001</v>
      </c>
      <c r="P561" s="840">
        <f t="shared" si="588"/>
        <v>10.018000000000001</v>
      </c>
      <c r="Q561" s="841">
        <f t="shared" si="588"/>
        <v>11.095000000000001</v>
      </c>
      <c r="R561" s="841">
        <f t="shared" si="588"/>
        <v>10.965</v>
      </c>
      <c r="S561" s="841">
        <f t="shared" si="588"/>
        <v>10.25</v>
      </c>
      <c r="T561" s="841">
        <f t="shared" si="588"/>
        <v>11.125999999999999</v>
      </c>
      <c r="U561" s="840">
        <f t="shared" si="588"/>
        <v>11.125999999999999</v>
      </c>
      <c r="V561" s="841">
        <f t="shared" si="588"/>
        <v>4.1219999999999999</v>
      </c>
      <c r="W561" s="841">
        <f t="shared" si="588"/>
        <v>5.4379999999999997</v>
      </c>
      <c r="X561" s="841">
        <f t="shared" si="588"/>
        <v>5.2229999999999999</v>
      </c>
      <c r="Y561" s="841">
        <f t="shared" si="588"/>
        <v>4.6180000000000003</v>
      </c>
      <c r="Z561" s="840">
        <f t="shared" si="588"/>
        <v>4.6180000000000003</v>
      </c>
      <c r="AA561" s="841">
        <f t="shared" si="588"/>
        <v>5.0069999999999997</v>
      </c>
      <c r="AB561" s="841">
        <f t="shared" si="588"/>
        <v>6.8129999999999997</v>
      </c>
      <c r="AC561" s="841">
        <f t="shared" si="588"/>
        <v>3.069</v>
      </c>
      <c r="AD561" s="841">
        <f t="shared" si="588"/>
        <v>4.2130000000000001</v>
      </c>
      <c r="AE561" s="840">
        <f t="shared" si="588"/>
        <v>4.2130000000000001</v>
      </c>
      <c r="AF561" s="841">
        <f t="shared" si="588"/>
        <v>3.133</v>
      </c>
      <c r="AG561" s="841">
        <f t="shared" si="588"/>
        <v>6.2370000000000001</v>
      </c>
      <c r="AH561" s="841">
        <f t="shared" si="588"/>
        <v>3.6110000000000002</v>
      </c>
      <c r="AI561" s="841">
        <f t="shared" si="588"/>
        <v>5.4320000000000004</v>
      </c>
      <c r="AJ561" s="840">
        <f t="shared" si="588"/>
        <v>5.4320000000000004</v>
      </c>
      <c r="AK561" s="841">
        <f t="shared" si="588"/>
        <v>5.8479999999999999</v>
      </c>
      <c r="AL561" s="841">
        <f t="shared" si="588"/>
        <v>4.8369999999999997</v>
      </c>
      <c r="AM561" s="842">
        <f t="shared" si="588"/>
        <v>9.4109999999999996</v>
      </c>
      <c r="AN561" s="843">
        <f>AN562*2-AI561</f>
        <v>7.9111094987103812</v>
      </c>
      <c r="AO561" s="844">
        <f>AN561</f>
        <v>7.9111094987103812</v>
      </c>
      <c r="AP561" s="843">
        <f t="shared" ref="AP561:AS561" si="589">AP562*2-AK561</f>
        <v>8.2404640323688518</v>
      </c>
      <c r="AQ561" s="843">
        <f t="shared" si="589"/>
        <v>8.7705133202458985</v>
      </c>
      <c r="AR561" s="843">
        <f t="shared" si="589"/>
        <v>8.7988996614344277</v>
      </c>
      <c r="AS561" s="843">
        <f t="shared" si="589"/>
        <v>9.131156697918108</v>
      </c>
      <c r="AT561" s="844">
        <f>AS561</f>
        <v>9.131156697918108</v>
      </c>
      <c r="AU561" s="844">
        <f>AU562*2-AT561</f>
        <v>8.503143631447788</v>
      </c>
      <c r="AV561" s="844">
        <f t="shared" ref="AV561:AW561" si="590">AV562*2-AU561</f>
        <v>9.6686021224263285</v>
      </c>
      <c r="AW561" s="844">
        <f t="shared" si="590"/>
        <v>9.0179349163677571</v>
      </c>
      <c r="AX561" s="793"/>
    </row>
    <row r="562" spans="1:50" s="29" customFormat="1" hidden="1" outlineLevel="1" x14ac:dyDescent="0.45">
      <c r="A562" s="61" t="s">
        <v>579</v>
      </c>
      <c r="B562" s="147"/>
      <c r="C562" s="840"/>
      <c r="D562" s="840">
        <f>AVERAGE(C561,D561)</f>
        <v>5.0140000000000002</v>
      </c>
      <c r="E562" s="840">
        <f t="shared" ref="E562" si="591">AVERAGE(D561,E561)</f>
        <v>5.609</v>
      </c>
      <c r="F562" s="840">
        <f t="shared" ref="F562" si="592">AVERAGE(E561,F561)</f>
        <v>8.0165000000000006</v>
      </c>
      <c r="G562" s="841"/>
      <c r="H562" s="841"/>
      <c r="I562" s="841"/>
      <c r="J562" s="841">
        <f>AVERAGE(F561,J561)</f>
        <v>9.6944999999999997</v>
      </c>
      <c r="K562" s="840">
        <f>AVERAGE(F561,K561)</f>
        <v>9.6944999999999997</v>
      </c>
      <c r="L562" s="841">
        <f t="shared" ref="L562" si="593">AVERAGE(G561,L561)</f>
        <v>8.1449999999999996</v>
      </c>
      <c r="M562" s="841">
        <f t="shared" ref="M562" si="594">AVERAGE(H561,M561)</f>
        <v>8.8940000000000001</v>
      </c>
      <c r="N562" s="841">
        <f t="shared" ref="N562" si="595">AVERAGE(I561,N561)</f>
        <v>5.8795000000000002</v>
      </c>
      <c r="O562" s="841">
        <f t="shared" ref="O562" si="596">AVERAGE(J561,O561)</f>
        <v>8.9529999999999994</v>
      </c>
      <c r="P562" s="840">
        <f t="shared" ref="P562" si="597">AVERAGE(K561,P561)</f>
        <v>8.9529999999999994</v>
      </c>
      <c r="Q562" s="841">
        <f t="shared" ref="Q562" si="598">AVERAGE(L561,Q561)</f>
        <v>9.9725000000000001</v>
      </c>
      <c r="R562" s="841">
        <f t="shared" ref="R562" si="599">AVERAGE(M561,R561)</f>
        <v>9.9649999999999999</v>
      </c>
      <c r="S562" s="841">
        <f t="shared" ref="S562" si="600">AVERAGE(N561,S561)</f>
        <v>8.6059999999999999</v>
      </c>
      <c r="T562" s="841">
        <f t="shared" ref="T562" si="601">AVERAGE(O561,T561)</f>
        <v>10.571999999999999</v>
      </c>
      <c r="U562" s="840">
        <f t="shared" ref="U562" si="602">AVERAGE(P561,U561)</f>
        <v>10.571999999999999</v>
      </c>
      <c r="V562" s="841">
        <f t="shared" ref="V562" si="603">AVERAGE(Q561,V561)</f>
        <v>7.6085000000000003</v>
      </c>
      <c r="W562" s="841">
        <f t="shared" ref="W562" si="604">AVERAGE(R561,W561)</f>
        <v>8.2014999999999993</v>
      </c>
      <c r="X562" s="841">
        <f t="shared" ref="X562" si="605">AVERAGE(S561,X561)</f>
        <v>7.7364999999999995</v>
      </c>
      <c r="Y562" s="841">
        <f t="shared" ref="Y562" si="606">AVERAGE(T561,Y561)</f>
        <v>7.8719999999999999</v>
      </c>
      <c r="Z562" s="840">
        <f t="shared" ref="Z562" si="607">AVERAGE(U561,Z561)</f>
        <v>7.8719999999999999</v>
      </c>
      <c r="AA562" s="841">
        <f t="shared" ref="AA562" si="608">AVERAGE(V561,AA561)</f>
        <v>4.5644999999999998</v>
      </c>
      <c r="AB562" s="841">
        <f t="shared" ref="AB562" si="609">AVERAGE(W561,AB561)</f>
        <v>6.1254999999999997</v>
      </c>
      <c r="AC562" s="841">
        <f t="shared" ref="AC562" si="610">AVERAGE(X561,AC561)</f>
        <v>4.1459999999999999</v>
      </c>
      <c r="AD562" s="841">
        <f t="shared" ref="AD562" si="611">AVERAGE(Y561,AD561)</f>
        <v>4.4154999999999998</v>
      </c>
      <c r="AE562" s="840">
        <f t="shared" ref="AE562" si="612">AVERAGE(Z561,AE561)</f>
        <v>4.4154999999999998</v>
      </c>
      <c r="AF562" s="841">
        <f t="shared" ref="AF562" si="613">AVERAGE(AA561,AF561)</f>
        <v>4.07</v>
      </c>
      <c r="AG562" s="841">
        <f t="shared" ref="AG562" si="614">AVERAGE(AB561,AG561)</f>
        <v>6.5250000000000004</v>
      </c>
      <c r="AH562" s="841">
        <f t="shared" ref="AH562" si="615">AVERAGE(AC561,AH561)</f>
        <v>3.34</v>
      </c>
      <c r="AI562" s="841">
        <f t="shared" ref="AI562" si="616">AVERAGE(AD561,AI561)</f>
        <v>4.8224999999999998</v>
      </c>
      <c r="AJ562" s="840">
        <f t="shared" ref="AJ562" si="617">AVERAGE(AE561,AJ561)</f>
        <v>4.8224999999999998</v>
      </c>
      <c r="AK562" s="841">
        <f t="shared" ref="AK562" si="618">AVERAGE(AF561,AK561)</f>
        <v>4.4904999999999999</v>
      </c>
      <c r="AL562" s="841">
        <f t="shared" ref="AL562" si="619">AVERAGE(AG561,AL561)</f>
        <v>5.5369999999999999</v>
      </c>
      <c r="AM562" s="842">
        <f t="shared" ref="AM562" si="620">AVERAGE(AH561,AM561)</f>
        <v>6.5110000000000001</v>
      </c>
      <c r="AN562" s="843">
        <f>(AN566/(AN3+AM3+AL3+AK3))*AN550</f>
        <v>6.6715547493551908</v>
      </c>
      <c r="AO562" s="844">
        <f t="shared" ref="AO562" si="621">AVERAGE(AJ561,AO561)</f>
        <v>6.6715547493551908</v>
      </c>
      <c r="AP562" s="843">
        <f>(AP566/(AP3+AN3+AM3+AL3))*AP550</f>
        <v>7.0442320161844254</v>
      </c>
      <c r="AQ562" s="843">
        <f>(AQ566/(AQ3+AP3+AN3+AM3))*AQ550</f>
        <v>6.8037566601229491</v>
      </c>
      <c r="AR562" s="843">
        <f>(AR566/(AR3+AQ3+AP3+AN3))*AR550</f>
        <v>9.1049498307172136</v>
      </c>
      <c r="AS562" s="843">
        <f>(AS566/(AS3+AR3+AQ3+AP3))*AS550</f>
        <v>8.5211330983142446</v>
      </c>
      <c r="AT562" s="844">
        <f t="shared" ref="AT562" si="622">AVERAGE(AO561,AT561)</f>
        <v>8.5211330983142446</v>
      </c>
      <c r="AU562" s="844">
        <f>AU566/AU3*AU550</f>
        <v>8.817150164682948</v>
      </c>
      <c r="AV562" s="844">
        <f>AV566/AV3*AV550</f>
        <v>9.0858728769370583</v>
      </c>
      <c r="AW562" s="844">
        <f>AW566/AW3*AW550</f>
        <v>9.3432685193970428</v>
      </c>
      <c r="AX562" s="793"/>
    </row>
    <row r="563" spans="1:50" s="7" customFormat="1" hidden="1" outlineLevel="1" x14ac:dyDescent="0.45">
      <c r="A563" s="54"/>
      <c r="B563" s="69"/>
      <c r="C563" s="851"/>
      <c r="D563" s="851"/>
      <c r="E563" s="851"/>
      <c r="F563" s="851"/>
      <c r="G563" s="852"/>
      <c r="H563" s="852"/>
      <c r="I563" s="852"/>
      <c r="J563" s="852"/>
      <c r="K563" s="851"/>
      <c r="L563" s="852"/>
      <c r="M563" s="852"/>
      <c r="N563" s="852"/>
      <c r="O563" s="852"/>
      <c r="P563" s="851"/>
      <c r="Q563" s="852"/>
      <c r="R563" s="852"/>
      <c r="S563" s="852"/>
      <c r="T563" s="852"/>
      <c r="U563" s="851"/>
      <c r="V563" s="852"/>
      <c r="W563" s="852"/>
      <c r="X563" s="852"/>
      <c r="Y563" s="852"/>
      <c r="Z563" s="851"/>
      <c r="AA563" s="852"/>
      <c r="AB563" s="852"/>
      <c r="AC563" s="852"/>
      <c r="AD563" s="852"/>
      <c r="AE563" s="851"/>
      <c r="AF563" s="852"/>
      <c r="AG563" s="852"/>
      <c r="AH563" s="852"/>
      <c r="AI563" s="852"/>
      <c r="AJ563" s="851"/>
      <c r="AK563" s="852"/>
      <c r="AL563" s="852"/>
      <c r="AM563" s="853"/>
      <c r="AN563" s="854"/>
      <c r="AO563" s="855"/>
      <c r="AP563" s="854"/>
      <c r="AQ563" s="854"/>
      <c r="AR563" s="854"/>
      <c r="AS563" s="854"/>
      <c r="AT563" s="855"/>
      <c r="AU563" s="855"/>
      <c r="AV563" s="855"/>
      <c r="AW563" s="855"/>
      <c r="AX563" s="795"/>
    </row>
    <row r="564" spans="1:50" s="34" customFormat="1" collapsed="1" x14ac:dyDescent="0.45">
      <c r="A564" s="735" t="s">
        <v>580</v>
      </c>
      <c r="B564" s="736"/>
      <c r="C564" s="900"/>
      <c r="D564" s="900">
        <f>D556/D549*D3</f>
        <v>127.68590656067558</v>
      </c>
      <c r="E564" s="900">
        <f>E556/E549*E3</f>
        <v>121.56205055428246</v>
      </c>
      <c r="F564" s="900">
        <f>F556/F549*F3</f>
        <v>116.58842119901183</v>
      </c>
      <c r="G564" s="890"/>
      <c r="H564" s="890"/>
      <c r="I564" s="890"/>
      <c r="J564" s="890">
        <f>J556/J549*(J3+I3+H3+G3)</f>
        <v>107.33495514621052</v>
      </c>
      <c r="K564" s="900">
        <f>K556/K549*K3</f>
        <v>107.33495514621052</v>
      </c>
      <c r="L564" s="890">
        <f>L556/L549*(L3+J3+I3+H3)</f>
        <v>101.02897256705927</v>
      </c>
      <c r="M564" s="890">
        <f>M556/M549*(M3+L3+J3+I3)</f>
        <v>97.146809522779847</v>
      </c>
      <c r="N564" s="890">
        <f>N556/N549*(N3+M3+L3+J3)</f>
        <v>88.823374350159327</v>
      </c>
      <c r="O564" s="890">
        <f>O556/O549*(O3+N3+M3+L3)</f>
        <v>82.249992350451322</v>
      </c>
      <c r="P564" s="900">
        <f>P556/P549*P3</f>
        <v>82.249992350451336</v>
      </c>
      <c r="Q564" s="890">
        <f>Q556/Q549*(Q3+O3+N3+M3)</f>
        <v>78.173530571593247</v>
      </c>
      <c r="R564" s="890">
        <f>R556/R549*(R3+Q3+O3+N3)</f>
        <v>74.93959587059048</v>
      </c>
      <c r="S564" s="890">
        <f>S556/S549*(S3+R3+Q3+O3)</f>
        <v>73.477506983424377</v>
      </c>
      <c r="T564" s="890">
        <f>T556/T549*(T3+S3+R3+Q3)</f>
        <v>74.947295000578677</v>
      </c>
      <c r="U564" s="900">
        <f>U556/U549*U3</f>
        <v>74.947295000578706</v>
      </c>
      <c r="V564" s="890">
        <f>V556/V549*(V3+T3+S3+R3)</f>
        <v>67.538094039202633</v>
      </c>
      <c r="W564" s="890">
        <f>W556/W549*(W3+V3+T3+S3)</f>
        <v>65.452630407735953</v>
      </c>
      <c r="X564" s="890">
        <f>X556/X549*(X3+W3+V3+T3)</f>
        <v>60.900134811175278</v>
      </c>
      <c r="Y564" s="890">
        <f>Y556/Y549*(Y3+X3+W3+V3)</f>
        <v>63.539310354300426</v>
      </c>
      <c r="Z564" s="900">
        <f>Z556/Z549*Z3</f>
        <v>63.539310354300412</v>
      </c>
      <c r="AA564" s="890">
        <f>AA556/AA549*(AA3+Y3+X3+W3)</f>
        <v>57.530660318207509</v>
      </c>
      <c r="AB564" s="890">
        <f>AB556/AB549*(AB3+AA3+Y3+X3)</f>
        <v>55.789498302729001</v>
      </c>
      <c r="AC564" s="890">
        <f>AC556/AC549*(AC3+AB3+AA3+Y3)</f>
        <v>53.588961182952417</v>
      </c>
      <c r="AD564" s="890">
        <f>AD556/AD549*(AD3+AC3+AB3+AA3)</f>
        <v>57.864864534037388</v>
      </c>
      <c r="AE564" s="900">
        <f>AE556/AE549*AE3</f>
        <v>57.864864534037388</v>
      </c>
      <c r="AF564" s="890">
        <f>AF556/AF549*(AF3+AD3+AC3+AB3)</f>
        <v>57.378144823616097</v>
      </c>
      <c r="AG564" s="890">
        <f>AG556/AG549*(AG3+AF3+AD3+AC3)</f>
        <v>57.484590714693283</v>
      </c>
      <c r="AH564" s="890">
        <f>AH556/AH549*(AH3+AG3+AF3+AD3)</f>
        <v>56.377227381013007</v>
      </c>
      <c r="AI564" s="890">
        <f>AI556/AI549*(AI3+AH3+AG3+AF3)</f>
        <v>59.464168617824406</v>
      </c>
      <c r="AJ564" s="900">
        <f>AJ556/AJ549*AJ3</f>
        <v>59.464168617824406</v>
      </c>
      <c r="AK564" s="890">
        <f>AK556/AK549*(AK3+AI3+AH3+AG3)</f>
        <v>58.021442347404687</v>
      </c>
      <c r="AL564" s="890">
        <f>AL556/AL549*(AL3+AK3+AI3+AH3)</f>
        <v>58.087665884998934</v>
      </c>
      <c r="AM564" s="906">
        <f>AM556/AM549*(AM3+AL3+AK3+AI3)</f>
        <v>55.596495445954837</v>
      </c>
      <c r="AN564" s="901">
        <v>57.1</v>
      </c>
      <c r="AO564" s="907">
        <f>AO556/AO549*AO3</f>
        <v>57.1</v>
      </c>
      <c r="AP564" s="901">
        <v>54.8</v>
      </c>
      <c r="AQ564" s="901">
        <v>55.2</v>
      </c>
      <c r="AR564" s="901">
        <v>54</v>
      </c>
      <c r="AS564" s="901">
        <v>54.5</v>
      </c>
      <c r="AT564" s="907">
        <f>AT556/AT549*AT3</f>
        <v>54.5</v>
      </c>
      <c r="AU564" s="908">
        <v>54.5</v>
      </c>
      <c r="AV564" s="908">
        <v>54.5</v>
      </c>
      <c r="AW564" s="908">
        <v>54.5</v>
      </c>
      <c r="AX564" s="125"/>
    </row>
    <row r="565" spans="1:50" s="34" customFormat="1" x14ac:dyDescent="0.45">
      <c r="A565" s="735" t="s">
        <v>581</v>
      </c>
      <c r="B565" s="736"/>
      <c r="C565" s="900"/>
      <c r="D565" s="900">
        <f>D559/D550*D3</f>
        <v>5.0387402358578113</v>
      </c>
      <c r="E565" s="900">
        <f>E559/E550*E3</f>
        <v>4.1382073287988304</v>
      </c>
      <c r="F565" s="900">
        <f>F559/F550*F3</f>
        <v>2.0117120220461588</v>
      </c>
      <c r="G565" s="890"/>
      <c r="H565" s="890"/>
      <c r="I565" s="890"/>
      <c r="J565" s="890">
        <f>J559/J550*(J3+I3+H3+G3)</f>
        <v>1.381599592060877</v>
      </c>
      <c r="K565" s="900">
        <f>K559/K550*K3</f>
        <v>1.381599592060877</v>
      </c>
      <c r="L565" s="890">
        <f>L559/L550*(L3+J3+I3+H3)</f>
        <v>1.5036098772689133</v>
      </c>
      <c r="M565" s="890">
        <f>M559/M550*(M3+L3+J3+I3)</f>
        <v>1.4493575035466171</v>
      </c>
      <c r="N565" s="890">
        <f>N559/N550*(N3+M3+L3+J3)</f>
        <v>1.4272791987824633</v>
      </c>
      <c r="O565" s="890">
        <f>O559/O550*(O3+N3+M3+L3)</f>
        <v>1.2865304541493172</v>
      </c>
      <c r="P565" s="900">
        <f>P559/P550*P3</f>
        <v>1.2865304541493174</v>
      </c>
      <c r="Q565" s="890">
        <f>Q559/Q550*(Q3+O3+N3+M3)</f>
        <v>1.2334766720981132</v>
      </c>
      <c r="R565" s="890">
        <f>R559/R550*(R3+Q3+O3+N3)</f>
        <v>1.2217558553323504</v>
      </c>
      <c r="S565" s="890">
        <f>S559/S550*(S3+R3+Q3+O3)</f>
        <v>1.1632634926124465</v>
      </c>
      <c r="T565" s="890">
        <f>T559/T550*(T3+S3+R3+Q3)</f>
        <v>1.0272661369554643</v>
      </c>
      <c r="U565" s="900">
        <f>U559/U550*U3</f>
        <v>1.0272661369554641</v>
      </c>
      <c r="V565" s="890">
        <f>V559/V550*(V3+T3+S3+R3)</f>
        <v>0.94571601312834686</v>
      </c>
      <c r="W565" s="890">
        <f>W559/W550*(W3+V3+T3+S3)</f>
        <v>0.89161945977486567</v>
      </c>
      <c r="X565" s="890">
        <f>X559/X550*(X3+W3+V3+T3)</f>
        <v>0.8168406041989188</v>
      </c>
      <c r="Y565" s="890">
        <f>Y559/Y550*(Y3+X3+W3+V3)</f>
        <v>0.64194305898836224</v>
      </c>
      <c r="Z565" s="900">
        <f>Z559/Z550*Z3</f>
        <v>0.64194305898836235</v>
      </c>
      <c r="AA565" s="890">
        <f>AA559/AA550*(AA3+Y3+X3+W3)</f>
        <v>0.47001112768655884</v>
      </c>
      <c r="AB565" s="890">
        <f>AB559/AB550*(AB3+AA3+Y3+X3)</f>
        <v>0.43702525886263277</v>
      </c>
      <c r="AC565" s="890">
        <f>AC559/AC550*(AC3+AB3+AA3+Y3)</f>
        <v>0.34492630834116961</v>
      </c>
      <c r="AD565" s="890">
        <f>AD559/AD550*(AD3+AC3+AB3+AA3)</f>
        <v>0.28230087685576727</v>
      </c>
      <c r="AE565" s="900">
        <f>AE559/AE550*AE3</f>
        <v>0.28230087685576721</v>
      </c>
      <c r="AF565" s="890">
        <f>AF559/AF550*(AF3+AD3+AC3+AB3)</f>
        <v>0.21727974382133183</v>
      </c>
      <c r="AG565" s="890">
        <f>AG559/AG550*(AG3+AF3+AD3+AC3)</f>
        <v>0.24919098270000142</v>
      </c>
      <c r="AH565" s="890">
        <f>AH559/AH550*(AH3+AG3+AF3+AD3)</f>
        <v>0.23635677184632639</v>
      </c>
      <c r="AI565" s="890">
        <f>AI559/AI550*(AI3+AH3+AG3+AF3)</f>
        <v>0.2523564794542647</v>
      </c>
      <c r="AJ565" s="900">
        <f>AJ559/AJ550*AJ3</f>
        <v>0.2523564794542647</v>
      </c>
      <c r="AK565" s="890">
        <f>AK559/AK550*(AK3+AI3+AH3+AG3)</f>
        <v>0.1948464048094723</v>
      </c>
      <c r="AL565" s="890">
        <f>AL559/AL550*(AL3+AK3+AI3+AH3)</f>
        <v>0.17444415250244624</v>
      </c>
      <c r="AM565" s="906">
        <f>AM559/AM550*(AM3+AL3+AK3+AI3)</f>
        <v>0.16534100750096595</v>
      </c>
      <c r="AN565" s="901">
        <v>0.2</v>
      </c>
      <c r="AO565" s="907">
        <f>AO559/AO550*AO3</f>
        <v>0.2</v>
      </c>
      <c r="AP565" s="901">
        <v>0.2</v>
      </c>
      <c r="AQ565" s="901">
        <v>0.2</v>
      </c>
      <c r="AR565" s="901">
        <v>0.2</v>
      </c>
      <c r="AS565" s="901">
        <v>0.2</v>
      </c>
      <c r="AT565" s="907">
        <f>AT559/AT550*AT3</f>
        <v>0.20000000000000004</v>
      </c>
      <c r="AU565" s="908">
        <v>0.2</v>
      </c>
      <c r="AV565" s="908">
        <v>0.2</v>
      </c>
      <c r="AW565" s="908">
        <v>0.2</v>
      </c>
      <c r="AX565" s="125"/>
    </row>
    <row r="566" spans="1:50" s="34" customFormat="1" x14ac:dyDescent="0.45">
      <c r="A566" s="735" t="s">
        <v>582</v>
      </c>
      <c r="B566" s="736"/>
      <c r="C566" s="900"/>
      <c r="D566" s="900">
        <f>D562/D550*D3</f>
        <v>15.437973444907467</v>
      </c>
      <c r="E566" s="900">
        <f>E562/E550*E3</f>
        <v>14.621231437626863</v>
      </c>
      <c r="F566" s="900">
        <f>F562/F550*F3</f>
        <v>16.523452279439589</v>
      </c>
      <c r="G566" s="890"/>
      <c r="H566" s="890"/>
      <c r="I566" s="890"/>
      <c r="J566" s="890">
        <f>J562/J550*(J3+I3+H3+G3)</f>
        <v>17.349633737349965</v>
      </c>
      <c r="K566" s="900">
        <f>K562/K550*K3</f>
        <v>17.349633737349965</v>
      </c>
      <c r="L566" s="890">
        <f>L562/L550*(L3+J3+I3+H3)</f>
        <v>14.09309833182428</v>
      </c>
      <c r="M566" s="890">
        <f>M562/M550*(M3+L3+J3+I3)</f>
        <v>14.808254608321208</v>
      </c>
      <c r="N566" s="890">
        <f>N562/N550*(N3+M3+L3+J3)</f>
        <v>10.535703765526042</v>
      </c>
      <c r="O566" s="890">
        <f>O562/O550*(O3+N3+M3+L3)</f>
        <v>15.821850489009391</v>
      </c>
      <c r="P566" s="900">
        <f>P562/P550*P3</f>
        <v>15.821850489009393</v>
      </c>
      <c r="Q566" s="890">
        <f>Q562/Q550*(Q3+O3+N3+M3)</f>
        <v>17.547569347358678</v>
      </c>
      <c r="R566" s="890">
        <f>R562/R550*(R3+Q3+O3+N3)</f>
        <v>17.467427687786042</v>
      </c>
      <c r="S566" s="890">
        <f>S562/S550*(S3+R3+Q3+O3)</f>
        <v>15.088237554518033</v>
      </c>
      <c r="T566" s="890">
        <f>T562/T550*(T3+S3+R3+Q3)</f>
        <v>18.454133559716514</v>
      </c>
      <c r="U566" s="900">
        <f>U562/U550*U3</f>
        <v>18.45413355971651</v>
      </c>
      <c r="V566" s="890">
        <f>V562/V550*(V3+T3+S3+R3)</f>
        <v>13.362080382334312</v>
      </c>
      <c r="W566" s="890">
        <f>W562/W550*(W3+V3+T3+S3)</f>
        <v>14.596041914857404</v>
      </c>
      <c r="X566" s="890">
        <f>X562/X550*(X3+W3+V3+T3)</f>
        <v>13.828199856422177</v>
      </c>
      <c r="Y566" s="890">
        <f>Y562/Y550*(Y3+X3+W3+V3)</f>
        <v>14.174967069723383</v>
      </c>
      <c r="Z566" s="900">
        <f>Z562/Z550*Z3</f>
        <v>14.174967069723388</v>
      </c>
      <c r="AA566" s="890">
        <f>AA562/AA550*(AA3+Y3+X3+W3)</f>
        <v>8.095719971038859</v>
      </c>
      <c r="AB566" s="890">
        <f>AB562/AB550*(AB3+AA3+Y3+X3)</f>
        <v>10.707992892652229</v>
      </c>
      <c r="AC566" s="890">
        <f>AC562/AC550*(AC3+AB3+AA3+Y3)</f>
        <v>7.0446525831649707</v>
      </c>
      <c r="AD566" s="890">
        <f>AD562/AD550*(AD3+AC3+AB3+AA3)</f>
        <v>7.3757368151280511</v>
      </c>
      <c r="AE566" s="900">
        <f>AE562/AE550*AE3</f>
        <v>7.3757368151280485</v>
      </c>
      <c r="AF566" s="890">
        <f>AF562/AF550*(AF3+AD3+AC3+AB3)</f>
        <v>6.7764640410177819</v>
      </c>
      <c r="AG566" s="890">
        <f>AG562/AG550*(AG3+AF3+AD3+AC3)</f>
        <v>10.839807747450063</v>
      </c>
      <c r="AH566" s="890">
        <f>AH562/AH550*(AH3+AG3+AF3+AD3)</f>
        <v>5.5790220351005653</v>
      </c>
      <c r="AI566" s="890">
        <f>AI562/AI550*(AI3+AH3+AG3+AF3)</f>
        <v>8.1132608144546108</v>
      </c>
      <c r="AJ566" s="900">
        <f>AJ562/AJ550*AJ3</f>
        <v>8.1132608144546108</v>
      </c>
      <c r="AK566" s="890">
        <f>AK562/AK550*(AK3+AI3+AH3+AG3)</f>
        <v>7.5103672171410771</v>
      </c>
      <c r="AL566" s="890">
        <f>AL562/AL550*(AL3+AK3+AI3+AH3)</f>
        <v>9.155424382995685</v>
      </c>
      <c r="AM566" s="906">
        <f>AM562/AM550*(AM3+AL3+AK3+AI3)</f>
        <v>10.554267645478326</v>
      </c>
      <c r="AN566" s="901">
        <v>10.6</v>
      </c>
      <c r="AO566" s="907">
        <f>AO562/AO550*AO3</f>
        <v>10.6</v>
      </c>
      <c r="AP566" s="901">
        <v>11.1</v>
      </c>
      <c r="AQ566" s="901">
        <v>10.6</v>
      </c>
      <c r="AR566" s="901">
        <v>14.1</v>
      </c>
      <c r="AS566" s="901">
        <v>13.1</v>
      </c>
      <c r="AT566" s="907">
        <f>AT562/AT550*AT3</f>
        <v>13.1</v>
      </c>
      <c r="AU566" s="908">
        <v>13.1</v>
      </c>
      <c r="AV566" s="908">
        <v>13.1</v>
      </c>
      <c r="AW566" s="908">
        <v>13.1</v>
      </c>
      <c r="AX566" s="125"/>
    </row>
    <row r="567" spans="1:50" s="734" customFormat="1" x14ac:dyDescent="0.45">
      <c r="A567" s="737" t="s">
        <v>583</v>
      </c>
      <c r="B567" s="738"/>
      <c r="C567" s="935"/>
      <c r="D567" s="935">
        <f>D564+D565-D566</f>
        <v>117.28667335162592</v>
      </c>
      <c r="E567" s="935">
        <f t="shared" ref="E567:F567" si="623">E564+E565-E566</f>
        <v>111.07902644545443</v>
      </c>
      <c r="F567" s="935">
        <f t="shared" si="623"/>
        <v>102.07668094161841</v>
      </c>
      <c r="G567" s="936"/>
      <c r="H567" s="936"/>
      <c r="I567" s="936"/>
      <c r="J567" s="936">
        <f t="shared" ref="J567" si="624">J564+J565-J566</f>
        <v>91.366921000921437</v>
      </c>
      <c r="K567" s="935">
        <f>K564+K565-K566</f>
        <v>91.366921000921437</v>
      </c>
      <c r="L567" s="936">
        <f t="shared" ref="L567:AM567" si="625">L564+L565-L566</f>
        <v>88.439484112503905</v>
      </c>
      <c r="M567" s="936">
        <f t="shared" si="625"/>
        <v>83.787912418005263</v>
      </c>
      <c r="N567" s="936">
        <f t="shared" si="625"/>
        <v>79.714949783415747</v>
      </c>
      <c r="O567" s="936">
        <f t="shared" si="625"/>
        <v>67.714672315591244</v>
      </c>
      <c r="P567" s="935">
        <f>P564+P565-P566</f>
        <v>67.714672315591258</v>
      </c>
      <c r="Q567" s="936">
        <f t="shared" si="625"/>
        <v>61.859437896332679</v>
      </c>
      <c r="R567" s="936">
        <f t="shared" si="625"/>
        <v>58.693924038136785</v>
      </c>
      <c r="S567" s="936">
        <f t="shared" si="625"/>
        <v>59.55253292151879</v>
      </c>
      <c r="T567" s="936">
        <f t="shared" si="625"/>
        <v>57.520427577817628</v>
      </c>
      <c r="U567" s="935">
        <f>U564+U565-U566</f>
        <v>57.520427577817657</v>
      </c>
      <c r="V567" s="936">
        <f t="shared" si="625"/>
        <v>55.121729669996668</v>
      </c>
      <c r="W567" s="936">
        <f t="shared" si="625"/>
        <v>51.748207952653424</v>
      </c>
      <c r="X567" s="936">
        <f t="shared" si="625"/>
        <v>47.88877555895202</v>
      </c>
      <c r="Y567" s="936">
        <f t="shared" si="625"/>
        <v>50.006286343565407</v>
      </c>
      <c r="Z567" s="935">
        <f>Z564+Z565-Z566</f>
        <v>50.006286343565385</v>
      </c>
      <c r="AA567" s="936">
        <f t="shared" si="625"/>
        <v>49.90495147485521</v>
      </c>
      <c r="AB567" s="936">
        <f t="shared" si="625"/>
        <v>45.518530668939405</v>
      </c>
      <c r="AC567" s="936">
        <f t="shared" si="625"/>
        <v>46.889234908128621</v>
      </c>
      <c r="AD567" s="936">
        <f t="shared" si="625"/>
        <v>50.771428595765101</v>
      </c>
      <c r="AE567" s="935">
        <f>AE564+AE565-AE566</f>
        <v>50.771428595765101</v>
      </c>
      <c r="AF567" s="936">
        <f t="shared" si="625"/>
        <v>50.818960526419644</v>
      </c>
      <c r="AG567" s="936">
        <f t="shared" si="625"/>
        <v>46.893973949943216</v>
      </c>
      <c r="AH567" s="936">
        <f t="shared" si="625"/>
        <v>51.034562117758767</v>
      </c>
      <c r="AI567" s="936">
        <f t="shared" si="625"/>
        <v>51.603264282824057</v>
      </c>
      <c r="AJ567" s="935">
        <f>AJ564+AJ565-AJ566</f>
        <v>51.603264282824057</v>
      </c>
      <c r="AK567" s="936">
        <f t="shared" si="625"/>
        <v>50.705921535073088</v>
      </c>
      <c r="AL567" s="936">
        <f t="shared" si="625"/>
        <v>49.106685654505696</v>
      </c>
      <c r="AM567" s="937">
        <f t="shared" si="625"/>
        <v>45.207568807977474</v>
      </c>
      <c r="AN567" s="936">
        <f t="shared" ref="AN567" si="626">AN564+AN565-AN566</f>
        <v>46.7</v>
      </c>
      <c r="AO567" s="935">
        <f>AO564+AO565-AO566</f>
        <v>46.7</v>
      </c>
      <c r="AP567" s="936">
        <f t="shared" ref="AP567" si="627">AP564+AP565-AP566</f>
        <v>43.9</v>
      </c>
      <c r="AQ567" s="936">
        <f t="shared" ref="AQ567" si="628">AQ564+AQ565-AQ566</f>
        <v>44.800000000000004</v>
      </c>
      <c r="AR567" s="936">
        <f t="shared" ref="AR567" si="629">AR564+AR565-AR566</f>
        <v>40.1</v>
      </c>
      <c r="AS567" s="936">
        <f t="shared" ref="AS567" si="630">AS564+AS565-AS566</f>
        <v>41.6</v>
      </c>
      <c r="AT567" s="935">
        <f t="shared" ref="AT567" si="631">AT564+AT565-AT566</f>
        <v>41.6</v>
      </c>
      <c r="AU567" s="935">
        <f t="shared" ref="AU567" si="632">AU564+AU565-AU566</f>
        <v>41.6</v>
      </c>
      <c r="AV567" s="935">
        <f t="shared" ref="AV567" si="633">AV564+AV565-AV566</f>
        <v>41.6</v>
      </c>
      <c r="AW567" s="935">
        <f t="shared" ref="AW567" si="634">AW564+AW565-AW566</f>
        <v>41.6</v>
      </c>
      <c r="AX567" s="733"/>
    </row>
    <row r="568" spans="1:50" s="7" customFormat="1" x14ac:dyDescent="0.45">
      <c r="A568" s="54"/>
      <c r="B568" s="69"/>
      <c r="C568" s="851"/>
      <c r="D568" s="851"/>
      <c r="E568" s="851"/>
      <c r="F568" s="851"/>
      <c r="G568" s="852"/>
      <c r="H568" s="852"/>
      <c r="I568" s="852"/>
      <c r="J568" s="852"/>
      <c r="K568" s="851"/>
      <c r="L568" s="852"/>
      <c r="M568" s="852"/>
      <c r="N568" s="852"/>
      <c r="O568" s="852"/>
      <c r="P568" s="851"/>
      <c r="Q568" s="852"/>
      <c r="R568" s="852"/>
      <c r="S568" s="852"/>
      <c r="T568" s="852"/>
      <c r="U568" s="851"/>
      <c r="V568" s="852"/>
      <c r="W568" s="852"/>
      <c r="X568" s="852"/>
      <c r="Y568" s="852"/>
      <c r="Z568" s="851"/>
      <c r="AA568" s="852"/>
      <c r="AB568" s="852"/>
      <c r="AC568" s="852"/>
      <c r="AD568" s="852"/>
      <c r="AE568" s="851"/>
      <c r="AF568" s="852"/>
      <c r="AG568" s="852"/>
      <c r="AH568" s="852"/>
      <c r="AI568" s="852"/>
      <c r="AJ568" s="851"/>
      <c r="AK568" s="852"/>
      <c r="AL568" s="852"/>
      <c r="AM568" s="853"/>
      <c r="AN568" s="854"/>
      <c r="AO568" s="855"/>
      <c r="AP568" s="854"/>
      <c r="AQ568" s="854"/>
      <c r="AR568" s="854"/>
      <c r="AS568" s="854"/>
      <c r="AT568" s="855"/>
      <c r="AU568" s="855"/>
      <c r="AV568" s="855"/>
      <c r="AW568" s="855"/>
      <c r="AX568" s="795"/>
    </row>
    <row r="569" spans="1:50" s="202" customFormat="1" x14ac:dyDescent="0.45">
      <c r="A569" s="710" t="s">
        <v>584</v>
      </c>
      <c r="B569" s="739"/>
      <c r="C569" s="740">
        <f>C551/C549</f>
        <v>2.9758987838018437E-2</v>
      </c>
      <c r="D569" s="740">
        <f t="shared" ref="D569:Z569" si="635">D551/D549</f>
        <v>2.4813010983040104E-2</v>
      </c>
      <c r="E569" s="740">
        <f t="shared" si="635"/>
        <v>2.6901020158898181E-2</v>
      </c>
      <c r="F569" s="740">
        <f t="shared" si="635"/>
        <v>2.7638414789159314E-2</v>
      </c>
      <c r="G569" s="407"/>
      <c r="H569" s="407"/>
      <c r="I569" s="407"/>
      <c r="J569" s="407">
        <f t="shared" si="635"/>
        <v>2.5041210613785145E-2</v>
      </c>
      <c r="K569" s="740">
        <f t="shared" si="635"/>
        <v>2.5041210613785145E-2</v>
      </c>
      <c r="L569" s="407">
        <f t="shared" si="635"/>
        <v>2.1563598156421619E-2</v>
      </c>
      <c r="M569" s="407">
        <f t="shared" si="635"/>
        <v>2.1147317663848465E-2</v>
      </c>
      <c r="N569" s="407">
        <f t="shared" si="635"/>
        <v>2.549052490357203E-2</v>
      </c>
      <c r="O569" s="407">
        <f t="shared" si="635"/>
        <v>2.3530011729307972E-2</v>
      </c>
      <c r="P569" s="740">
        <f t="shared" si="635"/>
        <v>2.3530011729307972E-2</v>
      </c>
      <c r="Q569" s="407">
        <f t="shared" si="635"/>
        <v>2.2966865185694494E-2</v>
      </c>
      <c r="R569" s="407">
        <f t="shared" si="635"/>
        <v>2.5943986622475441E-2</v>
      </c>
      <c r="S569" s="407">
        <f t="shared" si="635"/>
        <v>2.8625447050733027E-2</v>
      </c>
      <c r="T569" s="407">
        <f t="shared" si="635"/>
        <v>3.0275525557538721E-2</v>
      </c>
      <c r="U569" s="740">
        <f t="shared" si="635"/>
        <v>3.0275525557538728E-2</v>
      </c>
      <c r="V569" s="407">
        <f t="shared" si="635"/>
        <v>3.3767293784186574E-2</v>
      </c>
      <c r="W569" s="407">
        <f t="shared" si="635"/>
        <v>3.746396528529379E-2</v>
      </c>
      <c r="X569" s="407">
        <f t="shared" si="635"/>
        <v>3.1562839626171187E-2</v>
      </c>
      <c r="Y569" s="407">
        <f t="shared" si="635"/>
        <v>3.5259328446070048E-2</v>
      </c>
      <c r="Z569" s="740">
        <f t="shared" si="635"/>
        <v>3.5259328446070042E-2</v>
      </c>
      <c r="AA569" s="407">
        <f t="shared" ref="AA569:AM569" si="636">AA551/AA549</f>
        <v>3.5272147100075049E-2</v>
      </c>
      <c r="AB569" s="407">
        <f t="shared" si="636"/>
        <v>2.9342359989461268E-2</v>
      </c>
      <c r="AC569" s="407">
        <f t="shared" si="636"/>
        <v>3.4008744780897181E-2</v>
      </c>
      <c r="AD569" s="407">
        <f t="shared" si="636"/>
        <v>3.2352891327805597E-2</v>
      </c>
      <c r="AE569" s="740">
        <f t="shared" si="636"/>
        <v>3.2352891327805597E-2</v>
      </c>
      <c r="AF569" s="407">
        <f t="shared" si="636"/>
        <v>3.2621597346319212E-2</v>
      </c>
      <c r="AG569" s="407">
        <f t="shared" si="636"/>
        <v>3.1989921112745304E-2</v>
      </c>
      <c r="AH569" s="407">
        <f t="shared" si="636"/>
        <v>3.4904359602612782E-2</v>
      </c>
      <c r="AI569" s="407">
        <f t="shared" si="636"/>
        <v>3.9355749442998793E-2</v>
      </c>
      <c r="AJ569" s="740">
        <f t="shared" si="636"/>
        <v>3.9355749442998793E-2</v>
      </c>
      <c r="AK569" s="407">
        <f t="shared" si="636"/>
        <v>4.1651352508553827E-2</v>
      </c>
      <c r="AL569" s="407">
        <f t="shared" si="636"/>
        <v>3.8761191419582557E-2</v>
      </c>
      <c r="AM569" s="741">
        <f t="shared" si="636"/>
        <v>4.2887483709031234E-2</v>
      </c>
      <c r="AN569" s="743">
        <v>4.1000000000000002E-2</v>
      </c>
      <c r="AO569" s="742">
        <f t="shared" ref="AO569" si="637">AO551/AO549</f>
        <v>4.1000000000000002E-2</v>
      </c>
      <c r="AP569" s="743">
        <v>4.1000000000000002E-2</v>
      </c>
      <c r="AQ569" s="743">
        <v>4.1000000000000002E-2</v>
      </c>
      <c r="AR569" s="743">
        <v>4.1000000000000002E-2</v>
      </c>
      <c r="AS569" s="743">
        <v>4.1000000000000002E-2</v>
      </c>
      <c r="AT569" s="742">
        <f t="shared" ref="AT569" si="638">AT551/AT549</f>
        <v>4.1000000000000002E-2</v>
      </c>
      <c r="AU569" s="744">
        <v>4.1000000000000002E-2</v>
      </c>
      <c r="AV569" s="744">
        <v>4.1000000000000002E-2</v>
      </c>
      <c r="AW569" s="744">
        <v>4.1000000000000002E-2</v>
      </c>
      <c r="AX569" s="182"/>
    </row>
    <row r="570" spans="1:50" s="202" customFormat="1" x14ac:dyDescent="0.45">
      <c r="A570" s="710" t="s">
        <v>585</v>
      </c>
      <c r="B570" s="739"/>
      <c r="C570" s="740">
        <f>C552/C549</f>
        <v>3.0673963627142222E-2</v>
      </c>
      <c r="D570" s="740">
        <f t="shared" ref="D570:Z570" si="639">D552/D549</f>
        <v>2.8998508615786033E-2</v>
      </c>
      <c r="E570" s="740">
        <f t="shared" si="639"/>
        <v>2.7615247711331087E-2</v>
      </c>
      <c r="F570" s="740">
        <f t="shared" si="639"/>
        <v>2.5889285551323363E-2</v>
      </c>
      <c r="G570" s="407"/>
      <c r="H570" s="407"/>
      <c r="I570" s="407"/>
      <c r="J570" s="407">
        <f t="shared" si="639"/>
        <v>3.587628495031113E-2</v>
      </c>
      <c r="K570" s="740">
        <f t="shared" si="639"/>
        <v>3.587628495031113E-2</v>
      </c>
      <c r="L570" s="407">
        <f t="shared" si="639"/>
        <v>3.0668915220116898E-2</v>
      </c>
      <c r="M570" s="407">
        <f t="shared" si="639"/>
        <v>3.4486561290462084E-2</v>
      </c>
      <c r="N570" s="407">
        <f t="shared" si="639"/>
        <v>4.1061546201576392E-2</v>
      </c>
      <c r="O570" s="407">
        <f t="shared" si="639"/>
        <v>4.9061145392421839E-2</v>
      </c>
      <c r="P570" s="740">
        <f t="shared" si="639"/>
        <v>4.9061145392421845E-2</v>
      </c>
      <c r="Q570" s="407">
        <f t="shared" si="639"/>
        <v>3.1638338102508622E-2</v>
      </c>
      <c r="R570" s="407">
        <f t="shared" si="639"/>
        <v>3.2684817110414648E-2</v>
      </c>
      <c r="S570" s="407">
        <f t="shared" si="639"/>
        <v>3.3157319257616842E-2</v>
      </c>
      <c r="T570" s="407">
        <f t="shared" si="639"/>
        <v>3.7910399876542454E-2</v>
      </c>
      <c r="U570" s="740">
        <f t="shared" si="639"/>
        <v>3.7910399876542461E-2</v>
      </c>
      <c r="V570" s="407">
        <f t="shared" si="639"/>
        <v>2.8947165382788041E-2</v>
      </c>
      <c r="W570" s="407">
        <f t="shared" si="639"/>
        <v>3.0733439203746601E-2</v>
      </c>
      <c r="X570" s="407">
        <f t="shared" si="639"/>
        <v>3.6860265544361982E-2</v>
      </c>
      <c r="Y570" s="407">
        <f t="shared" si="639"/>
        <v>4.8100167966971738E-2</v>
      </c>
      <c r="Z570" s="740">
        <f t="shared" si="639"/>
        <v>4.8100167966971731E-2</v>
      </c>
      <c r="AA570" s="407">
        <f t="shared" ref="AA570:AM570" si="640">AA552/AA549</f>
        <v>2.7757788791548419E-2</v>
      </c>
      <c r="AB570" s="407">
        <f t="shared" si="640"/>
        <v>3.3605584002504865E-2</v>
      </c>
      <c r="AC570" s="407">
        <f t="shared" si="640"/>
        <v>4.1502646746103794E-2</v>
      </c>
      <c r="AD570" s="407">
        <f t="shared" si="640"/>
        <v>5.2559324619269744E-2</v>
      </c>
      <c r="AE570" s="740">
        <f t="shared" si="640"/>
        <v>5.2559324619269744E-2</v>
      </c>
      <c r="AF570" s="407">
        <f t="shared" si="640"/>
        <v>3.2940369062642388E-2</v>
      </c>
      <c r="AG570" s="407">
        <f t="shared" si="640"/>
        <v>3.5564235015847129E-2</v>
      </c>
      <c r="AH570" s="407">
        <f t="shared" si="640"/>
        <v>4.5606728496707612E-2</v>
      </c>
      <c r="AI570" s="407">
        <f t="shared" si="640"/>
        <v>4.8496427444332947E-2</v>
      </c>
      <c r="AJ570" s="740">
        <f t="shared" si="640"/>
        <v>4.8496427444332947E-2</v>
      </c>
      <c r="AK570" s="407">
        <f t="shared" si="640"/>
        <v>3.2635260328057684E-2</v>
      </c>
      <c r="AL570" s="407">
        <f t="shared" si="640"/>
        <v>4.1042257070269234E-2</v>
      </c>
      <c r="AM570" s="741">
        <f t="shared" si="640"/>
        <v>4.6986681320803067E-2</v>
      </c>
      <c r="AN570" s="743">
        <v>0.04</v>
      </c>
      <c r="AO570" s="742">
        <f t="shared" ref="AO570" si="641">AO552/AO549</f>
        <v>0.04</v>
      </c>
      <c r="AP570" s="743">
        <v>0.04</v>
      </c>
      <c r="AQ570" s="743">
        <v>0.04</v>
      </c>
      <c r="AR570" s="743">
        <v>0.04</v>
      </c>
      <c r="AS570" s="743">
        <v>0.04</v>
      </c>
      <c r="AT570" s="742">
        <f t="shared" ref="AT570" si="642">AT552/AT549</f>
        <v>0.04</v>
      </c>
      <c r="AU570" s="744">
        <v>0.04</v>
      </c>
      <c r="AV570" s="744">
        <v>0.04</v>
      </c>
      <c r="AW570" s="744">
        <v>0.04</v>
      </c>
      <c r="AX570" s="182"/>
    </row>
    <row r="571" spans="1:50" s="202" customFormat="1" x14ac:dyDescent="0.45">
      <c r="A571" s="710" t="s">
        <v>586</v>
      </c>
      <c r="B571" s="739"/>
      <c r="C571" s="740">
        <f>C553/C549</f>
        <v>5.558392247036608E-2</v>
      </c>
      <c r="D571" s="740">
        <f t="shared" ref="D571:Z571" si="643">D553/D549</f>
        <v>8.2962845572400051E-2</v>
      </c>
      <c r="E571" s="740">
        <f t="shared" si="643"/>
        <v>4.5524445426733513E-2</v>
      </c>
      <c r="F571" s="740">
        <f t="shared" si="643"/>
        <v>5.759741346155936E-2</v>
      </c>
      <c r="G571" s="407"/>
      <c r="H571" s="407"/>
      <c r="I571" s="407"/>
      <c r="J571" s="407">
        <f t="shared" si="643"/>
        <v>4.805618586492813E-2</v>
      </c>
      <c r="K571" s="740">
        <f t="shared" si="643"/>
        <v>4.805618586492813E-2</v>
      </c>
      <c r="L571" s="407">
        <f t="shared" si="643"/>
        <v>4.5506719172155603E-2</v>
      </c>
      <c r="M571" s="407">
        <f t="shared" si="643"/>
        <v>6.792440590741021E-2</v>
      </c>
      <c r="N571" s="407">
        <f t="shared" si="643"/>
        <v>7.107580077142378E-2</v>
      </c>
      <c r="O571" s="407">
        <f t="shared" si="643"/>
        <v>6.9200877148248255E-2</v>
      </c>
      <c r="P571" s="740">
        <f t="shared" si="643"/>
        <v>6.9200877148248255E-2</v>
      </c>
      <c r="Q571" s="407">
        <f t="shared" si="643"/>
        <v>7.4876389043367478E-2</v>
      </c>
      <c r="R571" s="407">
        <f t="shared" si="643"/>
        <v>7.5284622855941286E-2</v>
      </c>
      <c r="S571" s="407">
        <f t="shared" si="643"/>
        <v>7.8252896320744572E-2</v>
      </c>
      <c r="T571" s="407">
        <f t="shared" si="643"/>
        <v>0.10201085532928439</v>
      </c>
      <c r="U571" s="740">
        <f t="shared" si="643"/>
        <v>0.10201085532928442</v>
      </c>
      <c r="V571" s="407">
        <f t="shared" si="643"/>
        <v>0.10691995013380222</v>
      </c>
      <c r="W571" s="407">
        <f t="shared" si="643"/>
        <v>0.10263495948939441</v>
      </c>
      <c r="X571" s="407">
        <f t="shared" si="643"/>
        <v>8.7771775172176242E-2</v>
      </c>
      <c r="Y571" s="407">
        <f t="shared" si="643"/>
        <v>9.1783354002166306E-2</v>
      </c>
      <c r="Z571" s="740">
        <f t="shared" si="643"/>
        <v>9.1783354002166292E-2</v>
      </c>
      <c r="AA571" s="407">
        <f t="shared" ref="AA571:AM571" si="644">AA553/AA549</f>
        <v>6.2927686600133897E-2</v>
      </c>
      <c r="AB571" s="407">
        <f t="shared" si="644"/>
        <v>6.0928019672306426E-2</v>
      </c>
      <c r="AC571" s="407">
        <f t="shared" si="644"/>
        <v>5.714810975135938E-2</v>
      </c>
      <c r="AD571" s="407">
        <f t="shared" si="644"/>
        <v>9.0989211308823217E-2</v>
      </c>
      <c r="AE571" s="740">
        <f t="shared" si="644"/>
        <v>9.0989211308823217E-2</v>
      </c>
      <c r="AF571" s="407">
        <f t="shared" si="644"/>
        <v>0.11638355362959101</v>
      </c>
      <c r="AG571" s="407">
        <f t="shared" si="644"/>
        <v>8.2640472607912074E-2</v>
      </c>
      <c r="AH571" s="407">
        <f t="shared" si="644"/>
        <v>7.8485296031597832E-2</v>
      </c>
      <c r="AI571" s="407">
        <f t="shared" si="644"/>
        <v>7.7600331082651602E-2</v>
      </c>
      <c r="AJ571" s="740">
        <f t="shared" si="644"/>
        <v>7.7600331082651602E-2</v>
      </c>
      <c r="AK571" s="407">
        <f t="shared" si="644"/>
        <v>7.8456484425027576E-2</v>
      </c>
      <c r="AL571" s="407">
        <f t="shared" si="644"/>
        <v>7.8126028407071488E-2</v>
      </c>
      <c r="AM571" s="741">
        <f t="shared" si="644"/>
        <v>7.2276205717341016E-2</v>
      </c>
      <c r="AN571" s="743">
        <v>7.5999999999999998E-2</v>
      </c>
      <c r="AO571" s="742">
        <f t="shared" ref="AO571" si="645">AO553/AO549</f>
        <v>7.5999999999999998E-2</v>
      </c>
      <c r="AP571" s="743">
        <v>7.5999999999999998E-2</v>
      </c>
      <c r="AQ571" s="743">
        <v>7.5999999999999998E-2</v>
      </c>
      <c r="AR571" s="743">
        <v>7.5999999999999998E-2</v>
      </c>
      <c r="AS571" s="743">
        <v>7.5999999999999998E-2</v>
      </c>
      <c r="AT571" s="742">
        <f t="shared" ref="AT571" si="646">AT553/AT549</f>
        <v>7.5999999999999998E-2</v>
      </c>
      <c r="AU571" s="744">
        <v>7.5999999999999998E-2</v>
      </c>
      <c r="AV571" s="744">
        <v>7.5999999999999998E-2</v>
      </c>
      <c r="AW571" s="744">
        <v>7.5999999999999998E-2</v>
      </c>
      <c r="AX571" s="182"/>
    </row>
    <row r="572" spans="1:50" s="7" customFormat="1" x14ac:dyDescent="0.45">
      <c r="A572" s="54"/>
      <c r="B572" s="69"/>
      <c r="C572" s="851"/>
      <c r="D572" s="851"/>
      <c r="E572" s="851"/>
      <c r="F572" s="851"/>
      <c r="G572" s="852"/>
      <c r="H572" s="852"/>
      <c r="I572" s="852"/>
      <c r="J572" s="852"/>
      <c r="K572" s="851"/>
      <c r="L572" s="852"/>
      <c r="M572" s="852"/>
      <c r="N572" s="852"/>
      <c r="O572" s="852"/>
      <c r="P572" s="851"/>
      <c r="Q572" s="852"/>
      <c r="R572" s="852"/>
      <c r="S572" s="852"/>
      <c r="T572" s="852"/>
      <c r="U572" s="851"/>
      <c r="V572" s="852"/>
      <c r="W572" s="852"/>
      <c r="X572" s="852"/>
      <c r="Y572" s="852"/>
      <c r="Z572" s="851"/>
      <c r="AA572" s="852"/>
      <c r="AB572" s="852"/>
      <c r="AC572" s="852"/>
      <c r="AD572" s="852"/>
      <c r="AE572" s="851"/>
      <c r="AF572" s="852"/>
      <c r="AG572" s="852"/>
      <c r="AH572" s="852"/>
      <c r="AI572" s="852"/>
      <c r="AJ572" s="851"/>
      <c r="AK572" s="852"/>
      <c r="AL572" s="852"/>
      <c r="AM572" s="853"/>
      <c r="AN572" s="854"/>
      <c r="AO572" s="855"/>
      <c r="AP572" s="854"/>
      <c r="AQ572" s="854"/>
      <c r="AR572" s="854"/>
      <c r="AS572" s="854"/>
      <c r="AT572" s="855"/>
      <c r="AU572" s="855"/>
      <c r="AV572" s="855"/>
      <c r="AW572" s="855"/>
      <c r="AX572" s="795"/>
    </row>
    <row r="573" spans="1:50" s="7" customFormat="1" x14ac:dyDescent="0.45">
      <c r="A573" s="790" t="s">
        <v>167</v>
      </c>
      <c r="B573" s="790"/>
      <c r="C573" s="812"/>
      <c r="D573" s="812"/>
      <c r="E573" s="812"/>
      <c r="F573" s="812"/>
      <c r="G573" s="812"/>
      <c r="H573" s="812"/>
      <c r="I573" s="812"/>
      <c r="J573" s="812"/>
      <c r="K573" s="812"/>
      <c r="L573" s="812"/>
      <c r="M573" s="812"/>
      <c r="N573" s="812"/>
      <c r="O573" s="812"/>
      <c r="P573" s="812"/>
      <c r="Q573" s="812"/>
      <c r="R573" s="812"/>
      <c r="S573" s="812"/>
      <c r="T573" s="812"/>
      <c r="U573" s="812"/>
      <c r="V573" s="812"/>
      <c r="W573" s="812"/>
      <c r="X573" s="812"/>
      <c r="Y573" s="812"/>
      <c r="Z573" s="812"/>
      <c r="AA573" s="812"/>
      <c r="AB573" s="812"/>
      <c r="AC573" s="812"/>
      <c r="AD573" s="812"/>
      <c r="AE573" s="812"/>
      <c r="AF573" s="812"/>
      <c r="AG573" s="812"/>
      <c r="AH573" s="812"/>
      <c r="AI573" s="812"/>
      <c r="AJ573" s="812"/>
      <c r="AK573" s="812"/>
      <c r="AL573" s="812"/>
      <c r="AM573" s="813"/>
      <c r="AN573" s="814"/>
      <c r="AO573" s="814"/>
      <c r="AP573" s="814"/>
      <c r="AQ573" s="814"/>
      <c r="AR573" s="814"/>
      <c r="AS573" s="814"/>
      <c r="AT573" s="814"/>
      <c r="AU573" s="814"/>
      <c r="AV573" s="814"/>
      <c r="AW573" s="814"/>
      <c r="AX573" s="795"/>
    </row>
    <row r="574" spans="1:50" s="7" customFormat="1" x14ac:dyDescent="0.45">
      <c r="A574" s="54" t="s">
        <v>168</v>
      </c>
      <c r="B574" s="69"/>
      <c r="C574" s="851"/>
      <c r="D574" s="851"/>
      <c r="E574" s="851"/>
      <c r="F574" s="851"/>
      <c r="G574" s="852"/>
      <c r="H574" s="852"/>
      <c r="I574" s="852"/>
      <c r="J574" s="852"/>
      <c r="K574" s="851"/>
      <c r="L574" s="852"/>
      <c r="M574" s="852"/>
      <c r="N574" s="852"/>
      <c r="O574" s="852"/>
      <c r="P574" s="851"/>
      <c r="Q574" s="852"/>
      <c r="R574" s="852"/>
      <c r="S574" s="852"/>
      <c r="T574" s="852"/>
      <c r="U574" s="851"/>
      <c r="V574" s="852"/>
      <c r="W574" s="852"/>
      <c r="X574" s="852"/>
      <c r="Y574" s="852"/>
      <c r="Z574" s="851"/>
      <c r="AA574" s="852"/>
      <c r="AB574" s="852"/>
      <c r="AC574" s="852"/>
      <c r="AD574" s="852"/>
      <c r="AE574" s="851"/>
      <c r="AF574" s="852"/>
      <c r="AG574" s="852"/>
      <c r="AH574" s="852"/>
      <c r="AI574" s="852"/>
      <c r="AJ574" s="851"/>
      <c r="AK574" s="852"/>
      <c r="AL574" s="852"/>
      <c r="AM574" s="853"/>
      <c r="AN574" s="854"/>
      <c r="AO574" s="855"/>
      <c r="AP574" s="854"/>
      <c r="AQ574" s="854"/>
      <c r="AR574" s="854"/>
      <c r="AS574" s="854"/>
      <c r="AT574" s="855"/>
      <c r="AU574" s="855"/>
      <c r="AV574" s="855"/>
      <c r="AW574" s="855"/>
      <c r="AX574" s="795"/>
    </row>
    <row r="575" spans="1:50" s="29" customFormat="1" x14ac:dyDescent="0.45">
      <c r="A575" s="61" t="s">
        <v>169</v>
      </c>
      <c r="B575" s="147"/>
      <c r="C575" s="840">
        <v>84.611000000000004</v>
      </c>
      <c r="D575" s="840">
        <v>116.617</v>
      </c>
      <c r="E575" s="840">
        <v>134.44399999999999</v>
      </c>
      <c r="F575" s="840">
        <v>105.999</v>
      </c>
      <c r="G575" s="841">
        <v>118.212</v>
      </c>
      <c r="H575" s="841">
        <v>72.816000000000003</v>
      </c>
      <c r="I575" s="841">
        <v>82.100999999999999</v>
      </c>
      <c r="J575" s="841">
        <f t="shared" ref="J575:J582" si="647">K575</f>
        <v>103.145</v>
      </c>
      <c r="K575" s="840">
        <v>103.145</v>
      </c>
      <c r="L575" s="841">
        <v>107.748</v>
      </c>
      <c r="M575" s="841">
        <v>114.98</v>
      </c>
      <c r="N575" s="841">
        <v>113.64</v>
      </c>
      <c r="O575" s="841">
        <f t="shared" ref="O575:O582" si="648">P575</f>
        <v>118.99299999999999</v>
      </c>
      <c r="P575" s="840">
        <v>118.99299999999999</v>
      </c>
      <c r="Q575" s="841">
        <v>104.85899999999999</v>
      </c>
      <c r="R575" s="841">
        <v>98.647000000000006</v>
      </c>
      <c r="S575" s="841">
        <v>92.647999999999996</v>
      </c>
      <c r="T575" s="841">
        <f t="shared" ref="T575:T582" si="649">U575</f>
        <v>27.175999999999998</v>
      </c>
      <c r="U575" s="840">
        <v>27.175999999999998</v>
      </c>
      <c r="V575" s="841">
        <v>26.349</v>
      </c>
      <c r="W575" s="841">
        <v>26.245999999999999</v>
      </c>
      <c r="X575" s="861">
        <v>23.994</v>
      </c>
      <c r="Y575" s="841">
        <f t="shared" ref="Y575:Y582" si="650">Z575</f>
        <v>37.673000000000002</v>
      </c>
      <c r="Z575" s="840">
        <v>37.673000000000002</v>
      </c>
      <c r="AA575" s="841">
        <v>23.337</v>
      </c>
      <c r="AB575" s="841">
        <v>26.553000000000001</v>
      </c>
      <c r="AC575" s="861">
        <v>23.359000000000002</v>
      </c>
      <c r="AD575" s="841">
        <f t="shared" ref="AD575:AD582" si="651">AE575</f>
        <v>28.844999999999999</v>
      </c>
      <c r="AE575" s="840">
        <v>28.844999999999999</v>
      </c>
      <c r="AF575" s="841">
        <v>26.544</v>
      </c>
      <c r="AG575" s="841">
        <v>32.387</v>
      </c>
      <c r="AH575" s="861">
        <v>30.053999999999998</v>
      </c>
      <c r="AI575" s="841">
        <f t="shared" ref="AI575:AI582" si="652">AJ575</f>
        <v>33.079000000000001</v>
      </c>
      <c r="AJ575" s="840">
        <v>33.079000000000001</v>
      </c>
      <c r="AK575" s="841">
        <v>28.606999999999999</v>
      </c>
      <c r="AL575" s="841">
        <v>42.93</v>
      </c>
      <c r="AM575" s="842">
        <v>26.79</v>
      </c>
      <c r="AN575" s="862">
        <f ca="1">AM575+AN541</f>
        <v>36.442703115349744</v>
      </c>
      <c r="AO575" s="844">
        <f ca="1">AN575</f>
        <v>36.442703115349744</v>
      </c>
      <c r="AP575" s="862">
        <f ca="1">AO575+AP541</f>
        <v>48.244367848811002</v>
      </c>
      <c r="AQ575" s="862">
        <f ca="1">AP575+AQ541</f>
        <v>63.30288953115754</v>
      </c>
      <c r="AR575" s="862">
        <f ca="1">AQ575+AR541</f>
        <v>76.847766110181354</v>
      </c>
      <c r="AS575" s="862">
        <f ca="1">AR575+AS541</f>
        <v>90.321745020718026</v>
      </c>
      <c r="AT575" s="844">
        <f ca="1">AS575</f>
        <v>90.321745020718026</v>
      </c>
      <c r="AU575" s="863">
        <f ca="1">AT575+AU541</f>
        <v>147.1652708244838</v>
      </c>
      <c r="AV575" s="863">
        <f ca="1">AU575+AV541</f>
        <v>204.38712478446701</v>
      </c>
      <c r="AW575" s="863">
        <f ca="1">AV575+AW541</f>
        <v>264.16191583222962</v>
      </c>
      <c r="AX575" s="793"/>
    </row>
    <row r="576" spans="1:50" s="29" customFormat="1" x14ac:dyDescent="0.45">
      <c r="A576" s="61" t="s">
        <v>170</v>
      </c>
      <c r="B576" s="147"/>
      <c r="C576" s="840">
        <v>2.339</v>
      </c>
      <c r="D576" s="840">
        <v>3.7869999999999999</v>
      </c>
      <c r="E576" s="840">
        <v>1.962</v>
      </c>
      <c r="F576" s="840">
        <v>5.4880000000000004</v>
      </c>
      <c r="G576" s="841">
        <v>3.6469999999999998</v>
      </c>
      <c r="H576" s="841">
        <v>3.4980000000000002</v>
      </c>
      <c r="I576" s="841">
        <v>4.0789999999999997</v>
      </c>
      <c r="J576" s="841">
        <f t="shared" si="647"/>
        <v>4.351</v>
      </c>
      <c r="K576" s="840">
        <v>4.351</v>
      </c>
      <c r="L576" s="841">
        <v>2.605</v>
      </c>
      <c r="M576" s="841">
        <v>2.4449999999999998</v>
      </c>
      <c r="N576" s="841">
        <v>2.33</v>
      </c>
      <c r="O576" s="841">
        <f t="shared" si="648"/>
        <v>2.419</v>
      </c>
      <c r="P576" s="840">
        <v>2.419</v>
      </c>
      <c r="Q576" s="841">
        <v>3.7650000000000001</v>
      </c>
      <c r="R576" s="841">
        <v>3.9820000000000002</v>
      </c>
      <c r="S576" s="841">
        <v>4.452</v>
      </c>
      <c r="T576" s="841">
        <f t="shared" si="649"/>
        <v>5.32</v>
      </c>
      <c r="U576" s="840">
        <v>5.32</v>
      </c>
      <c r="V576" s="841">
        <v>4.8419999999999996</v>
      </c>
      <c r="W576" s="841">
        <v>4.4580000000000002</v>
      </c>
      <c r="X576" s="861">
        <v>4.6470000000000002</v>
      </c>
      <c r="Y576" s="841">
        <f t="shared" si="650"/>
        <v>4.9160000000000004</v>
      </c>
      <c r="Z576" s="840">
        <v>4.9160000000000004</v>
      </c>
      <c r="AA576" s="841">
        <v>5.915</v>
      </c>
      <c r="AB576" s="841">
        <v>6.4880000000000004</v>
      </c>
      <c r="AC576" s="861">
        <v>3.3929999999999998</v>
      </c>
      <c r="AD576" s="841">
        <f t="shared" si="651"/>
        <v>2.3730000000000002</v>
      </c>
      <c r="AE576" s="840">
        <v>2.3730000000000002</v>
      </c>
      <c r="AF576" s="841">
        <v>7.52</v>
      </c>
      <c r="AG576" s="841">
        <v>7.3310000000000004</v>
      </c>
      <c r="AH576" s="861">
        <v>7.3890000000000002</v>
      </c>
      <c r="AI576" s="841">
        <f t="shared" si="652"/>
        <v>1.4430000000000001</v>
      </c>
      <c r="AJ576" s="840">
        <v>1.4430000000000001</v>
      </c>
      <c r="AK576" s="841">
        <v>8.1829999999999998</v>
      </c>
      <c r="AL576" s="841">
        <v>7.5010000000000003</v>
      </c>
      <c r="AM576" s="842">
        <v>5.6959999999999997</v>
      </c>
      <c r="AN576" s="862">
        <f>AM576</f>
        <v>5.6959999999999997</v>
      </c>
      <c r="AO576" s="844">
        <f t="shared" ref="AO576" si="653">AN576</f>
        <v>5.6959999999999997</v>
      </c>
      <c r="AP576" s="862">
        <f t="shared" ref="AP576:AT576" si="654">AO576</f>
        <v>5.6959999999999997</v>
      </c>
      <c r="AQ576" s="862">
        <f t="shared" si="654"/>
        <v>5.6959999999999997</v>
      </c>
      <c r="AR576" s="862">
        <f t="shared" si="654"/>
        <v>5.6959999999999997</v>
      </c>
      <c r="AS576" s="862">
        <f t="shared" si="654"/>
        <v>5.6959999999999997</v>
      </c>
      <c r="AT576" s="844">
        <f t="shared" si="654"/>
        <v>5.6959999999999997</v>
      </c>
      <c r="AU576" s="863">
        <f t="shared" ref="AU576:AW576" si="655">AT576</f>
        <v>5.6959999999999997</v>
      </c>
      <c r="AV576" s="863">
        <f t="shared" si="655"/>
        <v>5.6959999999999997</v>
      </c>
      <c r="AW576" s="863">
        <f t="shared" si="655"/>
        <v>5.6959999999999997</v>
      </c>
      <c r="AX576" s="793"/>
    </row>
    <row r="577" spans="1:50" s="29" customFormat="1" x14ac:dyDescent="0.45">
      <c r="A577" s="61" t="s">
        <v>171</v>
      </c>
      <c r="B577" s="147"/>
      <c r="C577" s="840">
        <v>7.1580000000000004</v>
      </c>
      <c r="D577" s="840">
        <v>1.1200000000000001</v>
      </c>
      <c r="E577" s="840">
        <v>4.9870000000000001</v>
      </c>
      <c r="F577" s="840">
        <v>12.012</v>
      </c>
      <c r="G577" s="841">
        <v>11.814</v>
      </c>
      <c r="H577" s="841">
        <v>11.489000000000001</v>
      </c>
      <c r="I577" s="841">
        <v>11.888</v>
      </c>
      <c r="J577" s="841">
        <f t="shared" si="647"/>
        <v>10.656000000000001</v>
      </c>
      <c r="K577" s="840">
        <v>10.656000000000001</v>
      </c>
      <c r="L577" s="841">
        <v>8.6869999999999994</v>
      </c>
      <c r="M577" s="841">
        <v>8.5359999999999996</v>
      </c>
      <c r="N577" s="841">
        <v>11.182</v>
      </c>
      <c r="O577" s="841">
        <f t="shared" si="648"/>
        <v>11.592000000000001</v>
      </c>
      <c r="P577" s="840">
        <v>11.592000000000001</v>
      </c>
      <c r="Q577" s="841">
        <v>11.938000000000001</v>
      </c>
      <c r="R577" s="841">
        <v>12.13</v>
      </c>
      <c r="S577" s="841">
        <v>12.164999999999999</v>
      </c>
      <c r="T577" s="841">
        <f t="shared" si="649"/>
        <v>9.2970000000000006</v>
      </c>
      <c r="U577" s="840">
        <v>9.2970000000000006</v>
      </c>
      <c r="V577" s="841"/>
      <c r="W577" s="841"/>
      <c r="X577" s="861"/>
      <c r="Y577" s="841">
        <f t="shared" si="650"/>
        <v>0</v>
      </c>
      <c r="Z577" s="840"/>
      <c r="AA577" s="841"/>
      <c r="AB577" s="841"/>
      <c r="AC577" s="861"/>
      <c r="AD577" s="841">
        <f t="shared" si="651"/>
        <v>0</v>
      </c>
      <c r="AE577" s="840"/>
      <c r="AF577" s="841"/>
      <c r="AG577" s="841"/>
      <c r="AH577" s="861"/>
      <c r="AI577" s="841">
        <f t="shared" si="652"/>
        <v>0</v>
      </c>
      <c r="AJ577" s="840"/>
      <c r="AK577" s="841"/>
      <c r="AL577" s="841"/>
      <c r="AM577" s="842"/>
      <c r="AN577" s="862">
        <f>AM577</f>
        <v>0</v>
      </c>
      <c r="AO577" s="844">
        <f t="shared" ref="AO577" si="656">AN577</f>
        <v>0</v>
      </c>
      <c r="AP577" s="862">
        <f t="shared" ref="AP577:AT577" si="657">AO577</f>
        <v>0</v>
      </c>
      <c r="AQ577" s="862">
        <f t="shared" si="657"/>
        <v>0</v>
      </c>
      <c r="AR577" s="862">
        <f t="shared" si="657"/>
        <v>0</v>
      </c>
      <c r="AS577" s="862">
        <f t="shared" si="657"/>
        <v>0</v>
      </c>
      <c r="AT577" s="844">
        <f t="shared" si="657"/>
        <v>0</v>
      </c>
      <c r="AU577" s="863">
        <f t="shared" ref="AU577:AW577" si="658">AT577</f>
        <v>0</v>
      </c>
      <c r="AV577" s="863">
        <f t="shared" si="658"/>
        <v>0</v>
      </c>
      <c r="AW577" s="863">
        <f t="shared" si="658"/>
        <v>0</v>
      </c>
      <c r="AX577" s="793"/>
    </row>
    <row r="578" spans="1:50" s="29" customFormat="1" x14ac:dyDescent="0.45">
      <c r="A578" s="61" t="s">
        <v>172</v>
      </c>
      <c r="B578" s="147"/>
      <c r="C578" s="840">
        <v>107.458</v>
      </c>
      <c r="D578" s="840">
        <v>139.77199999999999</v>
      </c>
      <c r="E578" s="840">
        <v>145.756</v>
      </c>
      <c r="F578" s="840">
        <v>148.25700000000001</v>
      </c>
      <c r="G578" s="841">
        <v>138.94900000000001</v>
      </c>
      <c r="H578" s="841">
        <v>139.52600000000001</v>
      </c>
      <c r="I578" s="841">
        <v>126.298</v>
      </c>
      <c r="J578" s="841">
        <f t="shared" si="647"/>
        <v>113.268</v>
      </c>
      <c r="K578" s="840">
        <v>113.268</v>
      </c>
      <c r="L578" s="841">
        <v>111.842</v>
      </c>
      <c r="M578" s="841">
        <v>106.652</v>
      </c>
      <c r="N578" s="841">
        <v>105.879</v>
      </c>
      <c r="O578" s="841">
        <f t="shared" si="648"/>
        <v>107.669</v>
      </c>
      <c r="P578" s="840">
        <v>107.669</v>
      </c>
      <c r="Q578" s="841">
        <v>99.974000000000004</v>
      </c>
      <c r="R578" s="841">
        <v>98.393000000000001</v>
      </c>
      <c r="S578" s="841">
        <v>92.591999999999999</v>
      </c>
      <c r="T578" s="841">
        <f t="shared" si="649"/>
        <v>94.024000000000001</v>
      </c>
      <c r="U578" s="840">
        <v>94.024000000000001</v>
      </c>
      <c r="V578" s="841">
        <v>81.795000000000002</v>
      </c>
      <c r="W578" s="841">
        <v>78.406000000000006</v>
      </c>
      <c r="X578" s="861">
        <v>75.516000000000005</v>
      </c>
      <c r="Y578" s="841">
        <f t="shared" si="650"/>
        <v>83.406999999999996</v>
      </c>
      <c r="Z578" s="840">
        <v>83.406999999999996</v>
      </c>
      <c r="AA578" s="841">
        <v>81.605000000000004</v>
      </c>
      <c r="AB578" s="841">
        <v>81.712000000000003</v>
      </c>
      <c r="AC578" s="861">
        <v>79.415999999999997</v>
      </c>
      <c r="AD578" s="841">
        <f t="shared" si="651"/>
        <v>84.962000000000003</v>
      </c>
      <c r="AE578" s="840">
        <v>84.962000000000003</v>
      </c>
      <c r="AF578" s="841">
        <v>86.063999999999993</v>
      </c>
      <c r="AG578" s="841">
        <v>85.548000000000002</v>
      </c>
      <c r="AH578" s="861">
        <v>84.36</v>
      </c>
      <c r="AI578" s="841">
        <f t="shared" si="652"/>
        <v>87.459000000000003</v>
      </c>
      <c r="AJ578" s="840">
        <v>87.459000000000003</v>
      </c>
      <c r="AK578" s="841">
        <v>81.748000000000005</v>
      </c>
      <c r="AL578" s="841">
        <v>83.707999999999998</v>
      </c>
      <c r="AM578" s="842">
        <v>79.730999999999995</v>
      </c>
      <c r="AN578" s="862">
        <f>AN555</f>
        <v>81.815912617486333</v>
      </c>
      <c r="AO578" s="844">
        <f t="shared" ref="AO578" si="659">AN578</f>
        <v>81.815912617486333</v>
      </c>
      <c r="AP578" s="862">
        <f t="shared" ref="AP578:AS578" si="660">AP555</f>
        <v>82.228864644808695</v>
      </c>
      <c r="AQ578" s="862">
        <f t="shared" si="660"/>
        <v>82.829264327868856</v>
      </c>
      <c r="AR578" s="862">
        <f t="shared" si="660"/>
        <v>84.378810983606542</v>
      </c>
      <c r="AS578" s="862">
        <f t="shared" si="660"/>
        <v>85.433886509089007</v>
      </c>
      <c r="AT578" s="844">
        <f t="shared" ref="AN578:AT582" si="661">AS578</f>
        <v>85.433886509089007</v>
      </c>
      <c r="AU578" s="863">
        <f t="shared" ref="AU578:AW578" si="662">AU555</f>
        <v>86.82598569174715</v>
      </c>
      <c r="AV578" s="863">
        <f t="shared" si="662"/>
        <v>90.70929170086481</v>
      </c>
      <c r="AW578" s="863">
        <f t="shared" si="662"/>
        <v>91.882763855578219</v>
      </c>
      <c r="AX578" s="793"/>
    </row>
    <row r="579" spans="1:50" s="29" customFormat="1" x14ac:dyDescent="0.45">
      <c r="A579" s="61" t="s">
        <v>129</v>
      </c>
      <c r="B579" s="147"/>
      <c r="C579" s="840">
        <v>1.34</v>
      </c>
      <c r="D579" s="840">
        <v>1.9330000000000001</v>
      </c>
      <c r="E579" s="840">
        <v>1.242</v>
      </c>
      <c r="F579" s="840">
        <v>0.71</v>
      </c>
      <c r="G579" s="841">
        <v>0.98299999999999998</v>
      </c>
      <c r="H579" s="841">
        <v>0.996</v>
      </c>
      <c r="I579" s="841">
        <v>0.92800000000000005</v>
      </c>
      <c r="J579" s="841">
        <f t="shared" si="647"/>
        <v>0.83399999999999996</v>
      </c>
      <c r="K579" s="840">
        <v>0.83399999999999996</v>
      </c>
      <c r="L579" s="841">
        <v>0.755</v>
      </c>
      <c r="M579" s="841">
        <v>0.745</v>
      </c>
      <c r="N579" s="841">
        <v>0.66500000000000004</v>
      </c>
      <c r="O579" s="841">
        <f t="shared" si="648"/>
        <v>0.622</v>
      </c>
      <c r="P579" s="840">
        <v>0.622</v>
      </c>
      <c r="Q579" s="841">
        <v>0.64700000000000002</v>
      </c>
      <c r="R579" s="841">
        <v>0.64900000000000002</v>
      </c>
      <c r="S579" s="841">
        <v>0.66200000000000003</v>
      </c>
      <c r="T579" s="841">
        <f t="shared" si="649"/>
        <v>0.55500000000000005</v>
      </c>
      <c r="U579" s="840">
        <v>0.55500000000000005</v>
      </c>
      <c r="V579" s="841">
        <v>0.43</v>
      </c>
      <c r="W579" s="841">
        <v>0.35299999999999998</v>
      </c>
      <c r="X579" s="861">
        <v>0.252</v>
      </c>
      <c r="Y579" s="841">
        <f t="shared" si="650"/>
        <v>0.158</v>
      </c>
      <c r="Z579" s="840">
        <v>0.158</v>
      </c>
      <c r="AA579" s="841">
        <v>0.1</v>
      </c>
      <c r="AB579" s="841">
        <v>0.14699999999999999</v>
      </c>
      <c r="AC579" s="861">
        <v>0.154</v>
      </c>
      <c r="AD579" s="841">
        <f t="shared" si="651"/>
        <v>0.18</v>
      </c>
      <c r="AE579" s="840">
        <v>0.18</v>
      </c>
      <c r="AF579" s="841">
        <v>0.161</v>
      </c>
      <c r="AG579" s="841">
        <v>0.153</v>
      </c>
      <c r="AH579" s="861">
        <v>0.129</v>
      </c>
      <c r="AI579" s="841">
        <f t="shared" si="652"/>
        <v>0.12</v>
      </c>
      <c r="AJ579" s="840">
        <v>0.12</v>
      </c>
      <c r="AK579" s="841">
        <v>7.1999999999999995E-2</v>
      </c>
      <c r="AL579" s="841">
        <v>5.8000000000000003E-2</v>
      </c>
      <c r="AM579" s="842">
        <v>7.4999999999999997E-2</v>
      </c>
      <c r="AN579" s="862">
        <f>AN558</f>
        <v>0.13175678299453553</v>
      </c>
      <c r="AO579" s="844">
        <f t="shared" ref="AO579" si="663">AN579</f>
        <v>0.13175678299453553</v>
      </c>
      <c r="AP579" s="862">
        <f t="shared" ref="AP579:AS579" si="664">AP558</f>
        <v>0.18184619878142078</v>
      </c>
      <c r="AQ579" s="862">
        <f t="shared" si="664"/>
        <v>0.19874553434426223</v>
      </c>
      <c r="AR579" s="862">
        <f t="shared" si="664"/>
        <v>0.18329644909836063</v>
      </c>
      <c r="AS579" s="862">
        <f t="shared" si="664"/>
        <v>0.12843048718299871</v>
      </c>
      <c r="AT579" s="844">
        <f t="shared" si="661"/>
        <v>0.12843048718299871</v>
      </c>
      <c r="AU579" s="863">
        <f t="shared" ref="AU579:AW579" si="665">AU558</f>
        <v>0.14079547204396159</v>
      </c>
      <c r="AV579" s="863">
        <f t="shared" si="665"/>
        <v>0.13663576083961282</v>
      </c>
      <c r="AW579" s="863">
        <f t="shared" si="665"/>
        <v>0.14865488097403734</v>
      </c>
      <c r="AX579" s="793"/>
    </row>
    <row r="580" spans="1:50" s="29" customFormat="1" x14ac:dyDescent="0.45">
      <c r="A580" s="61" t="s">
        <v>130</v>
      </c>
      <c r="B580" s="147"/>
      <c r="C580" s="840">
        <v>2.9529999999999998</v>
      </c>
      <c r="D580" s="840"/>
      <c r="E580" s="840">
        <v>2.6280000000000001</v>
      </c>
      <c r="F580" s="840"/>
      <c r="G580" s="841"/>
      <c r="H580" s="841">
        <v>4.4660000000000002</v>
      </c>
      <c r="I580" s="841">
        <v>15.27</v>
      </c>
      <c r="J580" s="841">
        <f t="shared" si="647"/>
        <v>8.3659999999999997</v>
      </c>
      <c r="K580" s="840">
        <v>8.3659999999999997</v>
      </c>
      <c r="L580" s="841">
        <v>5.9989999999999997</v>
      </c>
      <c r="M580" s="841">
        <v>3.698</v>
      </c>
      <c r="N580" s="841">
        <v>3.391</v>
      </c>
      <c r="O580" s="841">
        <f t="shared" si="648"/>
        <v>3.1469999999999998</v>
      </c>
      <c r="P580" s="840">
        <v>3.1469999999999998</v>
      </c>
      <c r="Q580" s="841">
        <v>2.6619999999999999</v>
      </c>
      <c r="R580" s="841">
        <v>5.077</v>
      </c>
      <c r="S580" s="841">
        <v>10.565</v>
      </c>
      <c r="T580" s="841">
        <f t="shared" si="649"/>
        <v>32.709000000000003</v>
      </c>
      <c r="U580" s="840">
        <v>32.709000000000003</v>
      </c>
      <c r="V580" s="841">
        <v>33.020000000000003</v>
      </c>
      <c r="W580" s="841">
        <v>15.276</v>
      </c>
      <c r="X580" s="861">
        <v>14.481</v>
      </c>
      <c r="Y580" s="841">
        <f t="shared" si="650"/>
        <v>2.6789999999999998</v>
      </c>
      <c r="Z580" s="840">
        <v>2.6789999999999998</v>
      </c>
      <c r="AA580" s="841">
        <v>2.3029999999999999</v>
      </c>
      <c r="AB580" s="841">
        <v>2.871</v>
      </c>
      <c r="AC580" s="861">
        <v>4.0819999999999999</v>
      </c>
      <c r="AD580" s="841">
        <f t="shared" si="651"/>
        <v>8.1219999999999999</v>
      </c>
      <c r="AE580" s="840">
        <v>8.1219999999999999</v>
      </c>
      <c r="AF580" s="841">
        <v>7.6769999999999996</v>
      </c>
      <c r="AG580" s="841">
        <v>5.976</v>
      </c>
      <c r="AH580" s="861">
        <v>6.0609999999999999</v>
      </c>
      <c r="AI580" s="841">
        <f t="shared" si="652"/>
        <v>3.6819999999999999</v>
      </c>
      <c r="AJ580" s="840">
        <v>3.6819999999999999</v>
      </c>
      <c r="AK580" s="841">
        <v>2.8820000000000001</v>
      </c>
      <c r="AL580" s="841">
        <v>3.2719999999999998</v>
      </c>
      <c r="AM580" s="842">
        <v>5.4850000000000003</v>
      </c>
      <c r="AN580" s="862">
        <f t="shared" si="661"/>
        <v>5.4850000000000003</v>
      </c>
      <c r="AO580" s="844">
        <f t="shared" ref="AO580" si="666">AN580</f>
        <v>5.4850000000000003</v>
      </c>
      <c r="AP580" s="862">
        <f t="shared" si="661"/>
        <v>5.4850000000000003</v>
      </c>
      <c r="AQ580" s="862">
        <f t="shared" si="661"/>
        <v>5.4850000000000003</v>
      </c>
      <c r="AR580" s="862">
        <f t="shared" si="661"/>
        <v>5.4850000000000003</v>
      </c>
      <c r="AS580" s="862">
        <f t="shared" si="661"/>
        <v>5.4850000000000003</v>
      </c>
      <c r="AT580" s="844">
        <f t="shared" si="661"/>
        <v>5.4850000000000003</v>
      </c>
      <c r="AU580" s="863">
        <f t="shared" ref="AU580:AW580" si="667">AT580</f>
        <v>5.4850000000000003</v>
      </c>
      <c r="AV580" s="863">
        <f t="shared" si="667"/>
        <v>5.4850000000000003</v>
      </c>
      <c r="AW580" s="863">
        <f t="shared" si="667"/>
        <v>5.4850000000000003</v>
      </c>
      <c r="AX580" s="793"/>
    </row>
    <row r="581" spans="1:50" s="29" customFormat="1" x14ac:dyDescent="0.45">
      <c r="A581" s="61" t="s">
        <v>139</v>
      </c>
      <c r="B581" s="147"/>
      <c r="C581" s="840"/>
      <c r="D581" s="840"/>
      <c r="E581" s="840"/>
      <c r="F581" s="840"/>
      <c r="G581" s="841"/>
      <c r="H581" s="841"/>
      <c r="I581" s="841"/>
      <c r="J581" s="841">
        <f t="shared" si="647"/>
        <v>0</v>
      </c>
      <c r="K581" s="840"/>
      <c r="L581" s="841"/>
      <c r="M581" s="841"/>
      <c r="N581" s="841"/>
      <c r="O581" s="841">
        <f t="shared" si="648"/>
        <v>0</v>
      </c>
      <c r="P581" s="840"/>
      <c r="Q581" s="841"/>
      <c r="R581" s="841"/>
      <c r="S581" s="841"/>
      <c r="T581" s="841">
        <f t="shared" si="649"/>
        <v>0</v>
      </c>
      <c r="U581" s="840"/>
      <c r="V581" s="841"/>
      <c r="W581" s="841"/>
      <c r="X581" s="861"/>
      <c r="Y581" s="841">
        <f t="shared" si="650"/>
        <v>0</v>
      </c>
      <c r="Z581" s="840"/>
      <c r="AA581" s="841"/>
      <c r="AB581" s="841"/>
      <c r="AC581" s="861"/>
      <c r="AD581" s="841">
        <f t="shared" si="651"/>
        <v>0</v>
      </c>
      <c r="AE581" s="840"/>
      <c r="AF581" s="841">
        <v>10.448</v>
      </c>
      <c r="AG581" s="841">
        <v>10.253</v>
      </c>
      <c r="AH581" s="861">
        <v>11.281000000000001</v>
      </c>
      <c r="AI581" s="841">
        <f t="shared" si="652"/>
        <v>13.242000000000001</v>
      </c>
      <c r="AJ581" s="840">
        <v>13.242000000000001</v>
      </c>
      <c r="AK581" s="841">
        <v>12.039</v>
      </c>
      <c r="AL581" s="841">
        <v>11.973000000000001</v>
      </c>
      <c r="AM581" s="842">
        <v>12.488</v>
      </c>
      <c r="AN581" s="862">
        <f t="shared" si="661"/>
        <v>12.488</v>
      </c>
      <c r="AO581" s="844">
        <f t="shared" ref="AO581" si="668">AN581</f>
        <v>12.488</v>
      </c>
      <c r="AP581" s="862">
        <f t="shared" si="661"/>
        <v>12.488</v>
      </c>
      <c r="AQ581" s="862">
        <f t="shared" si="661"/>
        <v>12.488</v>
      </c>
      <c r="AR581" s="862">
        <f t="shared" si="661"/>
        <v>12.488</v>
      </c>
      <c r="AS581" s="862">
        <f t="shared" si="661"/>
        <v>12.488</v>
      </c>
      <c r="AT581" s="844">
        <f t="shared" si="661"/>
        <v>12.488</v>
      </c>
      <c r="AU581" s="863">
        <f t="shared" ref="AU581:AW581" si="669">AT581</f>
        <v>12.488</v>
      </c>
      <c r="AV581" s="863">
        <f t="shared" si="669"/>
        <v>12.488</v>
      </c>
      <c r="AW581" s="863">
        <f t="shared" si="669"/>
        <v>12.488</v>
      </c>
      <c r="AX581" s="793"/>
    </row>
    <row r="582" spans="1:50" s="29" customFormat="1" x14ac:dyDescent="0.45">
      <c r="A582" s="214" t="s">
        <v>173</v>
      </c>
      <c r="B582" s="215"/>
      <c r="C582" s="848">
        <v>8.6839999999999993</v>
      </c>
      <c r="D582" s="848">
        <v>8.7680000000000007</v>
      </c>
      <c r="E582" s="848">
        <v>11.563000000000001</v>
      </c>
      <c r="F582" s="848">
        <v>12.72</v>
      </c>
      <c r="G582" s="849">
        <v>10.561</v>
      </c>
      <c r="H582" s="849">
        <v>12.212</v>
      </c>
      <c r="I582" s="849">
        <v>12.048</v>
      </c>
      <c r="J582" s="849">
        <f t="shared" si="647"/>
        <v>11.135</v>
      </c>
      <c r="K582" s="848">
        <v>11.135</v>
      </c>
      <c r="L582" s="849">
        <v>9.7690000000000001</v>
      </c>
      <c r="M582" s="849">
        <v>9.7799999999999994</v>
      </c>
      <c r="N582" s="849">
        <v>12.16</v>
      </c>
      <c r="O582" s="849">
        <f t="shared" si="648"/>
        <v>11.535</v>
      </c>
      <c r="P582" s="848">
        <v>11.535</v>
      </c>
      <c r="Q582" s="849">
        <v>11.356999999999999</v>
      </c>
      <c r="R582" s="849">
        <v>12.955</v>
      </c>
      <c r="S582" s="849">
        <v>14.111000000000001</v>
      </c>
      <c r="T582" s="849">
        <f t="shared" si="649"/>
        <v>14.91</v>
      </c>
      <c r="U582" s="848">
        <v>14.91</v>
      </c>
      <c r="V582" s="849">
        <v>16.631</v>
      </c>
      <c r="W582" s="849">
        <v>18.518999999999998</v>
      </c>
      <c r="X582" s="864">
        <v>15.944000000000001</v>
      </c>
      <c r="Y582" s="849">
        <f t="shared" si="650"/>
        <v>17.969000000000001</v>
      </c>
      <c r="Z582" s="848">
        <v>17.969000000000001</v>
      </c>
      <c r="AA582" s="849">
        <v>18.283000000000001</v>
      </c>
      <c r="AB582" s="849">
        <v>15.369</v>
      </c>
      <c r="AC582" s="864">
        <v>17.943999999999999</v>
      </c>
      <c r="AD582" s="849">
        <f t="shared" si="651"/>
        <v>17.18</v>
      </c>
      <c r="AE582" s="848">
        <v>17.18</v>
      </c>
      <c r="AF582" s="849">
        <v>17.396999999999998</v>
      </c>
      <c r="AG582" s="849">
        <v>16.986999999999998</v>
      </c>
      <c r="AH582" s="864">
        <v>18.504999999999999</v>
      </c>
      <c r="AI582" s="849">
        <f t="shared" si="652"/>
        <v>20.826000000000001</v>
      </c>
      <c r="AJ582" s="848">
        <v>20.826000000000001</v>
      </c>
      <c r="AK582" s="849">
        <v>21.984999999999999</v>
      </c>
      <c r="AL582" s="849">
        <v>20.611999999999998</v>
      </c>
      <c r="AM582" s="850">
        <v>23.100999999999999</v>
      </c>
      <c r="AN582" s="864">
        <f>AN551</f>
        <v>22.24290139</v>
      </c>
      <c r="AO582" s="848">
        <f t="shared" ref="AO582" si="670">AN582</f>
        <v>22.24290139</v>
      </c>
      <c r="AP582" s="864">
        <f t="shared" ref="AP582:AS582" si="671">AP551</f>
        <v>22.451065974999999</v>
      </c>
      <c r="AQ582" s="864">
        <f t="shared" si="671"/>
        <v>22.636396634999997</v>
      </c>
      <c r="AR582" s="864">
        <f t="shared" si="671"/>
        <v>22.802146515</v>
      </c>
      <c r="AS582" s="864">
        <f t="shared" si="671"/>
        <v>22.962323338800001</v>
      </c>
      <c r="AT582" s="848">
        <f t="shared" si="661"/>
        <v>22.962323338800001</v>
      </c>
      <c r="AU582" s="865">
        <f t="shared" ref="AU582:AW582" si="672">AU551</f>
        <v>23.650174197114801</v>
      </c>
      <c r="AV582" s="865">
        <f t="shared" si="672"/>
        <v>24.374453451196679</v>
      </c>
      <c r="AW582" s="865">
        <f t="shared" si="672"/>
        <v>25.137398033761325</v>
      </c>
      <c r="AX582" s="793"/>
    </row>
    <row r="583" spans="1:50" s="7" customFormat="1" x14ac:dyDescent="0.45">
      <c r="A583" s="53" t="s">
        <v>174</v>
      </c>
      <c r="B583" s="146"/>
      <c r="C583" s="845">
        <f t="shared" ref="C583:AW583" si="673">SUM(C575:C582)</f>
        <v>214.54300000000001</v>
      </c>
      <c r="D583" s="845">
        <f t="shared" si="673"/>
        <v>271.99699999999996</v>
      </c>
      <c r="E583" s="845">
        <f t="shared" si="673"/>
        <v>302.58199999999999</v>
      </c>
      <c r="F583" s="845">
        <f t="shared" si="673"/>
        <v>285.18599999999998</v>
      </c>
      <c r="G583" s="846">
        <f t="shared" si="673"/>
        <v>284.166</v>
      </c>
      <c r="H583" s="846">
        <f t="shared" si="673"/>
        <v>245.00300000000001</v>
      </c>
      <c r="I583" s="846">
        <f t="shared" si="673"/>
        <v>252.61199999999999</v>
      </c>
      <c r="J583" s="846">
        <f t="shared" si="673"/>
        <v>251.755</v>
      </c>
      <c r="K583" s="845">
        <f t="shared" si="673"/>
        <v>251.755</v>
      </c>
      <c r="L583" s="846">
        <f t="shared" si="673"/>
        <v>247.405</v>
      </c>
      <c r="M583" s="846">
        <f t="shared" si="673"/>
        <v>246.83600000000001</v>
      </c>
      <c r="N583" s="846">
        <f t="shared" si="673"/>
        <v>249.24699999999999</v>
      </c>
      <c r="O583" s="846">
        <f t="shared" si="673"/>
        <v>255.977</v>
      </c>
      <c r="P583" s="845">
        <f t="shared" si="673"/>
        <v>255.977</v>
      </c>
      <c r="Q583" s="846">
        <f t="shared" si="673"/>
        <v>235.202</v>
      </c>
      <c r="R583" s="846">
        <f t="shared" si="673"/>
        <v>231.833</v>
      </c>
      <c r="S583" s="846">
        <f t="shared" si="673"/>
        <v>227.19499999999996</v>
      </c>
      <c r="T583" s="846">
        <f t="shared" si="673"/>
        <v>183.99100000000001</v>
      </c>
      <c r="U583" s="845">
        <f t="shared" si="673"/>
        <v>183.99100000000001</v>
      </c>
      <c r="V583" s="846">
        <f t="shared" si="673"/>
        <v>163.06700000000001</v>
      </c>
      <c r="W583" s="846">
        <f t="shared" si="673"/>
        <v>143.25800000000001</v>
      </c>
      <c r="X583" s="859">
        <f t="shared" si="673"/>
        <v>134.834</v>
      </c>
      <c r="Y583" s="846">
        <f t="shared" si="673"/>
        <v>146.80199999999999</v>
      </c>
      <c r="Z583" s="845">
        <f t="shared" si="673"/>
        <v>146.80199999999999</v>
      </c>
      <c r="AA583" s="846">
        <f t="shared" si="673"/>
        <v>131.54300000000001</v>
      </c>
      <c r="AB583" s="846">
        <f t="shared" si="673"/>
        <v>133.14000000000001</v>
      </c>
      <c r="AC583" s="859">
        <f t="shared" si="673"/>
        <v>128.34799999999998</v>
      </c>
      <c r="AD583" s="846">
        <f t="shared" si="673"/>
        <v>141.66200000000001</v>
      </c>
      <c r="AE583" s="845">
        <f t="shared" si="673"/>
        <v>141.66200000000001</v>
      </c>
      <c r="AF583" s="846">
        <f t="shared" si="673"/>
        <v>155.81099999999998</v>
      </c>
      <c r="AG583" s="846">
        <f t="shared" si="673"/>
        <v>158.63500000000002</v>
      </c>
      <c r="AH583" s="859">
        <f t="shared" si="673"/>
        <v>157.779</v>
      </c>
      <c r="AI583" s="846">
        <f t="shared" si="673"/>
        <v>159.851</v>
      </c>
      <c r="AJ583" s="845">
        <f t="shared" si="673"/>
        <v>159.851</v>
      </c>
      <c r="AK583" s="846">
        <f t="shared" si="673"/>
        <v>155.51600000000002</v>
      </c>
      <c r="AL583" s="846">
        <f t="shared" si="673"/>
        <v>170.054</v>
      </c>
      <c r="AM583" s="847">
        <f t="shared" si="673"/>
        <v>153.36599999999999</v>
      </c>
      <c r="AN583" s="859">
        <f t="shared" ca="1" si="673"/>
        <v>164.30227390583059</v>
      </c>
      <c r="AO583" s="845">
        <f t="shared" ca="1" si="673"/>
        <v>164.30227390583059</v>
      </c>
      <c r="AP583" s="859">
        <f t="shared" ca="1" si="673"/>
        <v>176.77514466740112</v>
      </c>
      <c r="AQ583" s="859">
        <f t="shared" ca="1" si="673"/>
        <v>192.63629602837068</v>
      </c>
      <c r="AR583" s="859">
        <f t="shared" ca="1" si="673"/>
        <v>207.88102005788625</v>
      </c>
      <c r="AS583" s="859">
        <f t="shared" ca="1" si="673"/>
        <v>222.51538535579004</v>
      </c>
      <c r="AT583" s="845">
        <f t="shared" ca="1" si="673"/>
        <v>222.51538535579004</v>
      </c>
      <c r="AU583" s="860">
        <f t="shared" ca="1" si="673"/>
        <v>281.45122618538971</v>
      </c>
      <c r="AV583" s="860">
        <f t="shared" ca="1" si="673"/>
        <v>343.27650569736818</v>
      </c>
      <c r="AW583" s="860">
        <f t="shared" ca="1" si="673"/>
        <v>404.99973260254325</v>
      </c>
      <c r="AX583" s="795"/>
    </row>
    <row r="584" spans="1:50" s="7" customFormat="1" x14ac:dyDescent="0.45">
      <c r="A584" s="54"/>
      <c r="B584" s="69"/>
      <c r="C584" s="851"/>
      <c r="D584" s="851"/>
      <c r="E584" s="851"/>
      <c r="F584" s="851"/>
      <c r="G584" s="852"/>
      <c r="H584" s="852"/>
      <c r="I584" s="852"/>
      <c r="J584" s="852"/>
      <c r="K584" s="851"/>
      <c r="L584" s="852"/>
      <c r="M584" s="852"/>
      <c r="N584" s="852"/>
      <c r="O584" s="852"/>
      <c r="P584" s="851"/>
      <c r="Q584" s="852"/>
      <c r="R584" s="852"/>
      <c r="S584" s="852"/>
      <c r="T584" s="852"/>
      <c r="U584" s="851"/>
      <c r="V584" s="852"/>
      <c r="W584" s="852"/>
      <c r="X584" s="852"/>
      <c r="Y584" s="852"/>
      <c r="Z584" s="851"/>
      <c r="AA584" s="852"/>
      <c r="AB584" s="852"/>
      <c r="AC584" s="852"/>
      <c r="AD584" s="852"/>
      <c r="AE584" s="851"/>
      <c r="AF584" s="852"/>
      <c r="AG584" s="852"/>
      <c r="AH584" s="852"/>
      <c r="AI584" s="852"/>
      <c r="AJ584" s="851"/>
      <c r="AK584" s="852"/>
      <c r="AL584" s="852"/>
      <c r="AM584" s="853"/>
      <c r="AN584" s="854"/>
      <c r="AO584" s="855"/>
      <c r="AP584" s="854"/>
      <c r="AQ584" s="854"/>
      <c r="AR584" s="854"/>
      <c r="AS584" s="854"/>
      <c r="AT584" s="855"/>
      <c r="AU584" s="855"/>
      <c r="AV584" s="855"/>
      <c r="AW584" s="855"/>
      <c r="AX584" s="795"/>
    </row>
    <row r="585" spans="1:50" s="7" customFormat="1" x14ac:dyDescent="0.45">
      <c r="A585" s="63" t="s">
        <v>175</v>
      </c>
      <c r="B585" s="69"/>
      <c r="C585" s="851"/>
      <c r="D585" s="851"/>
      <c r="E585" s="851"/>
      <c r="F585" s="851"/>
      <c r="G585" s="852"/>
      <c r="H585" s="852"/>
      <c r="I585" s="852"/>
      <c r="J585" s="852"/>
      <c r="K585" s="851"/>
      <c r="L585" s="852"/>
      <c r="M585" s="852"/>
      <c r="N585" s="852"/>
      <c r="O585" s="852"/>
      <c r="P585" s="851"/>
      <c r="Q585" s="852"/>
      <c r="R585" s="852"/>
      <c r="S585" s="852"/>
      <c r="T585" s="852"/>
      <c r="U585" s="851"/>
      <c r="V585" s="852"/>
      <c r="W585" s="852"/>
      <c r="X585" s="852"/>
      <c r="Y585" s="852"/>
      <c r="Z585" s="851"/>
      <c r="AA585" s="852"/>
      <c r="AB585" s="852"/>
      <c r="AC585" s="852"/>
      <c r="AD585" s="852"/>
      <c r="AE585" s="851"/>
      <c r="AF585" s="852"/>
      <c r="AG585" s="852"/>
      <c r="AH585" s="852"/>
      <c r="AI585" s="852"/>
      <c r="AJ585" s="851"/>
      <c r="AK585" s="852"/>
      <c r="AL585" s="852"/>
      <c r="AM585" s="853"/>
      <c r="AN585" s="854"/>
      <c r="AO585" s="855"/>
      <c r="AP585" s="854"/>
      <c r="AQ585" s="854"/>
      <c r="AR585" s="854"/>
      <c r="AS585" s="854"/>
      <c r="AT585" s="855"/>
      <c r="AU585" s="855"/>
      <c r="AV585" s="855"/>
      <c r="AW585" s="855"/>
      <c r="AX585" s="795"/>
    </row>
    <row r="586" spans="1:50" s="29" customFormat="1" x14ac:dyDescent="0.45">
      <c r="A586" s="61" t="s">
        <v>176</v>
      </c>
      <c r="B586" s="147"/>
      <c r="C586" s="840">
        <v>8.4320000000000004</v>
      </c>
      <c r="D586" s="840">
        <v>12.599</v>
      </c>
      <c r="E586" s="840">
        <v>17.841000000000001</v>
      </c>
      <c r="F586" s="840">
        <v>21.887</v>
      </c>
      <c r="G586" s="841">
        <v>21.824999999999999</v>
      </c>
      <c r="H586" s="841">
        <v>23.507999999999999</v>
      </c>
      <c r="I586" s="841">
        <v>24.265999999999998</v>
      </c>
      <c r="J586" s="841">
        <f>K586</f>
        <v>22.800999999999998</v>
      </c>
      <c r="K586" s="840">
        <v>22.800999999999998</v>
      </c>
      <c r="L586" s="841">
        <v>22.914999999999999</v>
      </c>
      <c r="M586" s="841">
        <v>23.193000000000001</v>
      </c>
      <c r="N586" s="841">
        <v>21.635999999999999</v>
      </c>
      <c r="O586" s="841">
        <f>P586</f>
        <v>20.806999999999999</v>
      </c>
      <c r="P586" s="840">
        <v>20.806999999999999</v>
      </c>
      <c r="Q586" s="841">
        <v>22.055</v>
      </c>
      <c r="R586" s="841">
        <v>22.536999999999999</v>
      </c>
      <c r="S586" s="841">
        <v>23.170999999999999</v>
      </c>
      <c r="T586" s="841">
        <f>U586</f>
        <v>25.79</v>
      </c>
      <c r="U586" s="840">
        <v>25.79</v>
      </c>
      <c r="V586" s="841">
        <v>26.683</v>
      </c>
      <c r="W586" s="841">
        <v>25.984999999999999</v>
      </c>
      <c r="X586" s="861">
        <v>26.097000000000001</v>
      </c>
      <c r="Y586" s="841">
        <f>Z586</f>
        <v>27.425999999999998</v>
      </c>
      <c r="Z586" s="840">
        <v>27.425999999999998</v>
      </c>
      <c r="AA586" s="841">
        <v>27.832000000000001</v>
      </c>
      <c r="AB586" s="841">
        <v>27.681000000000001</v>
      </c>
      <c r="AC586" s="861">
        <v>27.137</v>
      </c>
      <c r="AD586" s="841">
        <f>AE586</f>
        <v>26.795000000000002</v>
      </c>
      <c r="AE586" s="840">
        <v>26.795000000000002</v>
      </c>
      <c r="AF586" s="841">
        <v>26.567</v>
      </c>
      <c r="AG586" s="841">
        <v>24.815000000000001</v>
      </c>
      <c r="AH586" s="861">
        <v>23.169</v>
      </c>
      <c r="AI586" s="841">
        <f>AJ586</f>
        <v>21.404</v>
      </c>
      <c r="AJ586" s="840">
        <v>21.404</v>
      </c>
      <c r="AK586" s="841">
        <v>22.771999999999998</v>
      </c>
      <c r="AL586" s="841">
        <v>22.048999999999999</v>
      </c>
      <c r="AM586" s="842">
        <v>22.004000000000001</v>
      </c>
      <c r="AN586" s="862">
        <f>AM586-AN525-AN523-AN521-AN485</f>
        <v>22.104000000000003</v>
      </c>
      <c r="AO586" s="844">
        <f>AN586</f>
        <v>22.104000000000003</v>
      </c>
      <c r="AP586" s="862">
        <f>AO586-AP525-AP523-AP521-AP485</f>
        <v>22.304000000000002</v>
      </c>
      <c r="AQ586" s="862">
        <f>AP586-AQ525-AQ523-AQ521-AQ485</f>
        <v>22.504000000000001</v>
      </c>
      <c r="AR586" s="862">
        <f>AQ586-AR525-AR523-AR521-AR485</f>
        <v>22.704000000000001</v>
      </c>
      <c r="AS586" s="862">
        <f>AR586-AS525-AS523-AS521-AS485</f>
        <v>22.904</v>
      </c>
      <c r="AT586" s="844">
        <f>AS586</f>
        <v>22.904</v>
      </c>
      <c r="AU586" s="863">
        <f>AT586-AU525-AU523-AU521-AU485</f>
        <v>24.103999999999996</v>
      </c>
      <c r="AV586" s="863">
        <f>AU586-AV525-AV523-AV521-AV485</f>
        <v>25.703999999999997</v>
      </c>
      <c r="AW586" s="863">
        <f>AV586-AW525-AW523-AW521-AW485</f>
        <v>27.703999999999997</v>
      </c>
      <c r="AX586" s="793"/>
    </row>
    <row r="587" spans="1:50" s="29" customFormat="1" x14ac:dyDescent="0.45">
      <c r="A587" s="61" t="s">
        <v>360</v>
      </c>
      <c r="B587" s="147"/>
      <c r="C587" s="840"/>
      <c r="D587" s="840"/>
      <c r="E587" s="840"/>
      <c r="F587" s="840"/>
      <c r="G587" s="841"/>
      <c r="H587" s="841"/>
      <c r="I587" s="841"/>
      <c r="J587" s="841">
        <f t="shared" ref="J587:J590" si="674">K587</f>
        <v>0</v>
      </c>
      <c r="K587" s="840"/>
      <c r="L587" s="841"/>
      <c r="M587" s="841"/>
      <c r="N587" s="841"/>
      <c r="O587" s="841">
        <f t="shared" ref="O587:O590" si="675">P587</f>
        <v>0</v>
      </c>
      <c r="P587" s="840"/>
      <c r="Q587" s="841"/>
      <c r="R587" s="841"/>
      <c r="S587" s="841"/>
      <c r="T587" s="841">
        <f t="shared" ref="T587:T590" si="676">U587</f>
        <v>0</v>
      </c>
      <c r="U587" s="840"/>
      <c r="V587" s="841"/>
      <c r="W587" s="841"/>
      <c r="X587" s="861"/>
      <c r="Y587" s="841">
        <f t="shared" ref="Y587:Y590" si="677">Z587</f>
        <v>0</v>
      </c>
      <c r="Z587" s="840"/>
      <c r="AA587" s="841"/>
      <c r="AB587" s="841"/>
      <c r="AC587" s="861"/>
      <c r="AD587" s="841">
        <f t="shared" ref="AD587:AD590" si="678">AE587</f>
        <v>0</v>
      </c>
      <c r="AE587" s="840"/>
      <c r="AF587" s="841"/>
      <c r="AG587" s="841"/>
      <c r="AH587" s="861"/>
      <c r="AI587" s="841">
        <f t="shared" ref="AI587:AI590" si="679">AJ587</f>
        <v>0</v>
      </c>
      <c r="AJ587" s="840"/>
      <c r="AK587" s="841">
        <v>41.991999999999997</v>
      </c>
      <c r="AL587" s="841">
        <v>38.229999999999997</v>
      </c>
      <c r="AM587" s="842">
        <v>34.423999999999999</v>
      </c>
      <c r="AN587" s="862">
        <f>AM587</f>
        <v>34.423999999999999</v>
      </c>
      <c r="AO587" s="844">
        <f t="shared" ref="AO587:AO594" si="680">AN587</f>
        <v>34.423999999999999</v>
      </c>
      <c r="AP587" s="862">
        <f t="shared" ref="AP587:AT590" si="681">AO587</f>
        <v>34.423999999999999</v>
      </c>
      <c r="AQ587" s="862">
        <f t="shared" si="681"/>
        <v>34.423999999999999</v>
      </c>
      <c r="AR587" s="862">
        <f t="shared" si="681"/>
        <v>34.423999999999999</v>
      </c>
      <c r="AS587" s="862">
        <f t="shared" si="681"/>
        <v>34.423999999999999</v>
      </c>
      <c r="AT587" s="844">
        <f t="shared" si="681"/>
        <v>34.423999999999999</v>
      </c>
      <c r="AU587" s="863">
        <f t="shared" ref="AU587:AW587" si="682">AT587</f>
        <v>34.423999999999999</v>
      </c>
      <c r="AV587" s="863">
        <f t="shared" si="682"/>
        <v>34.423999999999999</v>
      </c>
      <c r="AW587" s="863">
        <f t="shared" si="682"/>
        <v>34.423999999999999</v>
      </c>
      <c r="AX587" s="793"/>
    </row>
    <row r="588" spans="1:50" s="29" customFormat="1" x14ac:dyDescent="0.45">
      <c r="A588" s="61" t="s">
        <v>178</v>
      </c>
      <c r="B588" s="147"/>
      <c r="C588" s="840">
        <v>5.6779999999999999</v>
      </c>
      <c r="D588" s="840">
        <v>10.397</v>
      </c>
      <c r="E588" s="840">
        <v>10.127000000000001</v>
      </c>
      <c r="F588" s="840">
        <v>12.14</v>
      </c>
      <c r="G588" s="841">
        <v>12.14</v>
      </c>
      <c r="H588" s="841">
        <v>12.18</v>
      </c>
      <c r="I588" s="841">
        <v>12.180999999999999</v>
      </c>
      <c r="J588" s="841">
        <f t="shared" si="674"/>
        <v>21.530999999999999</v>
      </c>
      <c r="K588" s="840">
        <v>21.530999999999999</v>
      </c>
      <c r="L588" s="841">
        <v>11.757</v>
      </c>
      <c r="M588" s="841">
        <v>11.754</v>
      </c>
      <c r="N588" s="841">
        <v>11.750999999999999</v>
      </c>
      <c r="O588" s="841">
        <f t="shared" si="675"/>
        <v>30.196999999999999</v>
      </c>
      <c r="P588" s="840">
        <v>30.196999999999999</v>
      </c>
      <c r="Q588" s="841">
        <v>24.077999999999999</v>
      </c>
      <c r="R588" s="841">
        <v>24.074000000000002</v>
      </c>
      <c r="S588" s="841">
        <v>24.074000000000002</v>
      </c>
      <c r="T588" s="841">
        <f t="shared" si="676"/>
        <v>8.1980000000000004</v>
      </c>
      <c r="U588" s="840">
        <v>8.1980000000000004</v>
      </c>
      <c r="V588" s="841">
        <v>8.1579999999999995</v>
      </c>
      <c r="W588" s="841">
        <v>8.0180000000000007</v>
      </c>
      <c r="X588" s="861">
        <v>9.7799999999999994</v>
      </c>
      <c r="Y588" s="841">
        <f t="shared" si="677"/>
        <v>11.265000000000001</v>
      </c>
      <c r="Z588" s="840">
        <v>11.265000000000001</v>
      </c>
      <c r="AA588" s="841">
        <v>12.266</v>
      </c>
      <c r="AB588" s="841">
        <v>10.289</v>
      </c>
      <c r="AC588" s="861">
        <v>7.1970000000000001</v>
      </c>
      <c r="AD588" s="841">
        <f t="shared" si="678"/>
        <v>9.2189999999999994</v>
      </c>
      <c r="AE588" s="840">
        <v>9.2189999999999994</v>
      </c>
      <c r="AF588" s="841">
        <v>6.2489999999999997</v>
      </c>
      <c r="AG588" s="841">
        <v>6.2640000000000002</v>
      </c>
      <c r="AH588" s="861">
        <v>6.4169999999999998</v>
      </c>
      <c r="AI588" s="841">
        <f t="shared" si="679"/>
        <v>6.194</v>
      </c>
      <c r="AJ588" s="840">
        <v>6.194</v>
      </c>
      <c r="AK588" s="841">
        <v>6.2069999999999999</v>
      </c>
      <c r="AL588" s="841">
        <v>6.1660000000000004</v>
      </c>
      <c r="AM588" s="842">
        <v>5.0880000000000001</v>
      </c>
      <c r="AN588" s="862">
        <f>AM588-AN494</f>
        <v>5.0880000000000001</v>
      </c>
      <c r="AO588" s="844">
        <f t="shared" si="680"/>
        <v>5.0880000000000001</v>
      </c>
      <c r="AP588" s="862">
        <f ca="1">AO588-AP494</f>
        <v>5.0880000000000001</v>
      </c>
      <c r="AQ588" s="862">
        <f ca="1">AP588-AQ494</f>
        <v>5.0880000000000001</v>
      </c>
      <c r="AR588" s="862">
        <f ca="1">AQ588-AR494</f>
        <v>5.0880000000000001</v>
      </c>
      <c r="AS588" s="862">
        <f ca="1">AR588-AS494</f>
        <v>5.0880000000000001</v>
      </c>
      <c r="AT588" s="844">
        <f t="shared" ca="1" si="681"/>
        <v>5.0880000000000001</v>
      </c>
      <c r="AU588" s="863">
        <f ca="1">AT588-AU494</f>
        <v>5.0880000000000001</v>
      </c>
      <c r="AV588" s="863">
        <f ca="1">AU588-AV494</f>
        <v>5.0880000000000001</v>
      </c>
      <c r="AW588" s="863">
        <f ca="1">AV588-AW494</f>
        <v>5.0880000000000001</v>
      </c>
      <c r="AX588" s="793"/>
    </row>
    <row r="589" spans="1:50" s="29" customFormat="1" hidden="1" outlineLevel="1" x14ac:dyDescent="0.45">
      <c r="A589" s="68" t="s">
        <v>177</v>
      </c>
      <c r="B589" s="147"/>
      <c r="C589" s="840">
        <v>11.545999999999999</v>
      </c>
      <c r="D589" s="840">
        <v>15.15</v>
      </c>
      <c r="E589" s="840">
        <v>19.994</v>
      </c>
      <c r="F589" s="840">
        <v>39.780999999999999</v>
      </c>
      <c r="G589" s="841">
        <v>44.402000000000001</v>
      </c>
      <c r="H589" s="841">
        <v>49.773000000000003</v>
      </c>
      <c r="I589" s="841">
        <v>40.267000000000003</v>
      </c>
      <c r="J589" s="841">
        <f t="shared" si="674"/>
        <v>39.152000000000001</v>
      </c>
      <c r="K589" s="840">
        <v>39.152000000000001</v>
      </c>
      <c r="L589" s="841">
        <v>38.451999999999998</v>
      </c>
      <c r="M589" s="841">
        <v>38.404000000000003</v>
      </c>
      <c r="N589" s="841">
        <v>38.497</v>
      </c>
      <c r="O589" s="841">
        <f t="shared" si="675"/>
        <v>40.396999999999998</v>
      </c>
      <c r="P589" s="840">
        <v>40.396999999999998</v>
      </c>
      <c r="Q589" s="841">
        <v>41.593000000000004</v>
      </c>
      <c r="R589" s="841">
        <v>42.155000000000001</v>
      </c>
      <c r="S589" s="841">
        <v>44.573</v>
      </c>
      <c r="T589" s="841">
        <f t="shared" si="676"/>
        <v>13.25</v>
      </c>
      <c r="U589" s="840">
        <v>13.25</v>
      </c>
      <c r="V589" s="841">
        <v>13.827</v>
      </c>
      <c r="W589" s="841">
        <v>13.75</v>
      </c>
      <c r="X589" s="861">
        <v>12.994999999999999</v>
      </c>
      <c r="Y589" s="841">
        <f t="shared" si="677"/>
        <v>13.606999999999999</v>
      </c>
      <c r="Z589" s="840">
        <v>13.606999999999999</v>
      </c>
      <c r="AA589" s="841">
        <v>17.948</v>
      </c>
      <c r="AB589" s="841">
        <v>21.024000000000001</v>
      </c>
      <c r="AC589" s="861">
        <v>23.209</v>
      </c>
      <c r="AD589" s="841">
        <f t="shared" si="678"/>
        <v>26.318000000000001</v>
      </c>
      <c r="AE589" s="840">
        <v>26.318000000000001</v>
      </c>
      <c r="AF589" s="841">
        <v>28.846</v>
      </c>
      <c r="AG589" s="841">
        <v>31.805</v>
      </c>
      <c r="AH589" s="861">
        <v>33.468000000000004</v>
      </c>
      <c r="AI589" s="841">
        <f t="shared" si="679"/>
        <v>37.854999999999997</v>
      </c>
      <c r="AJ589" s="840">
        <v>37.854999999999997</v>
      </c>
      <c r="AK589" s="841">
        <v>38.465000000000003</v>
      </c>
      <c r="AL589" s="841">
        <v>39.076000000000001</v>
      </c>
      <c r="AM589" s="842">
        <v>39.677999999999997</v>
      </c>
      <c r="AN589" s="862">
        <f>AM589-AN519-AN299</f>
        <v>40.277999999999999</v>
      </c>
      <c r="AO589" s="844">
        <f t="shared" si="680"/>
        <v>40.277999999999999</v>
      </c>
      <c r="AP589" s="862">
        <f>AO589-AP519-AP299</f>
        <v>40.978000000000002</v>
      </c>
      <c r="AQ589" s="862">
        <f>AP589-AQ519-AQ299</f>
        <v>41.678000000000004</v>
      </c>
      <c r="AR589" s="862">
        <f>AQ589-AR519-AR299</f>
        <v>42.378000000000007</v>
      </c>
      <c r="AS589" s="862">
        <f>AR589-AS519-AS299</f>
        <v>43.07800000000001</v>
      </c>
      <c r="AT589" s="844">
        <f t="shared" si="681"/>
        <v>43.07800000000001</v>
      </c>
      <c r="AU589" s="863">
        <f>AT589-AU519-AU299</f>
        <v>46.878</v>
      </c>
      <c r="AV589" s="863">
        <f>AU589-AV519-AV299</f>
        <v>51.677999999999997</v>
      </c>
      <c r="AW589" s="863">
        <f>AV589-AW519-AW299</f>
        <v>57.477999999999994</v>
      </c>
      <c r="AX589" s="793"/>
    </row>
    <row r="590" spans="1:50" s="29" customFormat="1" hidden="1" outlineLevel="1" x14ac:dyDescent="0.45">
      <c r="A590" s="217" t="s">
        <v>377</v>
      </c>
      <c r="B590" s="215"/>
      <c r="C590" s="848">
        <v>20.145</v>
      </c>
      <c r="D590" s="848">
        <v>16.89</v>
      </c>
      <c r="E590" s="848">
        <v>23.259</v>
      </c>
      <c r="F590" s="848">
        <v>27.55</v>
      </c>
      <c r="G590" s="849">
        <v>25.684000000000001</v>
      </c>
      <c r="H590" s="849">
        <v>49.838000000000001</v>
      </c>
      <c r="I590" s="849">
        <v>35.006</v>
      </c>
      <c r="J590" s="849">
        <f t="shared" si="674"/>
        <v>33.015999999999998</v>
      </c>
      <c r="K590" s="848">
        <v>33.015999999999998</v>
      </c>
      <c r="L590" s="849">
        <v>31.175000000000001</v>
      </c>
      <c r="M590" s="849">
        <v>29.408000000000001</v>
      </c>
      <c r="N590" s="849">
        <v>27.645</v>
      </c>
      <c r="O590" s="849">
        <f t="shared" si="675"/>
        <v>27.689</v>
      </c>
      <c r="P590" s="848">
        <v>27.689</v>
      </c>
      <c r="Q590" s="849">
        <v>25.888999999999999</v>
      </c>
      <c r="R590" s="849">
        <v>24.088000000000001</v>
      </c>
      <c r="S590" s="849">
        <v>22.286999999999999</v>
      </c>
      <c r="T590" s="849">
        <f t="shared" si="676"/>
        <v>91.674999999999997</v>
      </c>
      <c r="U590" s="848">
        <v>91.674999999999997</v>
      </c>
      <c r="V590" s="849">
        <v>85.942999999999998</v>
      </c>
      <c r="W590" s="849">
        <v>80.296999999999997</v>
      </c>
      <c r="X590" s="864">
        <v>74.721999999999994</v>
      </c>
      <c r="Y590" s="849">
        <f t="shared" si="677"/>
        <v>69.212999999999994</v>
      </c>
      <c r="Z590" s="848">
        <v>69.212999999999994</v>
      </c>
      <c r="AA590" s="849">
        <v>79.165000000000006</v>
      </c>
      <c r="AB590" s="849">
        <v>86.745999999999995</v>
      </c>
      <c r="AC590" s="864">
        <v>80.662999999999997</v>
      </c>
      <c r="AD590" s="849">
        <f t="shared" si="678"/>
        <v>74.090999999999994</v>
      </c>
      <c r="AE590" s="848">
        <v>74.090999999999994</v>
      </c>
      <c r="AF590" s="849">
        <v>68.635999999999996</v>
      </c>
      <c r="AG590" s="849">
        <v>63.226999999999997</v>
      </c>
      <c r="AH590" s="864">
        <v>57.911000000000001</v>
      </c>
      <c r="AI590" s="849">
        <f t="shared" si="679"/>
        <v>52.594999999999999</v>
      </c>
      <c r="AJ590" s="848">
        <v>52.594999999999999</v>
      </c>
      <c r="AK590" s="849">
        <v>47.442</v>
      </c>
      <c r="AL590" s="849">
        <v>42.29</v>
      </c>
      <c r="AM590" s="850">
        <v>64.394000000000005</v>
      </c>
      <c r="AN590" s="864">
        <f>AM590-AN297</f>
        <v>59.094000000000008</v>
      </c>
      <c r="AO590" s="848">
        <f t="shared" si="680"/>
        <v>59.094000000000008</v>
      </c>
      <c r="AP590" s="864">
        <f>AO590-AP297</f>
        <v>53.794000000000011</v>
      </c>
      <c r="AQ590" s="864">
        <f>AP590-AQ297</f>
        <v>48.494000000000014</v>
      </c>
      <c r="AR590" s="864">
        <f>AQ590-AR297</f>
        <v>43.194000000000017</v>
      </c>
      <c r="AS590" s="864">
        <f>AR590-AS297</f>
        <v>37.89400000000002</v>
      </c>
      <c r="AT590" s="848">
        <f t="shared" si="681"/>
        <v>37.89400000000002</v>
      </c>
      <c r="AU590" s="865">
        <f>AT590-AU297</f>
        <v>16.694000000000017</v>
      </c>
      <c r="AV590" s="865">
        <f>AU590-AV297</f>
        <v>-4.505999999999986</v>
      </c>
      <c r="AW590" s="865">
        <f>AV590-AW297</f>
        <v>-25.705999999999989</v>
      </c>
      <c r="AX590" s="793"/>
    </row>
    <row r="591" spans="1:50" s="29" customFormat="1" collapsed="1" x14ac:dyDescent="0.45">
      <c r="A591" s="61" t="s">
        <v>378</v>
      </c>
      <c r="B591" s="147"/>
      <c r="C591" s="840">
        <f t="shared" ref="C591:AW591" si="683">SUM(C589:C590)</f>
        <v>31.690999999999999</v>
      </c>
      <c r="D591" s="840">
        <f t="shared" si="683"/>
        <v>32.04</v>
      </c>
      <c r="E591" s="840">
        <f t="shared" si="683"/>
        <v>43.253</v>
      </c>
      <c r="F591" s="840">
        <f t="shared" si="683"/>
        <v>67.331000000000003</v>
      </c>
      <c r="G591" s="841">
        <f t="shared" si="683"/>
        <v>70.085999999999999</v>
      </c>
      <c r="H591" s="841">
        <f t="shared" si="683"/>
        <v>99.611000000000004</v>
      </c>
      <c r="I591" s="841">
        <f t="shared" si="683"/>
        <v>75.272999999999996</v>
      </c>
      <c r="J591" s="841">
        <f t="shared" si="683"/>
        <v>72.168000000000006</v>
      </c>
      <c r="K591" s="840">
        <f t="shared" si="683"/>
        <v>72.168000000000006</v>
      </c>
      <c r="L591" s="841">
        <f t="shared" si="683"/>
        <v>69.626999999999995</v>
      </c>
      <c r="M591" s="841">
        <f t="shared" si="683"/>
        <v>67.812000000000012</v>
      </c>
      <c r="N591" s="841">
        <f t="shared" si="683"/>
        <v>66.141999999999996</v>
      </c>
      <c r="O591" s="841">
        <f t="shared" si="683"/>
        <v>68.085999999999999</v>
      </c>
      <c r="P591" s="840">
        <f t="shared" si="683"/>
        <v>68.085999999999999</v>
      </c>
      <c r="Q591" s="841">
        <f t="shared" si="683"/>
        <v>67.481999999999999</v>
      </c>
      <c r="R591" s="841">
        <f t="shared" si="683"/>
        <v>66.242999999999995</v>
      </c>
      <c r="S591" s="841">
        <f t="shared" si="683"/>
        <v>66.86</v>
      </c>
      <c r="T591" s="841">
        <f t="shared" si="683"/>
        <v>104.925</v>
      </c>
      <c r="U591" s="840">
        <f t="shared" si="683"/>
        <v>104.925</v>
      </c>
      <c r="V591" s="841">
        <f t="shared" si="683"/>
        <v>99.77</v>
      </c>
      <c r="W591" s="841">
        <f t="shared" si="683"/>
        <v>94.046999999999997</v>
      </c>
      <c r="X591" s="841">
        <f t="shared" si="683"/>
        <v>87.716999999999999</v>
      </c>
      <c r="Y591" s="841">
        <f t="shared" si="683"/>
        <v>82.82</v>
      </c>
      <c r="Z591" s="840">
        <f t="shared" si="683"/>
        <v>82.82</v>
      </c>
      <c r="AA591" s="841">
        <f t="shared" si="683"/>
        <v>97.113</v>
      </c>
      <c r="AB591" s="841">
        <f t="shared" si="683"/>
        <v>107.77</v>
      </c>
      <c r="AC591" s="841">
        <f t="shared" si="683"/>
        <v>103.872</v>
      </c>
      <c r="AD591" s="841">
        <f t="shared" si="683"/>
        <v>100.40899999999999</v>
      </c>
      <c r="AE591" s="840">
        <f t="shared" si="683"/>
        <v>100.40899999999999</v>
      </c>
      <c r="AF591" s="841">
        <f t="shared" si="683"/>
        <v>97.481999999999999</v>
      </c>
      <c r="AG591" s="841">
        <f t="shared" si="683"/>
        <v>95.031999999999996</v>
      </c>
      <c r="AH591" s="841">
        <f t="shared" si="683"/>
        <v>91.379000000000005</v>
      </c>
      <c r="AI591" s="841">
        <f t="shared" si="683"/>
        <v>90.449999999999989</v>
      </c>
      <c r="AJ591" s="840">
        <f t="shared" si="683"/>
        <v>90.449999999999989</v>
      </c>
      <c r="AK591" s="841">
        <f t="shared" si="683"/>
        <v>85.907000000000011</v>
      </c>
      <c r="AL591" s="841">
        <f t="shared" si="683"/>
        <v>81.366</v>
      </c>
      <c r="AM591" s="842">
        <f t="shared" si="683"/>
        <v>104.072</v>
      </c>
      <c r="AN591" s="843">
        <f t="shared" si="683"/>
        <v>99.372000000000014</v>
      </c>
      <c r="AO591" s="844">
        <f t="shared" si="683"/>
        <v>99.372000000000014</v>
      </c>
      <c r="AP591" s="843">
        <f t="shared" si="683"/>
        <v>94.77200000000002</v>
      </c>
      <c r="AQ591" s="843">
        <f t="shared" si="683"/>
        <v>90.172000000000025</v>
      </c>
      <c r="AR591" s="843">
        <f t="shared" si="683"/>
        <v>85.572000000000031</v>
      </c>
      <c r="AS591" s="843">
        <f t="shared" si="683"/>
        <v>80.972000000000037</v>
      </c>
      <c r="AT591" s="844">
        <f t="shared" si="683"/>
        <v>80.972000000000037</v>
      </c>
      <c r="AU591" s="844">
        <f t="shared" si="683"/>
        <v>63.572000000000017</v>
      </c>
      <c r="AV591" s="844">
        <f t="shared" si="683"/>
        <v>47.172000000000011</v>
      </c>
      <c r="AW591" s="844">
        <f t="shared" si="683"/>
        <v>31.772000000000006</v>
      </c>
      <c r="AX591" s="793"/>
    </row>
    <row r="592" spans="1:50" s="29" customFormat="1" x14ac:dyDescent="0.45">
      <c r="A592" s="61" t="s">
        <v>179</v>
      </c>
      <c r="B592" s="147"/>
      <c r="C592" s="840">
        <v>46.189</v>
      </c>
      <c r="D592" s="840">
        <v>46.720999999999997</v>
      </c>
      <c r="E592" s="840">
        <v>60.776000000000003</v>
      </c>
      <c r="F592" s="840">
        <v>45.761000000000003</v>
      </c>
      <c r="G592" s="841">
        <v>45.761000000000003</v>
      </c>
      <c r="H592" s="841">
        <v>76.218999999999994</v>
      </c>
      <c r="I592" s="841">
        <v>72.106999999999999</v>
      </c>
      <c r="J592" s="841">
        <f t="shared" ref="J592:J594" si="684">K592</f>
        <v>72.804000000000002</v>
      </c>
      <c r="K592" s="840">
        <v>72.804000000000002</v>
      </c>
      <c r="L592" s="841">
        <v>72.804000000000002</v>
      </c>
      <c r="M592" s="841">
        <v>72.804000000000002</v>
      </c>
      <c r="N592" s="841">
        <v>72.804000000000002</v>
      </c>
      <c r="O592" s="841">
        <f t="shared" ref="O592:O594" si="685">P592</f>
        <v>73.570999999999998</v>
      </c>
      <c r="P592" s="840">
        <v>73.570999999999998</v>
      </c>
      <c r="Q592" s="841">
        <v>73.570999999999998</v>
      </c>
      <c r="R592" s="841">
        <v>73.570999999999998</v>
      </c>
      <c r="S592" s="841">
        <v>73.513000000000005</v>
      </c>
      <c r="T592" s="841">
        <f t="shared" ref="T592:T594" si="686">U592</f>
        <v>188.83699999999999</v>
      </c>
      <c r="U592" s="840">
        <v>188.83699999999999</v>
      </c>
      <c r="V592" s="841">
        <v>188.83699999999999</v>
      </c>
      <c r="W592" s="841">
        <v>188.55500000000001</v>
      </c>
      <c r="X592" s="861">
        <v>185.88800000000001</v>
      </c>
      <c r="Y592" s="841">
        <f t="shared" ref="Y592:Y594" si="687">Z592</f>
        <v>185.898</v>
      </c>
      <c r="Z592" s="840">
        <v>185.898</v>
      </c>
      <c r="AA592" s="841">
        <v>202.27199999999999</v>
      </c>
      <c r="AB592" s="841">
        <v>216.53</v>
      </c>
      <c r="AC592" s="861">
        <v>216.53</v>
      </c>
      <c r="AD592" s="841">
        <f t="shared" ref="AD592:AD594" si="688">AE592</f>
        <v>218.875</v>
      </c>
      <c r="AE592" s="840">
        <v>218.875</v>
      </c>
      <c r="AF592" s="841">
        <v>218.875</v>
      </c>
      <c r="AG592" s="841">
        <v>218.77099999999999</v>
      </c>
      <c r="AH592" s="861">
        <v>218.77099999999999</v>
      </c>
      <c r="AI592" s="841">
        <f t="shared" ref="AI592:AI594" si="689">AJ592</f>
        <v>218.77099999999999</v>
      </c>
      <c r="AJ592" s="840">
        <v>218.77099999999999</v>
      </c>
      <c r="AK592" s="841">
        <v>218.77099999999999</v>
      </c>
      <c r="AL592" s="841">
        <v>218.77099999999999</v>
      </c>
      <c r="AM592" s="842">
        <v>266.74099999999999</v>
      </c>
      <c r="AN592" s="862">
        <f>AM592</f>
        <v>266.74099999999999</v>
      </c>
      <c r="AO592" s="844">
        <f t="shared" si="680"/>
        <v>266.74099999999999</v>
      </c>
      <c r="AP592" s="862">
        <f t="shared" ref="AP592:AT592" si="690">AO592</f>
        <v>266.74099999999999</v>
      </c>
      <c r="AQ592" s="862">
        <f t="shared" si="690"/>
        <v>266.74099999999999</v>
      </c>
      <c r="AR592" s="862">
        <f t="shared" si="690"/>
        <v>266.74099999999999</v>
      </c>
      <c r="AS592" s="862">
        <f t="shared" si="690"/>
        <v>266.74099999999999</v>
      </c>
      <c r="AT592" s="844">
        <f t="shared" si="690"/>
        <v>266.74099999999999</v>
      </c>
      <c r="AU592" s="863">
        <f t="shared" ref="AU592:AW592" si="691">AT592</f>
        <v>266.74099999999999</v>
      </c>
      <c r="AV592" s="863">
        <f t="shared" si="691"/>
        <v>266.74099999999999</v>
      </c>
      <c r="AW592" s="863">
        <f t="shared" si="691"/>
        <v>266.74099999999999</v>
      </c>
      <c r="AX592" s="793"/>
    </row>
    <row r="593" spans="1:50" s="29" customFormat="1" x14ac:dyDescent="0.45">
      <c r="A593" s="61" t="s">
        <v>180</v>
      </c>
      <c r="B593" s="147"/>
      <c r="C593" s="840"/>
      <c r="D593" s="840"/>
      <c r="E593" s="840"/>
      <c r="F593" s="840"/>
      <c r="G593" s="841"/>
      <c r="H593" s="841"/>
      <c r="I593" s="841"/>
      <c r="J593" s="841">
        <f t="shared" si="684"/>
        <v>0</v>
      </c>
      <c r="K593" s="840"/>
      <c r="L593" s="841"/>
      <c r="M593" s="841"/>
      <c r="N593" s="841"/>
      <c r="O593" s="841">
        <f t="shared" si="685"/>
        <v>0</v>
      </c>
      <c r="P593" s="840"/>
      <c r="Q593" s="841"/>
      <c r="R593" s="841"/>
      <c r="S593" s="841"/>
      <c r="T593" s="841">
        <f t="shared" si="686"/>
        <v>0</v>
      </c>
      <c r="U593" s="840"/>
      <c r="V593" s="841"/>
      <c r="W593" s="841"/>
      <c r="X593" s="861"/>
      <c r="Y593" s="841">
        <f t="shared" si="687"/>
        <v>0</v>
      </c>
      <c r="Z593" s="840"/>
      <c r="AA593" s="841"/>
      <c r="AB593" s="841"/>
      <c r="AC593" s="861"/>
      <c r="AD593" s="841">
        <f t="shared" si="688"/>
        <v>0</v>
      </c>
      <c r="AE593" s="840"/>
      <c r="AF593" s="841">
        <v>2.7679999999999998</v>
      </c>
      <c r="AG593" s="841">
        <v>2.9420000000000002</v>
      </c>
      <c r="AH593" s="861">
        <v>3.6080000000000001</v>
      </c>
      <c r="AI593" s="841">
        <f t="shared" si="689"/>
        <v>3.7469999999999999</v>
      </c>
      <c r="AJ593" s="840">
        <v>3.7469999999999999</v>
      </c>
      <c r="AK593" s="841">
        <v>3.5539999999999998</v>
      </c>
      <c r="AL593" s="841">
        <v>3.1749999999999998</v>
      </c>
      <c r="AM593" s="842">
        <v>3.427</v>
      </c>
      <c r="AN593" s="862">
        <f t="shared" ref="AN593:AT594" si="692">AM593</f>
        <v>3.427</v>
      </c>
      <c r="AO593" s="844">
        <f t="shared" si="680"/>
        <v>3.427</v>
      </c>
      <c r="AP593" s="862">
        <f t="shared" si="692"/>
        <v>3.427</v>
      </c>
      <c r="AQ593" s="862">
        <f t="shared" si="692"/>
        <v>3.427</v>
      </c>
      <c r="AR593" s="862">
        <f t="shared" si="692"/>
        <v>3.427</v>
      </c>
      <c r="AS593" s="862">
        <f t="shared" si="692"/>
        <v>3.427</v>
      </c>
      <c r="AT593" s="844">
        <f t="shared" si="692"/>
        <v>3.427</v>
      </c>
      <c r="AU593" s="863">
        <f t="shared" ref="AU593:AW593" si="693">AT593</f>
        <v>3.427</v>
      </c>
      <c r="AV593" s="863">
        <f t="shared" si="693"/>
        <v>3.427</v>
      </c>
      <c r="AW593" s="863">
        <f t="shared" si="693"/>
        <v>3.427</v>
      </c>
      <c r="AX593" s="793"/>
    </row>
    <row r="594" spans="1:50" s="29" customFormat="1" x14ac:dyDescent="0.45">
      <c r="A594" s="214" t="s">
        <v>132</v>
      </c>
      <c r="B594" s="215"/>
      <c r="C594" s="848">
        <v>3.6469999999999998</v>
      </c>
      <c r="D594" s="848">
        <v>4.9320000000000004</v>
      </c>
      <c r="E594" s="848">
        <v>5.7729999999999997</v>
      </c>
      <c r="F594" s="848">
        <v>10.75</v>
      </c>
      <c r="G594" s="849">
        <v>10.843</v>
      </c>
      <c r="H594" s="849">
        <v>10.81</v>
      </c>
      <c r="I594" s="849">
        <v>11.337999999999999</v>
      </c>
      <c r="J594" s="849">
        <f t="shared" si="684"/>
        <v>10.292</v>
      </c>
      <c r="K594" s="848">
        <v>10.292</v>
      </c>
      <c r="L594" s="849">
        <v>17.273</v>
      </c>
      <c r="M594" s="849">
        <v>17.707999999999998</v>
      </c>
      <c r="N594" s="849">
        <v>17.670999999999999</v>
      </c>
      <c r="O594" s="849">
        <f t="shared" si="685"/>
        <v>11.882999999999999</v>
      </c>
      <c r="P594" s="848">
        <v>11.882999999999999</v>
      </c>
      <c r="Q594" s="849">
        <v>18.501000000000001</v>
      </c>
      <c r="R594" s="849">
        <v>17.884</v>
      </c>
      <c r="S594" s="849">
        <v>18.577000000000002</v>
      </c>
      <c r="T594" s="849">
        <f t="shared" si="686"/>
        <v>19.048999999999999</v>
      </c>
      <c r="U594" s="848">
        <v>19.048999999999999</v>
      </c>
      <c r="V594" s="849">
        <v>18.559000000000001</v>
      </c>
      <c r="W594" s="849">
        <v>19.024999999999999</v>
      </c>
      <c r="X594" s="864">
        <v>18.702999999999999</v>
      </c>
      <c r="Y594" s="849">
        <f t="shared" si="687"/>
        <v>19.010000000000002</v>
      </c>
      <c r="Z594" s="848">
        <v>19.010000000000002</v>
      </c>
      <c r="AA594" s="849">
        <v>18.882999999999999</v>
      </c>
      <c r="AB594" s="849">
        <v>18.649999999999999</v>
      </c>
      <c r="AC594" s="864">
        <v>18.298999999999999</v>
      </c>
      <c r="AD594" s="849">
        <f t="shared" si="688"/>
        <v>18.795000000000002</v>
      </c>
      <c r="AE594" s="848">
        <v>18.795000000000002</v>
      </c>
      <c r="AF594" s="849">
        <v>27.382999999999999</v>
      </c>
      <c r="AG594" s="849">
        <v>29.225999999999999</v>
      </c>
      <c r="AH594" s="864">
        <v>29.62</v>
      </c>
      <c r="AI594" s="849">
        <f t="shared" si="689"/>
        <v>32.478000000000002</v>
      </c>
      <c r="AJ594" s="848">
        <v>32.478000000000002</v>
      </c>
      <c r="AK594" s="849">
        <v>32.606000000000002</v>
      </c>
      <c r="AL594" s="849">
        <v>33.017000000000003</v>
      </c>
      <c r="AM594" s="850">
        <v>33.773000000000003</v>
      </c>
      <c r="AN594" s="864">
        <f t="shared" si="692"/>
        <v>33.773000000000003</v>
      </c>
      <c r="AO594" s="848">
        <f t="shared" si="680"/>
        <v>33.773000000000003</v>
      </c>
      <c r="AP594" s="864">
        <f t="shared" si="692"/>
        <v>33.773000000000003</v>
      </c>
      <c r="AQ594" s="864">
        <f t="shared" si="692"/>
        <v>33.773000000000003</v>
      </c>
      <c r="AR594" s="864">
        <f t="shared" si="692"/>
        <v>33.773000000000003</v>
      </c>
      <c r="AS594" s="864">
        <f t="shared" si="692"/>
        <v>33.773000000000003</v>
      </c>
      <c r="AT594" s="848">
        <f t="shared" si="692"/>
        <v>33.773000000000003</v>
      </c>
      <c r="AU594" s="865">
        <f t="shared" ref="AU594:AW594" si="694">AT594</f>
        <v>33.773000000000003</v>
      </c>
      <c r="AV594" s="865">
        <f t="shared" si="694"/>
        <v>33.773000000000003</v>
      </c>
      <c r="AW594" s="865">
        <f t="shared" si="694"/>
        <v>33.773000000000003</v>
      </c>
      <c r="AX594" s="793"/>
    </row>
    <row r="595" spans="1:50" s="7" customFormat="1" x14ac:dyDescent="0.45">
      <c r="A595" s="53" t="s">
        <v>181</v>
      </c>
      <c r="B595" s="146"/>
      <c r="C595" s="845">
        <f t="shared" ref="C595:AW595" si="695">SUM(C586:C588,C591:C594)</f>
        <v>95.637000000000015</v>
      </c>
      <c r="D595" s="845">
        <f t="shared" si="695"/>
        <v>106.68900000000001</v>
      </c>
      <c r="E595" s="845">
        <f t="shared" si="695"/>
        <v>137.77000000000001</v>
      </c>
      <c r="F595" s="845">
        <f t="shared" si="695"/>
        <v>157.869</v>
      </c>
      <c r="G595" s="846">
        <f t="shared" si="695"/>
        <v>160.655</v>
      </c>
      <c r="H595" s="846">
        <f t="shared" si="695"/>
        <v>222.328</v>
      </c>
      <c r="I595" s="846">
        <f t="shared" si="695"/>
        <v>195.16499999999999</v>
      </c>
      <c r="J595" s="846">
        <f t="shared" si="695"/>
        <v>199.596</v>
      </c>
      <c r="K595" s="845">
        <f t="shared" si="695"/>
        <v>199.596</v>
      </c>
      <c r="L595" s="846">
        <f t="shared" si="695"/>
        <v>194.376</v>
      </c>
      <c r="M595" s="846">
        <f t="shared" si="695"/>
        <v>193.27100000000002</v>
      </c>
      <c r="N595" s="846">
        <f t="shared" si="695"/>
        <v>190.00399999999999</v>
      </c>
      <c r="O595" s="846">
        <f t="shared" si="695"/>
        <v>204.54400000000001</v>
      </c>
      <c r="P595" s="845">
        <f t="shared" si="695"/>
        <v>204.54400000000001</v>
      </c>
      <c r="Q595" s="846">
        <f t="shared" si="695"/>
        <v>205.68699999999998</v>
      </c>
      <c r="R595" s="846">
        <f t="shared" si="695"/>
        <v>204.30900000000003</v>
      </c>
      <c r="S595" s="846">
        <f t="shared" si="695"/>
        <v>206.19499999999999</v>
      </c>
      <c r="T595" s="846">
        <f t="shared" si="695"/>
        <v>346.79899999999998</v>
      </c>
      <c r="U595" s="845">
        <f t="shared" si="695"/>
        <v>346.79899999999998</v>
      </c>
      <c r="V595" s="846">
        <f t="shared" si="695"/>
        <v>342.00700000000001</v>
      </c>
      <c r="W595" s="846">
        <f t="shared" si="695"/>
        <v>335.63</v>
      </c>
      <c r="X595" s="859">
        <f t="shared" si="695"/>
        <v>328.18499999999995</v>
      </c>
      <c r="Y595" s="846">
        <f t="shared" si="695"/>
        <v>326.41899999999998</v>
      </c>
      <c r="Z595" s="845">
        <f t="shared" si="695"/>
        <v>326.41899999999998</v>
      </c>
      <c r="AA595" s="846">
        <f t="shared" si="695"/>
        <v>358.36599999999999</v>
      </c>
      <c r="AB595" s="846">
        <f t="shared" si="695"/>
        <v>380.91999999999996</v>
      </c>
      <c r="AC595" s="859">
        <f t="shared" si="695"/>
        <v>373.03499999999997</v>
      </c>
      <c r="AD595" s="846">
        <f t="shared" si="695"/>
        <v>374.09300000000002</v>
      </c>
      <c r="AE595" s="845">
        <f t="shared" si="695"/>
        <v>374.09300000000002</v>
      </c>
      <c r="AF595" s="846">
        <f t="shared" si="695"/>
        <v>379.32399999999996</v>
      </c>
      <c r="AG595" s="846">
        <f t="shared" si="695"/>
        <v>377.04999999999995</v>
      </c>
      <c r="AH595" s="859">
        <f t="shared" si="695"/>
        <v>372.964</v>
      </c>
      <c r="AI595" s="846">
        <f t="shared" si="695"/>
        <v>373.04399999999998</v>
      </c>
      <c r="AJ595" s="845">
        <f t="shared" si="695"/>
        <v>373.04399999999998</v>
      </c>
      <c r="AK595" s="846">
        <f t="shared" si="695"/>
        <v>411.80899999999997</v>
      </c>
      <c r="AL595" s="846">
        <f t="shared" si="695"/>
        <v>402.774</v>
      </c>
      <c r="AM595" s="847">
        <f t="shared" si="695"/>
        <v>469.529</v>
      </c>
      <c r="AN595" s="859">
        <f t="shared" si="695"/>
        <v>464.92900000000009</v>
      </c>
      <c r="AO595" s="845">
        <f t="shared" si="695"/>
        <v>464.92900000000009</v>
      </c>
      <c r="AP595" s="859">
        <f t="shared" ca="1" si="695"/>
        <v>460.52900000000005</v>
      </c>
      <c r="AQ595" s="859">
        <f t="shared" ca="1" si="695"/>
        <v>456.12900000000002</v>
      </c>
      <c r="AR595" s="859">
        <f t="shared" ca="1" si="695"/>
        <v>451.72900000000004</v>
      </c>
      <c r="AS595" s="859">
        <f t="shared" ca="1" si="695"/>
        <v>447.32900000000006</v>
      </c>
      <c r="AT595" s="845">
        <f t="shared" ca="1" si="695"/>
        <v>447.32900000000006</v>
      </c>
      <c r="AU595" s="860">
        <f t="shared" ca="1" si="695"/>
        <v>431.12900000000002</v>
      </c>
      <c r="AV595" s="860">
        <f t="shared" ca="1" si="695"/>
        <v>416.32900000000006</v>
      </c>
      <c r="AW595" s="860">
        <f t="shared" ca="1" si="695"/>
        <v>402.92900000000003</v>
      </c>
      <c r="AX595" s="795"/>
    </row>
    <row r="596" spans="1:50" s="7" customFormat="1" x14ac:dyDescent="0.45">
      <c r="A596" s="54" t="s">
        <v>182</v>
      </c>
      <c r="B596" s="69"/>
      <c r="C596" s="851">
        <f t="shared" ref="C596:AW596" si="696">C583+C595</f>
        <v>310.18</v>
      </c>
      <c r="D596" s="851">
        <f t="shared" si="696"/>
        <v>378.68599999999998</v>
      </c>
      <c r="E596" s="851">
        <f t="shared" si="696"/>
        <v>440.35199999999998</v>
      </c>
      <c r="F596" s="851">
        <f t="shared" si="696"/>
        <v>443.05499999999995</v>
      </c>
      <c r="G596" s="852">
        <f t="shared" si="696"/>
        <v>444.82100000000003</v>
      </c>
      <c r="H596" s="852">
        <f t="shared" si="696"/>
        <v>467.33100000000002</v>
      </c>
      <c r="I596" s="852">
        <f t="shared" si="696"/>
        <v>447.77699999999999</v>
      </c>
      <c r="J596" s="852">
        <f t="shared" si="696"/>
        <v>451.351</v>
      </c>
      <c r="K596" s="851">
        <f t="shared" si="696"/>
        <v>451.351</v>
      </c>
      <c r="L596" s="852">
        <f t="shared" si="696"/>
        <v>441.78100000000001</v>
      </c>
      <c r="M596" s="852">
        <f t="shared" si="696"/>
        <v>440.10700000000003</v>
      </c>
      <c r="N596" s="852">
        <f t="shared" si="696"/>
        <v>439.25099999999998</v>
      </c>
      <c r="O596" s="852">
        <f t="shared" si="696"/>
        <v>460.52100000000002</v>
      </c>
      <c r="P596" s="851">
        <f t="shared" si="696"/>
        <v>460.52100000000002</v>
      </c>
      <c r="Q596" s="852">
        <f t="shared" si="696"/>
        <v>440.88900000000001</v>
      </c>
      <c r="R596" s="852">
        <f t="shared" si="696"/>
        <v>436.14200000000005</v>
      </c>
      <c r="S596" s="852">
        <f t="shared" si="696"/>
        <v>433.39</v>
      </c>
      <c r="T596" s="852">
        <f t="shared" si="696"/>
        <v>530.79</v>
      </c>
      <c r="U596" s="851">
        <f t="shared" si="696"/>
        <v>530.79</v>
      </c>
      <c r="V596" s="852">
        <f t="shared" si="696"/>
        <v>505.07400000000001</v>
      </c>
      <c r="W596" s="852">
        <f t="shared" si="696"/>
        <v>478.88800000000003</v>
      </c>
      <c r="X596" s="866">
        <f t="shared" si="696"/>
        <v>463.01899999999995</v>
      </c>
      <c r="Y596" s="852">
        <f t="shared" si="696"/>
        <v>473.221</v>
      </c>
      <c r="Z596" s="851">
        <f t="shared" si="696"/>
        <v>473.221</v>
      </c>
      <c r="AA596" s="852">
        <f t="shared" si="696"/>
        <v>489.90899999999999</v>
      </c>
      <c r="AB596" s="852">
        <f t="shared" si="696"/>
        <v>514.05999999999995</v>
      </c>
      <c r="AC596" s="866">
        <f t="shared" si="696"/>
        <v>501.38299999999992</v>
      </c>
      <c r="AD596" s="852">
        <f t="shared" si="696"/>
        <v>515.755</v>
      </c>
      <c r="AE596" s="851">
        <f t="shared" si="696"/>
        <v>515.755</v>
      </c>
      <c r="AF596" s="852">
        <f t="shared" si="696"/>
        <v>535.13499999999999</v>
      </c>
      <c r="AG596" s="852">
        <f t="shared" si="696"/>
        <v>535.68499999999995</v>
      </c>
      <c r="AH596" s="866">
        <f t="shared" si="696"/>
        <v>530.74299999999994</v>
      </c>
      <c r="AI596" s="852">
        <f t="shared" si="696"/>
        <v>532.89499999999998</v>
      </c>
      <c r="AJ596" s="851">
        <f t="shared" si="696"/>
        <v>532.89499999999998</v>
      </c>
      <c r="AK596" s="852">
        <f t="shared" si="696"/>
        <v>567.32500000000005</v>
      </c>
      <c r="AL596" s="852">
        <f t="shared" si="696"/>
        <v>572.82799999999997</v>
      </c>
      <c r="AM596" s="853">
        <f t="shared" si="696"/>
        <v>622.89499999999998</v>
      </c>
      <c r="AN596" s="867">
        <f t="shared" ca="1" si="696"/>
        <v>629.23127390583068</v>
      </c>
      <c r="AO596" s="855">
        <f t="shared" ca="1" si="696"/>
        <v>629.23127390583068</v>
      </c>
      <c r="AP596" s="867">
        <f t="shared" ca="1" si="696"/>
        <v>637.30414466740115</v>
      </c>
      <c r="AQ596" s="867">
        <f t="shared" ca="1" si="696"/>
        <v>648.7652960283707</v>
      </c>
      <c r="AR596" s="867">
        <f t="shared" ca="1" si="696"/>
        <v>659.61002005788623</v>
      </c>
      <c r="AS596" s="867">
        <f t="shared" ca="1" si="696"/>
        <v>669.84438535579011</v>
      </c>
      <c r="AT596" s="855">
        <f t="shared" ca="1" si="696"/>
        <v>669.84438535579011</v>
      </c>
      <c r="AU596" s="868">
        <f t="shared" ca="1" si="696"/>
        <v>712.58022618538973</v>
      </c>
      <c r="AV596" s="868">
        <f t="shared" ca="1" si="696"/>
        <v>759.60550569736824</v>
      </c>
      <c r="AW596" s="868">
        <f t="shared" ca="1" si="696"/>
        <v>807.92873260254328</v>
      </c>
      <c r="AX596" s="795"/>
    </row>
    <row r="597" spans="1:50" s="7" customFormat="1" x14ac:dyDescent="0.45">
      <c r="A597" s="54"/>
      <c r="B597" s="69"/>
      <c r="C597" s="851"/>
      <c r="D597" s="851"/>
      <c r="E597" s="851"/>
      <c r="F597" s="851"/>
      <c r="G597" s="852"/>
      <c r="H597" s="852"/>
      <c r="I597" s="852"/>
      <c r="J597" s="852"/>
      <c r="K597" s="851"/>
      <c r="L597" s="852"/>
      <c r="M597" s="852"/>
      <c r="N597" s="852"/>
      <c r="O597" s="852"/>
      <c r="P597" s="851"/>
      <c r="Q597" s="852"/>
      <c r="R597" s="852"/>
      <c r="S597" s="852"/>
      <c r="T597" s="852"/>
      <c r="U597" s="851"/>
      <c r="V597" s="852"/>
      <c r="W597" s="852"/>
      <c r="X597" s="852"/>
      <c r="Y597" s="852"/>
      <c r="Z597" s="851"/>
      <c r="AA597" s="852"/>
      <c r="AB597" s="852"/>
      <c r="AC597" s="852"/>
      <c r="AD597" s="852"/>
      <c r="AE597" s="851"/>
      <c r="AF597" s="852"/>
      <c r="AG597" s="852"/>
      <c r="AH597" s="852"/>
      <c r="AI597" s="852"/>
      <c r="AJ597" s="851"/>
      <c r="AK597" s="852"/>
      <c r="AL597" s="852"/>
      <c r="AM597" s="853"/>
      <c r="AN597" s="854"/>
      <c r="AO597" s="855"/>
      <c r="AP597" s="854"/>
      <c r="AQ597" s="854"/>
      <c r="AR597" s="854"/>
      <c r="AS597" s="854"/>
      <c r="AT597" s="855"/>
      <c r="AU597" s="855"/>
      <c r="AV597" s="855"/>
      <c r="AW597" s="855"/>
      <c r="AX597" s="795"/>
    </row>
    <row r="598" spans="1:50" s="7" customFormat="1" x14ac:dyDescent="0.45">
      <c r="A598" s="54" t="s">
        <v>183</v>
      </c>
      <c r="B598" s="69"/>
      <c r="C598" s="851"/>
      <c r="D598" s="851"/>
      <c r="E598" s="851"/>
      <c r="F598" s="851"/>
      <c r="G598" s="852"/>
      <c r="H598" s="852"/>
      <c r="I598" s="852"/>
      <c r="J598" s="852"/>
      <c r="K598" s="851"/>
      <c r="L598" s="852"/>
      <c r="M598" s="852"/>
      <c r="N598" s="852"/>
      <c r="O598" s="852"/>
      <c r="P598" s="851"/>
      <c r="Q598" s="852"/>
      <c r="R598" s="852"/>
      <c r="S598" s="852"/>
      <c r="T598" s="852"/>
      <c r="U598" s="851"/>
      <c r="V598" s="852"/>
      <c r="W598" s="852"/>
      <c r="X598" s="852"/>
      <c r="Y598" s="852"/>
      <c r="Z598" s="851"/>
      <c r="AA598" s="852"/>
      <c r="AB598" s="852"/>
      <c r="AC598" s="852"/>
      <c r="AD598" s="852"/>
      <c r="AE598" s="851"/>
      <c r="AF598" s="852"/>
      <c r="AG598" s="852"/>
      <c r="AH598" s="852"/>
      <c r="AI598" s="852"/>
      <c r="AJ598" s="851"/>
      <c r="AK598" s="852"/>
      <c r="AL598" s="852"/>
      <c r="AM598" s="853"/>
      <c r="AN598" s="854"/>
      <c r="AO598" s="855"/>
      <c r="AP598" s="854"/>
      <c r="AQ598" s="854"/>
      <c r="AR598" s="854"/>
      <c r="AS598" s="854"/>
      <c r="AT598" s="855"/>
      <c r="AU598" s="855"/>
      <c r="AV598" s="855"/>
      <c r="AW598" s="855"/>
      <c r="AX598" s="795"/>
    </row>
    <row r="599" spans="1:50" s="29" customFormat="1" x14ac:dyDescent="0.45">
      <c r="A599" s="61" t="s">
        <v>133</v>
      </c>
      <c r="B599" s="147"/>
      <c r="C599" s="840">
        <v>3.3420000000000001</v>
      </c>
      <c r="D599" s="840">
        <v>6.6859999999999999</v>
      </c>
      <c r="E599" s="840">
        <v>4.532</v>
      </c>
      <c r="F599" s="840">
        <v>11.500999999999999</v>
      </c>
      <c r="G599" s="841">
        <v>7.44</v>
      </c>
      <c r="H599" s="841">
        <v>8.8230000000000004</v>
      </c>
      <c r="I599" s="841">
        <v>4.7969999999999997</v>
      </c>
      <c r="J599" s="841">
        <f t="shared" ref="J599:J605" si="697">K599</f>
        <v>7.8879999999999999</v>
      </c>
      <c r="K599" s="840">
        <v>7.8879999999999999</v>
      </c>
      <c r="L599" s="841">
        <v>8.85</v>
      </c>
      <c r="M599" s="841">
        <v>8.9649999999999999</v>
      </c>
      <c r="N599" s="841">
        <v>6.9619999999999997</v>
      </c>
      <c r="O599" s="841">
        <f t="shared" ref="O599:O605" si="698">P599</f>
        <v>10.018000000000001</v>
      </c>
      <c r="P599" s="840">
        <v>10.018000000000001</v>
      </c>
      <c r="Q599" s="841">
        <v>11.095000000000001</v>
      </c>
      <c r="R599" s="841">
        <v>10.965</v>
      </c>
      <c r="S599" s="841">
        <v>10.25</v>
      </c>
      <c r="T599" s="841">
        <f t="shared" ref="T599:T605" si="699">U599</f>
        <v>11.125999999999999</v>
      </c>
      <c r="U599" s="840">
        <v>11.125999999999999</v>
      </c>
      <c r="V599" s="841">
        <v>4.1219999999999999</v>
      </c>
      <c r="W599" s="841">
        <v>5.4379999999999997</v>
      </c>
      <c r="X599" s="861">
        <v>5.2229999999999999</v>
      </c>
      <c r="Y599" s="841">
        <f t="shared" ref="Y599:Y605" si="700">Z599</f>
        <v>4.6180000000000003</v>
      </c>
      <c r="Z599" s="840">
        <v>4.6180000000000003</v>
      </c>
      <c r="AA599" s="841">
        <v>5.0069999999999997</v>
      </c>
      <c r="AB599" s="841">
        <v>6.8129999999999997</v>
      </c>
      <c r="AC599" s="861">
        <v>3.069</v>
      </c>
      <c r="AD599" s="841">
        <f t="shared" ref="AD599:AD605" si="701">AE599</f>
        <v>4.2130000000000001</v>
      </c>
      <c r="AE599" s="840">
        <v>4.2130000000000001</v>
      </c>
      <c r="AF599" s="841">
        <v>3.133</v>
      </c>
      <c r="AG599" s="841">
        <v>6.2370000000000001</v>
      </c>
      <c r="AH599" s="861">
        <v>3.6110000000000002</v>
      </c>
      <c r="AI599" s="841">
        <f t="shared" ref="AI599:AI605" si="702">AJ599</f>
        <v>5.4320000000000004</v>
      </c>
      <c r="AJ599" s="840">
        <v>5.4320000000000004</v>
      </c>
      <c r="AK599" s="841">
        <v>5.8479999999999999</v>
      </c>
      <c r="AL599" s="841">
        <v>4.8369999999999997</v>
      </c>
      <c r="AM599" s="842">
        <v>9.4109999999999996</v>
      </c>
      <c r="AN599" s="862">
        <f>AN561</f>
        <v>7.9111094987103812</v>
      </c>
      <c r="AO599" s="844">
        <f t="shared" ref="AO599:AT599" si="703">AN599</f>
        <v>7.9111094987103812</v>
      </c>
      <c r="AP599" s="862">
        <f t="shared" ref="AP599:AS599" si="704">AP561</f>
        <v>8.2404640323688518</v>
      </c>
      <c r="AQ599" s="862">
        <f t="shared" si="704"/>
        <v>8.7705133202458985</v>
      </c>
      <c r="AR599" s="862">
        <f t="shared" si="704"/>
        <v>8.7988996614344277</v>
      </c>
      <c r="AS599" s="862">
        <f t="shared" si="704"/>
        <v>9.131156697918108</v>
      </c>
      <c r="AT599" s="844">
        <f t="shared" si="703"/>
        <v>9.131156697918108</v>
      </c>
      <c r="AU599" s="863">
        <f t="shared" ref="AU599:AW599" si="705">AU561</f>
        <v>8.503143631447788</v>
      </c>
      <c r="AV599" s="863">
        <f t="shared" si="705"/>
        <v>9.6686021224263285</v>
      </c>
      <c r="AW599" s="863">
        <f t="shared" si="705"/>
        <v>9.0179349163677571</v>
      </c>
      <c r="AX599" s="793"/>
    </row>
    <row r="600" spans="1:50" s="29" customFormat="1" x14ac:dyDescent="0.45">
      <c r="A600" s="61" t="s">
        <v>140</v>
      </c>
      <c r="B600" s="147"/>
      <c r="C600" s="840">
        <v>64.108999999999995</v>
      </c>
      <c r="D600" s="840">
        <v>76.694999999999993</v>
      </c>
      <c r="E600" s="840">
        <v>83.108000000000004</v>
      </c>
      <c r="F600" s="840">
        <v>65.206999999999994</v>
      </c>
      <c r="G600" s="841">
        <v>62.725000000000001</v>
      </c>
      <c r="H600" s="841">
        <v>66.643000000000001</v>
      </c>
      <c r="I600" s="841">
        <v>72.725999999999999</v>
      </c>
      <c r="J600" s="841">
        <f t="shared" si="697"/>
        <v>71.076999999999998</v>
      </c>
      <c r="K600" s="840">
        <v>71.076999999999998</v>
      </c>
      <c r="L600" s="841">
        <v>70.691999999999993</v>
      </c>
      <c r="M600" s="841">
        <v>69.626999999999995</v>
      </c>
      <c r="N600" s="841">
        <v>67.756</v>
      </c>
      <c r="O600" s="841">
        <f t="shared" si="698"/>
        <v>66.343000000000004</v>
      </c>
      <c r="P600" s="840">
        <v>66.343000000000004</v>
      </c>
      <c r="Q600" s="841">
        <v>61.863</v>
      </c>
      <c r="R600" s="841">
        <v>57.683</v>
      </c>
      <c r="S600" s="841">
        <v>55.146000000000001</v>
      </c>
      <c r="T600" s="841">
        <f t="shared" si="699"/>
        <v>57.935000000000002</v>
      </c>
      <c r="U600" s="840">
        <v>57.935000000000002</v>
      </c>
      <c r="V600" s="841">
        <v>54.360999999999997</v>
      </c>
      <c r="W600" s="841">
        <v>52.295000000000002</v>
      </c>
      <c r="X600" s="861">
        <v>49.762999999999998</v>
      </c>
      <c r="Y600" s="841">
        <f t="shared" si="700"/>
        <v>52.383000000000003</v>
      </c>
      <c r="Z600" s="840">
        <v>52.383000000000003</v>
      </c>
      <c r="AA600" s="841">
        <v>51.470999999999997</v>
      </c>
      <c r="AB600" s="841">
        <v>52.284999999999997</v>
      </c>
      <c r="AC600" s="861">
        <v>52.843000000000004</v>
      </c>
      <c r="AD600" s="841">
        <f t="shared" si="701"/>
        <v>54.079000000000001</v>
      </c>
      <c r="AE600" s="840">
        <v>54.079000000000001</v>
      </c>
      <c r="AF600" s="841">
        <v>52.195999999999998</v>
      </c>
      <c r="AG600" s="841">
        <v>50.023000000000003</v>
      </c>
      <c r="AH600" s="861">
        <v>50.448999999999998</v>
      </c>
      <c r="AI600" s="841">
        <f t="shared" si="702"/>
        <v>56.009</v>
      </c>
      <c r="AJ600" s="840">
        <v>56.009</v>
      </c>
      <c r="AK600" s="841">
        <v>53.963000000000001</v>
      </c>
      <c r="AL600" s="841">
        <v>54.100999999999999</v>
      </c>
      <c r="AM600" s="842">
        <v>52.905000000000001</v>
      </c>
      <c r="AN600" s="862">
        <f t="shared" ref="AN600:AW605" si="706">AM600</f>
        <v>52.905000000000001</v>
      </c>
      <c r="AO600" s="844">
        <f t="shared" si="706"/>
        <v>52.905000000000001</v>
      </c>
      <c r="AP600" s="862">
        <f t="shared" si="706"/>
        <v>52.905000000000001</v>
      </c>
      <c r="AQ600" s="862">
        <f t="shared" si="706"/>
        <v>52.905000000000001</v>
      </c>
      <c r="AR600" s="862">
        <f t="shared" si="706"/>
        <v>52.905000000000001</v>
      </c>
      <c r="AS600" s="862">
        <f t="shared" si="706"/>
        <v>52.905000000000001</v>
      </c>
      <c r="AT600" s="844">
        <f t="shared" si="706"/>
        <v>52.905000000000001</v>
      </c>
      <c r="AU600" s="863">
        <f t="shared" si="706"/>
        <v>52.905000000000001</v>
      </c>
      <c r="AV600" s="863">
        <f t="shared" si="706"/>
        <v>52.905000000000001</v>
      </c>
      <c r="AW600" s="863">
        <f t="shared" si="706"/>
        <v>52.905000000000001</v>
      </c>
      <c r="AX600" s="793"/>
    </row>
    <row r="601" spans="1:50" s="29" customFormat="1" x14ac:dyDescent="0.45">
      <c r="A601" s="61" t="s">
        <v>135</v>
      </c>
      <c r="B601" s="147"/>
      <c r="C601" s="840">
        <v>8.9510000000000005</v>
      </c>
      <c r="D601" s="840">
        <v>10.247</v>
      </c>
      <c r="E601" s="840">
        <v>11.87</v>
      </c>
      <c r="F601" s="840">
        <v>11.914999999999999</v>
      </c>
      <c r="G601" s="841">
        <v>12.073</v>
      </c>
      <c r="H601" s="841">
        <v>11.976000000000001</v>
      </c>
      <c r="I601" s="841">
        <v>13.692</v>
      </c>
      <c r="J601" s="841">
        <f t="shared" si="697"/>
        <v>15.952999999999999</v>
      </c>
      <c r="K601" s="840">
        <v>15.952999999999999</v>
      </c>
      <c r="L601" s="841">
        <v>13.894</v>
      </c>
      <c r="M601" s="841">
        <v>15.949</v>
      </c>
      <c r="N601" s="841">
        <v>19.588000000000001</v>
      </c>
      <c r="O601" s="841">
        <f t="shared" si="698"/>
        <v>24.050999999999998</v>
      </c>
      <c r="P601" s="840">
        <v>24.050999999999998</v>
      </c>
      <c r="Q601" s="841">
        <v>15.645</v>
      </c>
      <c r="R601" s="841">
        <v>16.321000000000002</v>
      </c>
      <c r="S601" s="841">
        <v>16.344999999999999</v>
      </c>
      <c r="T601" s="841">
        <f t="shared" si="699"/>
        <v>18.670000000000002</v>
      </c>
      <c r="U601" s="840">
        <v>18.670000000000002</v>
      </c>
      <c r="V601" s="841">
        <v>14.257</v>
      </c>
      <c r="W601" s="841">
        <v>15.192</v>
      </c>
      <c r="X601" s="861">
        <v>18.62</v>
      </c>
      <c r="Y601" s="841">
        <f t="shared" si="700"/>
        <v>24.513000000000002</v>
      </c>
      <c r="Z601" s="840">
        <v>24.513000000000002</v>
      </c>
      <c r="AA601" s="841">
        <v>14.388</v>
      </c>
      <c r="AB601" s="841">
        <v>17.602</v>
      </c>
      <c r="AC601" s="861">
        <v>21.898</v>
      </c>
      <c r="AD601" s="841">
        <f t="shared" si="701"/>
        <v>27.91</v>
      </c>
      <c r="AE601" s="840">
        <v>27.91</v>
      </c>
      <c r="AF601" s="841">
        <v>17.567</v>
      </c>
      <c r="AG601" s="841">
        <v>18.885000000000002</v>
      </c>
      <c r="AH601" s="861">
        <v>24.178999999999998</v>
      </c>
      <c r="AI601" s="841">
        <f t="shared" si="702"/>
        <v>25.663</v>
      </c>
      <c r="AJ601" s="840">
        <v>25.663</v>
      </c>
      <c r="AK601" s="841">
        <v>17.225999999999999</v>
      </c>
      <c r="AL601" s="841">
        <v>21.824999999999999</v>
      </c>
      <c r="AM601" s="842">
        <v>25.309000000000001</v>
      </c>
      <c r="AN601" s="862">
        <f>AN552</f>
        <v>21.7003916</v>
      </c>
      <c r="AO601" s="844">
        <f t="shared" si="706"/>
        <v>21.7003916</v>
      </c>
      <c r="AP601" s="862">
        <f t="shared" ref="AP601:AS601" si="707">AP552</f>
        <v>21.903478999999997</v>
      </c>
      <c r="AQ601" s="862">
        <f t="shared" si="707"/>
        <v>22.084289399999999</v>
      </c>
      <c r="AR601" s="862">
        <f t="shared" si="707"/>
        <v>22.245996599999998</v>
      </c>
      <c r="AS601" s="862">
        <f t="shared" si="707"/>
        <v>22.402266672</v>
      </c>
      <c r="AT601" s="844">
        <f t="shared" si="706"/>
        <v>22.402266672</v>
      </c>
      <c r="AU601" s="863">
        <f t="shared" ref="AU601:AW601" si="708">AU552</f>
        <v>23.073340680112</v>
      </c>
      <c r="AV601" s="863">
        <f t="shared" si="708"/>
        <v>23.779954586533346</v>
      </c>
      <c r="AW601" s="863">
        <f t="shared" si="708"/>
        <v>24.524290764645194</v>
      </c>
      <c r="AX601" s="793"/>
    </row>
    <row r="602" spans="1:50" s="29" customFormat="1" x14ac:dyDescent="0.45">
      <c r="A602" s="61" t="s">
        <v>184</v>
      </c>
      <c r="B602" s="147"/>
      <c r="C602" s="840"/>
      <c r="D602" s="840">
        <v>3.53</v>
      </c>
      <c r="E602" s="840"/>
      <c r="F602" s="840">
        <v>1.48</v>
      </c>
      <c r="G602" s="841">
        <v>5.55</v>
      </c>
      <c r="H602" s="841"/>
      <c r="I602" s="841"/>
      <c r="J602" s="841">
        <f t="shared" si="697"/>
        <v>0</v>
      </c>
      <c r="K602" s="840"/>
      <c r="L602" s="841"/>
      <c r="M602" s="841"/>
      <c r="N602" s="841"/>
      <c r="O602" s="841">
        <f t="shared" si="698"/>
        <v>10.048</v>
      </c>
      <c r="P602" s="840">
        <v>10.048</v>
      </c>
      <c r="Q602" s="841">
        <v>2.6859999999999999</v>
      </c>
      <c r="R602" s="841">
        <v>6.0999999999999999E-2</v>
      </c>
      <c r="S602" s="841">
        <v>5.2999999999999999E-2</v>
      </c>
      <c r="T602" s="841">
        <f t="shared" si="699"/>
        <v>9.0999999999999998E-2</v>
      </c>
      <c r="U602" s="840">
        <v>9.0999999999999998E-2</v>
      </c>
      <c r="V602" s="841">
        <v>0.09</v>
      </c>
      <c r="W602" s="841">
        <v>0.185</v>
      </c>
      <c r="X602" s="861">
        <v>8.0000000000000002E-3</v>
      </c>
      <c r="Y602" s="841">
        <f t="shared" si="700"/>
        <v>0.40500000000000003</v>
      </c>
      <c r="Z602" s="840">
        <v>0.40500000000000003</v>
      </c>
      <c r="AA602" s="841">
        <v>2.2650000000000001</v>
      </c>
      <c r="AB602" s="841"/>
      <c r="AC602" s="861"/>
      <c r="AD602" s="841">
        <f t="shared" si="701"/>
        <v>7.2999999999999995E-2</v>
      </c>
      <c r="AE602" s="840">
        <v>7.2999999999999995E-2</v>
      </c>
      <c r="AF602" s="841">
        <v>0.111</v>
      </c>
      <c r="AG602" s="841">
        <v>1.7999999999999999E-2</v>
      </c>
      <c r="AH602" s="861">
        <v>4.7E-2</v>
      </c>
      <c r="AI602" s="841">
        <f t="shared" si="702"/>
        <v>6.4000000000000001E-2</v>
      </c>
      <c r="AJ602" s="840">
        <v>6.4000000000000001E-2</v>
      </c>
      <c r="AK602" s="841">
        <v>5.7000000000000002E-2</v>
      </c>
      <c r="AL602" s="841"/>
      <c r="AM602" s="842"/>
      <c r="AN602" s="862">
        <f t="shared" si="706"/>
        <v>0</v>
      </c>
      <c r="AO602" s="844">
        <f t="shared" si="706"/>
        <v>0</v>
      </c>
      <c r="AP602" s="862">
        <f t="shared" si="706"/>
        <v>0</v>
      </c>
      <c r="AQ602" s="862">
        <f t="shared" si="706"/>
        <v>0</v>
      </c>
      <c r="AR602" s="862">
        <f t="shared" si="706"/>
        <v>0</v>
      </c>
      <c r="AS602" s="862">
        <f t="shared" si="706"/>
        <v>0</v>
      </c>
      <c r="AT602" s="844">
        <f t="shared" si="706"/>
        <v>0</v>
      </c>
      <c r="AU602" s="863">
        <f t="shared" si="706"/>
        <v>0</v>
      </c>
      <c r="AV602" s="863">
        <f t="shared" si="706"/>
        <v>0</v>
      </c>
      <c r="AW602" s="863">
        <f t="shared" si="706"/>
        <v>0</v>
      </c>
      <c r="AX602" s="793"/>
    </row>
    <row r="603" spans="1:50" s="29" customFormat="1" x14ac:dyDescent="0.45">
      <c r="A603" s="61" t="s">
        <v>185</v>
      </c>
      <c r="B603" s="147"/>
      <c r="C603" s="840">
        <v>8.6639999999999997</v>
      </c>
      <c r="D603" s="840">
        <v>10.162000000000001</v>
      </c>
      <c r="E603" s="840">
        <v>10.353999999999999</v>
      </c>
      <c r="F603" s="840">
        <v>10.417999999999999</v>
      </c>
      <c r="G603" s="841">
        <v>10.426</v>
      </c>
      <c r="H603" s="841">
        <v>10.672000000000001</v>
      </c>
      <c r="I603" s="841">
        <v>10.686999999999999</v>
      </c>
      <c r="J603" s="841">
        <f t="shared" si="697"/>
        <v>10.686</v>
      </c>
      <c r="K603" s="840">
        <v>10.686</v>
      </c>
      <c r="L603" s="841">
        <v>10.69</v>
      </c>
      <c r="M603" s="841">
        <v>10.696999999999999</v>
      </c>
      <c r="N603" s="841">
        <v>10.696999999999999</v>
      </c>
      <c r="O603" s="841">
        <f t="shared" si="698"/>
        <v>10.7</v>
      </c>
      <c r="P603" s="840">
        <v>10.7</v>
      </c>
      <c r="Q603" s="841">
        <v>10.702999999999999</v>
      </c>
      <c r="R603" s="841">
        <v>10.722</v>
      </c>
      <c r="S603" s="841">
        <v>10.726000000000001</v>
      </c>
      <c r="T603" s="841">
        <f t="shared" si="699"/>
        <v>0</v>
      </c>
      <c r="U603" s="840"/>
      <c r="V603" s="841"/>
      <c r="W603" s="841"/>
      <c r="X603" s="861"/>
      <c r="Y603" s="841">
        <f t="shared" si="700"/>
        <v>0</v>
      </c>
      <c r="Z603" s="840"/>
      <c r="AA603" s="841"/>
      <c r="AB603" s="841"/>
      <c r="AC603" s="861"/>
      <c r="AD603" s="841">
        <f t="shared" si="701"/>
        <v>0</v>
      </c>
      <c r="AE603" s="840"/>
      <c r="AF603" s="841"/>
      <c r="AG603" s="841"/>
      <c r="AH603" s="861"/>
      <c r="AI603" s="841">
        <f t="shared" si="702"/>
        <v>0</v>
      </c>
      <c r="AJ603" s="840"/>
      <c r="AK603" s="841"/>
      <c r="AL603" s="841"/>
      <c r="AM603" s="842"/>
      <c r="AN603" s="862">
        <f t="shared" si="706"/>
        <v>0</v>
      </c>
      <c r="AO603" s="844">
        <f t="shared" si="706"/>
        <v>0</v>
      </c>
      <c r="AP603" s="862">
        <f t="shared" si="706"/>
        <v>0</v>
      </c>
      <c r="AQ603" s="862">
        <f t="shared" si="706"/>
        <v>0</v>
      </c>
      <c r="AR603" s="862">
        <f t="shared" si="706"/>
        <v>0</v>
      </c>
      <c r="AS603" s="862">
        <f t="shared" si="706"/>
        <v>0</v>
      </c>
      <c r="AT603" s="844">
        <f t="shared" si="706"/>
        <v>0</v>
      </c>
      <c r="AU603" s="863">
        <f t="shared" si="706"/>
        <v>0</v>
      </c>
      <c r="AV603" s="863">
        <f t="shared" si="706"/>
        <v>0</v>
      </c>
      <c r="AW603" s="863">
        <f t="shared" si="706"/>
        <v>0</v>
      </c>
      <c r="AX603" s="793"/>
    </row>
    <row r="604" spans="1:50" s="29" customFormat="1" x14ac:dyDescent="0.45">
      <c r="A604" s="61" t="s">
        <v>359</v>
      </c>
      <c r="B604" s="147"/>
      <c r="C604" s="840"/>
      <c r="D604" s="840"/>
      <c r="E604" s="840"/>
      <c r="F604" s="840"/>
      <c r="G604" s="841"/>
      <c r="H604" s="841"/>
      <c r="I604" s="841"/>
      <c r="J604" s="841">
        <f t="shared" si="697"/>
        <v>0</v>
      </c>
      <c r="K604" s="840"/>
      <c r="L604" s="841"/>
      <c r="M604" s="841"/>
      <c r="N604" s="841"/>
      <c r="O604" s="841">
        <f t="shared" si="698"/>
        <v>0</v>
      </c>
      <c r="P604" s="840"/>
      <c r="Q604" s="841"/>
      <c r="R604" s="841"/>
      <c r="S604" s="841"/>
      <c r="T604" s="841">
        <f t="shared" si="699"/>
        <v>0</v>
      </c>
      <c r="U604" s="840"/>
      <c r="V604" s="841"/>
      <c r="W604" s="841"/>
      <c r="X604" s="861"/>
      <c r="Y604" s="841">
        <f t="shared" si="700"/>
        <v>0</v>
      </c>
      <c r="Z604" s="840"/>
      <c r="AA604" s="841"/>
      <c r="AB604" s="841"/>
      <c r="AC604" s="861"/>
      <c r="AD604" s="841">
        <f t="shared" si="701"/>
        <v>0</v>
      </c>
      <c r="AE604" s="840"/>
      <c r="AF604" s="841"/>
      <c r="AG604" s="841"/>
      <c r="AH604" s="861"/>
      <c r="AI604" s="841">
        <f t="shared" si="702"/>
        <v>0</v>
      </c>
      <c r="AJ604" s="840"/>
      <c r="AK604" s="841">
        <v>9.7439999999999998</v>
      </c>
      <c r="AL604" s="841">
        <v>9.9469999999999992</v>
      </c>
      <c r="AM604" s="842">
        <v>10.323</v>
      </c>
      <c r="AN604" s="862">
        <f t="shared" si="706"/>
        <v>10.323</v>
      </c>
      <c r="AO604" s="844">
        <f t="shared" si="706"/>
        <v>10.323</v>
      </c>
      <c r="AP604" s="862">
        <f t="shared" si="706"/>
        <v>10.323</v>
      </c>
      <c r="AQ604" s="862">
        <f t="shared" si="706"/>
        <v>10.323</v>
      </c>
      <c r="AR604" s="862">
        <f t="shared" si="706"/>
        <v>10.323</v>
      </c>
      <c r="AS604" s="862">
        <f t="shared" si="706"/>
        <v>10.323</v>
      </c>
      <c r="AT604" s="844">
        <f t="shared" si="706"/>
        <v>10.323</v>
      </c>
      <c r="AU604" s="863">
        <f t="shared" si="706"/>
        <v>10.323</v>
      </c>
      <c r="AV604" s="863">
        <f t="shared" si="706"/>
        <v>10.323</v>
      </c>
      <c r="AW604" s="863">
        <f t="shared" si="706"/>
        <v>10.323</v>
      </c>
      <c r="AX604" s="793"/>
    </row>
    <row r="605" spans="1:50" s="29" customFormat="1" x14ac:dyDescent="0.45">
      <c r="A605" s="214" t="s">
        <v>137</v>
      </c>
      <c r="B605" s="215"/>
      <c r="C605" s="848">
        <v>16.22</v>
      </c>
      <c r="D605" s="848">
        <v>29.315999999999999</v>
      </c>
      <c r="E605" s="848">
        <v>19.568000000000001</v>
      </c>
      <c r="F605" s="848">
        <v>26.507999999999999</v>
      </c>
      <c r="G605" s="849">
        <v>26.477</v>
      </c>
      <c r="H605" s="849">
        <v>32.343000000000004</v>
      </c>
      <c r="I605" s="849">
        <v>27.747</v>
      </c>
      <c r="J605" s="849">
        <f t="shared" si="697"/>
        <v>21.369</v>
      </c>
      <c r="K605" s="848">
        <v>21.369</v>
      </c>
      <c r="L605" s="849">
        <v>20.616</v>
      </c>
      <c r="M605" s="849">
        <v>31.413</v>
      </c>
      <c r="N605" s="849">
        <v>33.905999999999999</v>
      </c>
      <c r="O605" s="849">
        <f t="shared" si="698"/>
        <v>33.923999999999999</v>
      </c>
      <c r="P605" s="848">
        <v>33.923999999999999</v>
      </c>
      <c r="Q605" s="849">
        <v>37.026000000000003</v>
      </c>
      <c r="R605" s="849">
        <v>37.593000000000004</v>
      </c>
      <c r="S605" s="849">
        <v>38.575000000000003</v>
      </c>
      <c r="T605" s="849">
        <f t="shared" si="699"/>
        <v>50.238</v>
      </c>
      <c r="U605" s="848">
        <v>50.238</v>
      </c>
      <c r="V605" s="849">
        <v>52.66</v>
      </c>
      <c r="W605" s="849">
        <v>50.734000000000002</v>
      </c>
      <c r="X605" s="864">
        <v>44.338000000000001</v>
      </c>
      <c r="Y605" s="849">
        <f t="shared" si="700"/>
        <v>46.774999999999999</v>
      </c>
      <c r="Z605" s="848">
        <v>46.774999999999999</v>
      </c>
      <c r="AA605" s="849">
        <v>32.618000000000002</v>
      </c>
      <c r="AB605" s="849">
        <v>31.913</v>
      </c>
      <c r="AC605" s="864">
        <v>30.152999999999999</v>
      </c>
      <c r="AD605" s="849">
        <f t="shared" si="701"/>
        <v>48.317</v>
      </c>
      <c r="AE605" s="848">
        <v>48.317</v>
      </c>
      <c r="AF605" s="849">
        <v>62.067</v>
      </c>
      <c r="AG605" s="849">
        <v>43.883000000000003</v>
      </c>
      <c r="AH605" s="864">
        <v>41.61</v>
      </c>
      <c r="AI605" s="849">
        <f t="shared" si="702"/>
        <v>41.064</v>
      </c>
      <c r="AJ605" s="848">
        <v>41.064</v>
      </c>
      <c r="AK605" s="849">
        <v>41.411999999999999</v>
      </c>
      <c r="AL605" s="849">
        <v>41.545000000000002</v>
      </c>
      <c r="AM605" s="850">
        <v>38.930999999999997</v>
      </c>
      <c r="AN605" s="864">
        <f>AN553</f>
        <v>41.230744039999998</v>
      </c>
      <c r="AO605" s="848">
        <f t="shared" si="706"/>
        <v>41.230744039999998</v>
      </c>
      <c r="AP605" s="864">
        <f t="shared" ref="AP605:AS605" si="709">AP553</f>
        <v>41.616610099999995</v>
      </c>
      <c r="AQ605" s="864">
        <f t="shared" si="709"/>
        <v>41.960149859999994</v>
      </c>
      <c r="AR605" s="864">
        <f t="shared" si="709"/>
        <v>42.267393539999993</v>
      </c>
      <c r="AS605" s="864">
        <f t="shared" si="709"/>
        <v>42.564306676800001</v>
      </c>
      <c r="AT605" s="848">
        <f t="shared" si="706"/>
        <v>42.564306676800001</v>
      </c>
      <c r="AU605" s="865">
        <f t="shared" ref="AU605:AW605" si="710">AU553</f>
        <v>43.8393472922128</v>
      </c>
      <c r="AV605" s="865">
        <f t="shared" si="710"/>
        <v>45.181913714413355</v>
      </c>
      <c r="AW605" s="865">
        <f t="shared" si="710"/>
        <v>46.596152452825869</v>
      </c>
      <c r="AX605" s="793"/>
    </row>
    <row r="606" spans="1:50" s="7" customFormat="1" x14ac:dyDescent="0.45">
      <c r="A606" s="53" t="s">
        <v>186</v>
      </c>
      <c r="B606" s="146"/>
      <c r="C606" s="845">
        <f t="shared" ref="C606:AW606" si="711">SUM(C599:C605)</f>
        <v>101.28599999999999</v>
      </c>
      <c r="D606" s="845">
        <f t="shared" si="711"/>
        <v>136.636</v>
      </c>
      <c r="E606" s="845">
        <f t="shared" si="711"/>
        <v>129.43200000000002</v>
      </c>
      <c r="F606" s="845">
        <f t="shared" si="711"/>
        <v>127.02899999999998</v>
      </c>
      <c r="G606" s="846">
        <f t="shared" si="711"/>
        <v>124.691</v>
      </c>
      <c r="H606" s="846">
        <f t="shared" si="711"/>
        <v>130.45699999999999</v>
      </c>
      <c r="I606" s="846">
        <f t="shared" si="711"/>
        <v>129.649</v>
      </c>
      <c r="J606" s="846">
        <f t="shared" si="711"/>
        <v>126.97300000000001</v>
      </c>
      <c r="K606" s="845">
        <f t="shared" si="711"/>
        <v>126.97300000000001</v>
      </c>
      <c r="L606" s="846">
        <f t="shared" si="711"/>
        <v>124.74199999999999</v>
      </c>
      <c r="M606" s="846">
        <f t="shared" si="711"/>
        <v>136.65100000000001</v>
      </c>
      <c r="N606" s="846">
        <f t="shared" si="711"/>
        <v>138.90900000000002</v>
      </c>
      <c r="O606" s="846">
        <f t="shared" si="711"/>
        <v>155.084</v>
      </c>
      <c r="P606" s="845">
        <f t="shared" si="711"/>
        <v>155.084</v>
      </c>
      <c r="Q606" s="846">
        <f t="shared" si="711"/>
        <v>139.018</v>
      </c>
      <c r="R606" s="846">
        <f t="shared" si="711"/>
        <v>133.345</v>
      </c>
      <c r="S606" s="846">
        <f t="shared" si="711"/>
        <v>131.095</v>
      </c>
      <c r="T606" s="846">
        <f t="shared" si="711"/>
        <v>138.06</v>
      </c>
      <c r="U606" s="845">
        <f t="shared" si="711"/>
        <v>138.06</v>
      </c>
      <c r="V606" s="846">
        <f t="shared" si="711"/>
        <v>125.49</v>
      </c>
      <c r="W606" s="846">
        <f t="shared" si="711"/>
        <v>123.84400000000002</v>
      </c>
      <c r="X606" s="859">
        <f t="shared" si="711"/>
        <v>117.952</v>
      </c>
      <c r="Y606" s="846">
        <f t="shared" si="711"/>
        <v>128.69400000000002</v>
      </c>
      <c r="Z606" s="845">
        <f t="shared" si="711"/>
        <v>128.69400000000002</v>
      </c>
      <c r="AA606" s="846">
        <f t="shared" si="711"/>
        <v>105.749</v>
      </c>
      <c r="AB606" s="846">
        <f t="shared" si="711"/>
        <v>108.613</v>
      </c>
      <c r="AC606" s="859">
        <f t="shared" si="711"/>
        <v>107.96299999999999</v>
      </c>
      <c r="AD606" s="846">
        <f t="shared" si="711"/>
        <v>134.59199999999998</v>
      </c>
      <c r="AE606" s="845">
        <f t="shared" si="711"/>
        <v>134.59199999999998</v>
      </c>
      <c r="AF606" s="846">
        <f t="shared" si="711"/>
        <v>135.07400000000001</v>
      </c>
      <c r="AG606" s="846">
        <f t="shared" si="711"/>
        <v>119.04600000000002</v>
      </c>
      <c r="AH606" s="859">
        <f t="shared" si="711"/>
        <v>119.89599999999999</v>
      </c>
      <c r="AI606" s="846">
        <f t="shared" si="711"/>
        <v>128.232</v>
      </c>
      <c r="AJ606" s="845">
        <f t="shared" si="711"/>
        <v>128.232</v>
      </c>
      <c r="AK606" s="846">
        <f t="shared" si="711"/>
        <v>128.25</v>
      </c>
      <c r="AL606" s="846">
        <f t="shared" si="711"/>
        <v>132.255</v>
      </c>
      <c r="AM606" s="847">
        <f t="shared" si="711"/>
        <v>136.87900000000002</v>
      </c>
      <c r="AN606" s="859">
        <f t="shared" si="711"/>
        <v>134.07024513871036</v>
      </c>
      <c r="AO606" s="845">
        <f t="shared" si="711"/>
        <v>134.07024513871036</v>
      </c>
      <c r="AP606" s="859">
        <f t="shared" si="711"/>
        <v>134.98855313236885</v>
      </c>
      <c r="AQ606" s="859">
        <f t="shared" si="711"/>
        <v>136.0429525802459</v>
      </c>
      <c r="AR606" s="859">
        <f t="shared" si="711"/>
        <v>136.54028980143443</v>
      </c>
      <c r="AS606" s="859">
        <f t="shared" si="711"/>
        <v>137.32573004671809</v>
      </c>
      <c r="AT606" s="845">
        <f t="shared" si="711"/>
        <v>137.32573004671809</v>
      </c>
      <c r="AU606" s="860">
        <f t="shared" si="711"/>
        <v>138.64383160377258</v>
      </c>
      <c r="AV606" s="860">
        <f t="shared" si="711"/>
        <v>141.85847042337303</v>
      </c>
      <c r="AW606" s="860">
        <f t="shared" si="711"/>
        <v>143.36637813383882</v>
      </c>
      <c r="AX606" s="795"/>
    </row>
    <row r="607" spans="1:50" s="7" customFormat="1" x14ac:dyDescent="0.45">
      <c r="A607" s="54"/>
      <c r="B607" s="69"/>
      <c r="C607" s="851"/>
      <c r="D607" s="851"/>
      <c r="E607" s="851"/>
      <c r="F607" s="851"/>
      <c r="G607" s="852"/>
      <c r="H607" s="852"/>
      <c r="I607" s="852"/>
      <c r="J607" s="852"/>
      <c r="K607" s="851"/>
      <c r="L607" s="852"/>
      <c r="M607" s="852"/>
      <c r="N607" s="852"/>
      <c r="O607" s="852"/>
      <c r="P607" s="851"/>
      <c r="Q607" s="852"/>
      <c r="R607" s="852"/>
      <c r="S607" s="852"/>
      <c r="T607" s="852"/>
      <c r="U607" s="851"/>
      <c r="V607" s="852"/>
      <c r="W607" s="852"/>
      <c r="X607" s="852"/>
      <c r="Y607" s="852"/>
      <c r="Z607" s="851"/>
      <c r="AA607" s="852"/>
      <c r="AB607" s="852"/>
      <c r="AC607" s="852"/>
      <c r="AD607" s="852"/>
      <c r="AE607" s="851"/>
      <c r="AF607" s="852"/>
      <c r="AG607" s="852"/>
      <c r="AH607" s="852"/>
      <c r="AI607" s="852"/>
      <c r="AJ607" s="851"/>
      <c r="AK607" s="852"/>
      <c r="AL607" s="852"/>
      <c r="AM607" s="853"/>
      <c r="AN607" s="854"/>
      <c r="AO607" s="855"/>
      <c r="AP607" s="854"/>
      <c r="AQ607" s="854"/>
      <c r="AR607" s="854"/>
      <c r="AS607" s="854"/>
      <c r="AT607" s="855"/>
      <c r="AU607" s="855"/>
      <c r="AV607" s="855"/>
      <c r="AW607" s="855"/>
      <c r="AX607" s="795"/>
    </row>
    <row r="608" spans="1:50" s="7" customFormat="1" x14ac:dyDescent="0.45">
      <c r="A608" s="63" t="s">
        <v>187</v>
      </c>
      <c r="B608" s="69"/>
      <c r="C608" s="851"/>
      <c r="D608" s="851"/>
      <c r="E608" s="851"/>
      <c r="F608" s="851"/>
      <c r="G608" s="852"/>
      <c r="H608" s="852"/>
      <c r="I608" s="852"/>
      <c r="J608" s="852"/>
      <c r="K608" s="851"/>
      <c r="L608" s="852"/>
      <c r="M608" s="852"/>
      <c r="N608" s="852"/>
      <c r="O608" s="852"/>
      <c r="P608" s="851"/>
      <c r="Q608" s="852"/>
      <c r="R608" s="852"/>
      <c r="S608" s="852"/>
      <c r="T608" s="852"/>
      <c r="U608" s="851"/>
      <c r="V608" s="852"/>
      <c r="W608" s="852"/>
      <c r="X608" s="852"/>
      <c r="Y608" s="852"/>
      <c r="Z608" s="851"/>
      <c r="AA608" s="852"/>
      <c r="AB608" s="852"/>
      <c r="AC608" s="852"/>
      <c r="AD608" s="852"/>
      <c r="AE608" s="851"/>
      <c r="AF608" s="852"/>
      <c r="AG608" s="852"/>
      <c r="AH608" s="852"/>
      <c r="AI608" s="852"/>
      <c r="AJ608" s="851"/>
      <c r="AK608" s="852"/>
      <c r="AL608" s="852"/>
      <c r="AM608" s="853"/>
      <c r="AN608" s="854"/>
      <c r="AO608" s="855"/>
      <c r="AP608" s="854"/>
      <c r="AQ608" s="854"/>
      <c r="AR608" s="854"/>
      <c r="AS608" s="854"/>
      <c r="AT608" s="855"/>
      <c r="AU608" s="855"/>
      <c r="AV608" s="855"/>
      <c r="AW608" s="855"/>
      <c r="AX608" s="795"/>
    </row>
    <row r="609" spans="1:50" s="29" customFormat="1" x14ac:dyDescent="0.45">
      <c r="A609" s="61" t="s">
        <v>188</v>
      </c>
      <c r="B609" s="147"/>
      <c r="C609" s="840">
        <v>0.47399999999999998</v>
      </c>
      <c r="D609" s="840">
        <v>1.099</v>
      </c>
      <c r="E609" s="840">
        <v>1.2929999999999999</v>
      </c>
      <c r="F609" s="840">
        <v>1.2190000000000001</v>
      </c>
      <c r="G609" s="841">
        <v>1.2849999999999999</v>
      </c>
      <c r="H609" s="841">
        <v>1.3620000000000001</v>
      </c>
      <c r="I609" s="841">
        <v>2.0870000000000002</v>
      </c>
      <c r="J609" s="841">
        <f t="shared" ref="J609:J614" si="712">K609</f>
        <v>2.1869999999999998</v>
      </c>
      <c r="K609" s="840">
        <v>2.1869999999999998</v>
      </c>
      <c r="L609" s="841">
        <v>2.0009999999999999</v>
      </c>
      <c r="M609" s="841">
        <v>1.8129999999999999</v>
      </c>
      <c r="N609" s="841">
        <v>1.611</v>
      </c>
      <c r="O609" s="841">
        <f t="shared" ref="O609:O614" si="713">P609</f>
        <v>1.349</v>
      </c>
      <c r="P609" s="840">
        <v>1.349</v>
      </c>
      <c r="Q609" s="841">
        <v>1.272</v>
      </c>
      <c r="R609" s="841">
        <v>1.163</v>
      </c>
      <c r="S609" s="841">
        <v>1.127</v>
      </c>
      <c r="T609" s="841">
        <f t="shared" ref="T609:T614" si="714">U609</f>
        <v>1.335</v>
      </c>
      <c r="U609" s="840">
        <v>1.335</v>
      </c>
      <c r="V609" s="841">
        <v>1.476</v>
      </c>
      <c r="W609" s="841">
        <v>1.403</v>
      </c>
      <c r="X609" s="861">
        <v>1.3120000000000001</v>
      </c>
      <c r="Y609" s="841">
        <f t="shared" ref="Y609:Y614" si="715">Z609</f>
        <v>1.3939999999999999</v>
      </c>
      <c r="Z609" s="840">
        <v>1.3939999999999999</v>
      </c>
      <c r="AA609" s="841">
        <v>1.4379999999999999</v>
      </c>
      <c r="AB609" s="841">
        <v>1.1910000000000001</v>
      </c>
      <c r="AC609" s="861">
        <v>0.85299999999999998</v>
      </c>
      <c r="AD609" s="841">
        <f t="shared" ref="AD609:AD614" si="716">AE609</f>
        <v>1.173</v>
      </c>
      <c r="AE609" s="840">
        <v>1.173</v>
      </c>
      <c r="AF609" s="841"/>
      <c r="AG609" s="841"/>
      <c r="AH609" s="861"/>
      <c r="AI609" s="841">
        <f t="shared" ref="AI609:AI614" si="717">AJ609</f>
        <v>0</v>
      </c>
      <c r="AJ609" s="840"/>
      <c r="AK609" s="841"/>
      <c r="AL609" s="841"/>
      <c r="AM609" s="842"/>
      <c r="AN609" s="862">
        <f>AM609</f>
        <v>0</v>
      </c>
      <c r="AO609" s="844">
        <f t="shared" ref="AO609:AW609" si="718">AN609</f>
        <v>0</v>
      </c>
      <c r="AP609" s="862">
        <f t="shared" si="718"/>
        <v>0</v>
      </c>
      <c r="AQ609" s="862">
        <f t="shared" si="718"/>
        <v>0</v>
      </c>
      <c r="AR609" s="862">
        <f t="shared" si="718"/>
        <v>0</v>
      </c>
      <c r="AS609" s="862">
        <f t="shared" si="718"/>
        <v>0</v>
      </c>
      <c r="AT609" s="844">
        <f t="shared" si="718"/>
        <v>0</v>
      </c>
      <c r="AU609" s="863">
        <f t="shared" si="718"/>
        <v>0</v>
      </c>
      <c r="AV609" s="863">
        <f t="shared" si="718"/>
        <v>0</v>
      </c>
      <c r="AW609" s="863">
        <f t="shared" si="718"/>
        <v>0</v>
      </c>
      <c r="AX609" s="793"/>
    </row>
    <row r="610" spans="1:50" s="29" customFormat="1" x14ac:dyDescent="0.45">
      <c r="A610" s="61" t="s">
        <v>178</v>
      </c>
      <c r="B610" s="147"/>
      <c r="C610" s="840">
        <v>10.859</v>
      </c>
      <c r="D610" s="840">
        <v>11.384</v>
      </c>
      <c r="E610" s="840">
        <v>5.351</v>
      </c>
      <c r="F610" s="840"/>
      <c r="G610" s="841"/>
      <c r="H610" s="841"/>
      <c r="I610" s="841"/>
      <c r="J610" s="841">
        <f t="shared" si="712"/>
        <v>0</v>
      </c>
      <c r="K610" s="840"/>
      <c r="L610" s="841"/>
      <c r="M610" s="841"/>
      <c r="N610" s="841"/>
      <c r="O610" s="841">
        <f t="shared" si="713"/>
        <v>0</v>
      </c>
      <c r="P610" s="840"/>
      <c r="Q610" s="841"/>
      <c r="R610" s="841"/>
      <c r="S610" s="841"/>
      <c r="T610" s="841">
        <f t="shared" si="714"/>
        <v>0</v>
      </c>
      <c r="U610" s="840"/>
      <c r="V610" s="841"/>
      <c r="W610" s="841"/>
      <c r="X610" s="861"/>
      <c r="Y610" s="841">
        <f t="shared" si="715"/>
        <v>0</v>
      </c>
      <c r="Z610" s="840"/>
      <c r="AA610" s="841"/>
      <c r="AB610" s="841"/>
      <c r="AC610" s="861"/>
      <c r="AD610" s="841">
        <f t="shared" si="716"/>
        <v>0</v>
      </c>
      <c r="AE610" s="840"/>
      <c r="AF610" s="841"/>
      <c r="AG610" s="841"/>
      <c r="AH610" s="861"/>
      <c r="AI610" s="841">
        <f t="shared" si="717"/>
        <v>0</v>
      </c>
      <c r="AJ610" s="840"/>
      <c r="AK610" s="841"/>
      <c r="AL610" s="841"/>
      <c r="AM610" s="842"/>
      <c r="AN610" s="862">
        <f t="shared" ref="AN610:AW614" si="719">AM610</f>
        <v>0</v>
      </c>
      <c r="AO610" s="844">
        <f t="shared" si="719"/>
        <v>0</v>
      </c>
      <c r="AP610" s="862">
        <f t="shared" si="719"/>
        <v>0</v>
      </c>
      <c r="AQ610" s="862">
        <f t="shared" si="719"/>
        <v>0</v>
      </c>
      <c r="AR610" s="862">
        <f t="shared" si="719"/>
        <v>0</v>
      </c>
      <c r="AS610" s="862">
        <f t="shared" si="719"/>
        <v>0</v>
      </c>
      <c r="AT610" s="844">
        <f t="shared" si="719"/>
        <v>0</v>
      </c>
      <c r="AU610" s="863">
        <f t="shared" si="719"/>
        <v>0</v>
      </c>
      <c r="AV610" s="863">
        <f t="shared" si="719"/>
        <v>0</v>
      </c>
      <c r="AW610" s="863">
        <f t="shared" si="719"/>
        <v>0</v>
      </c>
      <c r="AX610" s="793"/>
    </row>
    <row r="611" spans="1:50" s="29" customFormat="1" x14ac:dyDescent="0.45">
      <c r="A611" s="61" t="s">
        <v>138</v>
      </c>
      <c r="B611" s="147"/>
      <c r="C611" s="840">
        <v>1.883</v>
      </c>
      <c r="D611" s="840">
        <v>2.488</v>
      </c>
      <c r="E611" s="840">
        <v>3.4969999999999999</v>
      </c>
      <c r="F611" s="840">
        <v>3.8090000000000002</v>
      </c>
      <c r="G611" s="841">
        <v>3.95</v>
      </c>
      <c r="H611" s="841">
        <v>4.298</v>
      </c>
      <c r="I611" s="841">
        <v>4.5570000000000004</v>
      </c>
      <c r="J611" s="841">
        <f t="shared" si="712"/>
        <v>4.8090000000000002</v>
      </c>
      <c r="K611" s="840">
        <v>4.8090000000000002</v>
      </c>
      <c r="L611" s="841">
        <v>5.1820000000000004</v>
      </c>
      <c r="M611" s="841">
        <v>5.3120000000000003</v>
      </c>
      <c r="N611" s="841">
        <v>5.4770000000000003</v>
      </c>
      <c r="O611" s="841">
        <f t="shared" si="713"/>
        <v>5.75</v>
      </c>
      <c r="P611" s="840">
        <v>5.75</v>
      </c>
      <c r="Q611" s="841">
        <v>6.3849999999999998</v>
      </c>
      <c r="R611" s="841">
        <v>6.3250000000000002</v>
      </c>
      <c r="S611" s="841">
        <v>6.6669999999999998</v>
      </c>
      <c r="T611" s="841">
        <f t="shared" si="714"/>
        <v>6.3570000000000002</v>
      </c>
      <c r="U611" s="840">
        <v>6.3570000000000002</v>
      </c>
      <c r="V611" s="841">
        <v>6.617</v>
      </c>
      <c r="W611" s="841">
        <v>6.7939999999999996</v>
      </c>
      <c r="X611" s="861">
        <v>6.7380000000000004</v>
      </c>
      <c r="Y611" s="841">
        <f t="shared" si="715"/>
        <v>6.6289999999999996</v>
      </c>
      <c r="Z611" s="840">
        <v>6.6289999999999996</v>
      </c>
      <c r="AA611" s="841">
        <v>6.3860000000000001</v>
      </c>
      <c r="AB611" s="841">
        <v>6.4379999999999997</v>
      </c>
      <c r="AC611" s="861">
        <v>6.4729999999999999</v>
      </c>
      <c r="AD611" s="841">
        <f t="shared" si="716"/>
        <v>6.0860000000000003</v>
      </c>
      <c r="AE611" s="840">
        <v>6.0860000000000003</v>
      </c>
      <c r="AF611" s="841">
        <v>5.9370000000000003</v>
      </c>
      <c r="AG611" s="841">
        <v>5.9509999999999996</v>
      </c>
      <c r="AH611" s="861">
        <v>5.5640000000000001</v>
      </c>
      <c r="AI611" s="841">
        <f t="shared" si="717"/>
        <v>5.9050000000000002</v>
      </c>
      <c r="AJ611" s="840">
        <v>5.9050000000000002</v>
      </c>
      <c r="AK611" s="841">
        <v>6.0460000000000003</v>
      </c>
      <c r="AL611" s="841">
        <v>5.9329999999999998</v>
      </c>
      <c r="AM611" s="842">
        <v>6.1980000000000004</v>
      </c>
      <c r="AN611" s="862">
        <f t="shared" si="719"/>
        <v>6.1980000000000004</v>
      </c>
      <c r="AO611" s="844">
        <f t="shared" si="719"/>
        <v>6.1980000000000004</v>
      </c>
      <c r="AP611" s="862">
        <f t="shared" si="719"/>
        <v>6.1980000000000004</v>
      </c>
      <c r="AQ611" s="862">
        <f t="shared" si="719"/>
        <v>6.1980000000000004</v>
      </c>
      <c r="AR611" s="862">
        <f t="shared" si="719"/>
        <v>6.1980000000000004</v>
      </c>
      <c r="AS611" s="862">
        <f t="shared" si="719"/>
        <v>6.1980000000000004</v>
      </c>
      <c r="AT611" s="844">
        <f t="shared" si="719"/>
        <v>6.1980000000000004</v>
      </c>
      <c r="AU611" s="863">
        <f t="shared" si="719"/>
        <v>6.1980000000000004</v>
      </c>
      <c r="AV611" s="863">
        <f t="shared" si="719"/>
        <v>6.1980000000000004</v>
      </c>
      <c r="AW611" s="863">
        <f t="shared" si="719"/>
        <v>6.1980000000000004</v>
      </c>
      <c r="AX611" s="793"/>
    </row>
    <row r="612" spans="1:50" s="29" customFormat="1" x14ac:dyDescent="0.45">
      <c r="A612" s="61" t="s">
        <v>189</v>
      </c>
      <c r="B612" s="147"/>
      <c r="C612" s="840"/>
      <c r="D612" s="840"/>
      <c r="E612" s="840"/>
      <c r="F612" s="840"/>
      <c r="G612" s="841"/>
      <c r="H612" s="841"/>
      <c r="I612" s="841"/>
      <c r="J612" s="841">
        <f t="shared" si="712"/>
        <v>0</v>
      </c>
      <c r="K612" s="840"/>
      <c r="L612" s="841"/>
      <c r="M612" s="841"/>
      <c r="N612" s="841"/>
      <c r="O612" s="841">
        <f t="shared" si="713"/>
        <v>0</v>
      </c>
      <c r="P612" s="840"/>
      <c r="Q612" s="841"/>
      <c r="R612" s="841"/>
      <c r="S612" s="841"/>
      <c r="T612" s="841">
        <f t="shared" si="714"/>
        <v>105</v>
      </c>
      <c r="U612" s="840">
        <v>105</v>
      </c>
      <c r="V612" s="841">
        <v>88</v>
      </c>
      <c r="W612" s="841">
        <v>48</v>
      </c>
      <c r="X612" s="861">
        <v>25</v>
      </c>
      <c r="Y612" s="841">
        <f t="shared" si="715"/>
        <v>15</v>
      </c>
      <c r="Z612" s="840">
        <v>15</v>
      </c>
      <c r="AA612" s="841">
        <v>45</v>
      </c>
      <c r="AB612" s="841">
        <v>55</v>
      </c>
      <c r="AC612" s="861">
        <v>39</v>
      </c>
      <c r="AD612" s="841">
        <f t="shared" si="716"/>
        <v>37</v>
      </c>
      <c r="AE612" s="840">
        <v>37</v>
      </c>
      <c r="AF612" s="841">
        <v>44</v>
      </c>
      <c r="AG612" s="841">
        <v>42</v>
      </c>
      <c r="AH612" s="861">
        <v>27</v>
      </c>
      <c r="AI612" s="841">
        <f t="shared" si="717"/>
        <v>11</v>
      </c>
      <c r="AJ612" s="840">
        <v>11</v>
      </c>
      <c r="AK612" s="841">
        <v>6</v>
      </c>
      <c r="AL612" s="841"/>
      <c r="AM612" s="842">
        <v>37</v>
      </c>
      <c r="AN612" s="862">
        <f>AN379</f>
        <v>37</v>
      </c>
      <c r="AO612" s="844">
        <f t="shared" si="719"/>
        <v>37</v>
      </c>
      <c r="AP612" s="862">
        <f>AP379</f>
        <v>37</v>
      </c>
      <c r="AQ612" s="862">
        <f>AQ379</f>
        <v>37</v>
      </c>
      <c r="AR612" s="862">
        <f>AR379</f>
        <v>37</v>
      </c>
      <c r="AS612" s="862">
        <f>AS379</f>
        <v>37</v>
      </c>
      <c r="AT612" s="844">
        <f t="shared" si="719"/>
        <v>37</v>
      </c>
      <c r="AU612" s="863">
        <f>AU379</f>
        <v>37</v>
      </c>
      <c r="AV612" s="863">
        <f>AV379</f>
        <v>37</v>
      </c>
      <c r="AW612" s="863">
        <f>AW379</f>
        <v>37</v>
      </c>
      <c r="AX612" s="793"/>
    </row>
    <row r="613" spans="1:50" s="29" customFormat="1" x14ac:dyDescent="0.45">
      <c r="A613" s="61" t="s">
        <v>361</v>
      </c>
      <c r="B613" s="147"/>
      <c r="C613" s="840"/>
      <c r="D613" s="840"/>
      <c r="E613" s="840"/>
      <c r="F613" s="840"/>
      <c r="G613" s="841"/>
      <c r="H613" s="841"/>
      <c r="I613" s="841"/>
      <c r="J613" s="841">
        <f t="shared" si="712"/>
        <v>0</v>
      </c>
      <c r="K613" s="840"/>
      <c r="L613" s="841"/>
      <c r="M613" s="841"/>
      <c r="N613" s="841"/>
      <c r="O613" s="841">
        <f t="shared" si="713"/>
        <v>0</v>
      </c>
      <c r="P613" s="840"/>
      <c r="Q613" s="841"/>
      <c r="R613" s="841"/>
      <c r="S613" s="841"/>
      <c r="T613" s="841">
        <f t="shared" si="714"/>
        <v>0</v>
      </c>
      <c r="U613" s="840"/>
      <c r="V613" s="841"/>
      <c r="W613" s="841"/>
      <c r="X613" s="861"/>
      <c r="Y613" s="841">
        <f t="shared" si="715"/>
        <v>0</v>
      </c>
      <c r="Z613" s="840"/>
      <c r="AA613" s="841"/>
      <c r="AB613" s="841"/>
      <c r="AC613" s="861"/>
      <c r="AD613" s="841">
        <f t="shared" si="716"/>
        <v>0</v>
      </c>
      <c r="AE613" s="840"/>
      <c r="AF613" s="841"/>
      <c r="AG613" s="841"/>
      <c r="AH613" s="861"/>
      <c r="AI613" s="841">
        <f t="shared" si="717"/>
        <v>0</v>
      </c>
      <c r="AJ613" s="840"/>
      <c r="AK613" s="841">
        <v>44.280999999999999</v>
      </c>
      <c r="AL613" s="841">
        <v>41.622</v>
      </c>
      <c r="AM613" s="842">
        <v>39.296999999999997</v>
      </c>
      <c r="AN613" s="862">
        <f t="shared" si="719"/>
        <v>39.296999999999997</v>
      </c>
      <c r="AO613" s="844">
        <f t="shared" si="719"/>
        <v>39.296999999999997</v>
      </c>
      <c r="AP613" s="862">
        <f t="shared" si="719"/>
        <v>39.296999999999997</v>
      </c>
      <c r="AQ613" s="862">
        <f t="shared" si="719"/>
        <v>39.296999999999997</v>
      </c>
      <c r="AR613" s="862">
        <f t="shared" si="719"/>
        <v>39.296999999999997</v>
      </c>
      <c r="AS613" s="862">
        <f t="shared" si="719"/>
        <v>39.296999999999997</v>
      </c>
      <c r="AT613" s="844">
        <f t="shared" si="719"/>
        <v>39.296999999999997</v>
      </c>
      <c r="AU613" s="863">
        <f t="shared" si="719"/>
        <v>39.296999999999997</v>
      </c>
      <c r="AV613" s="863">
        <f t="shared" si="719"/>
        <v>39.296999999999997</v>
      </c>
      <c r="AW613" s="863">
        <f t="shared" si="719"/>
        <v>39.296999999999997</v>
      </c>
      <c r="AX613" s="793"/>
    </row>
    <row r="614" spans="1:50" s="29" customFormat="1" x14ac:dyDescent="0.45">
      <c r="A614" s="214" t="s">
        <v>190</v>
      </c>
      <c r="B614" s="215"/>
      <c r="C614" s="848">
        <v>7.3890000000000002</v>
      </c>
      <c r="D614" s="848">
        <v>2.4089999999999998</v>
      </c>
      <c r="E614" s="848">
        <v>5.6020000000000003</v>
      </c>
      <c r="F614" s="848">
        <v>3.9489999999999998</v>
      </c>
      <c r="G614" s="849">
        <v>4.7910000000000004</v>
      </c>
      <c r="H614" s="849">
        <v>10.71</v>
      </c>
      <c r="I614" s="849">
        <v>11.74</v>
      </c>
      <c r="J614" s="849">
        <f t="shared" si="712"/>
        <v>22.292000000000002</v>
      </c>
      <c r="K614" s="848">
        <v>22.292000000000002</v>
      </c>
      <c r="L614" s="849">
        <v>19.315999999999999</v>
      </c>
      <c r="M614" s="849">
        <v>10.95</v>
      </c>
      <c r="N614" s="849">
        <v>10.753</v>
      </c>
      <c r="O614" s="849">
        <f t="shared" si="713"/>
        <v>14.798</v>
      </c>
      <c r="P614" s="848">
        <v>14.798</v>
      </c>
      <c r="Q614" s="849">
        <v>14.26</v>
      </c>
      <c r="R614" s="849">
        <v>7.8120000000000003</v>
      </c>
      <c r="S614" s="849">
        <v>9.9179999999999993</v>
      </c>
      <c r="T614" s="849">
        <f t="shared" si="714"/>
        <v>10.661</v>
      </c>
      <c r="U614" s="848">
        <v>10.661</v>
      </c>
      <c r="V614" s="849">
        <v>13.365</v>
      </c>
      <c r="W614" s="849">
        <v>13.375999999999999</v>
      </c>
      <c r="X614" s="864">
        <v>14.266999999999999</v>
      </c>
      <c r="Y614" s="849">
        <f t="shared" si="715"/>
        <v>16.460999999999999</v>
      </c>
      <c r="Z614" s="848">
        <v>16.460999999999999</v>
      </c>
      <c r="AA614" s="849">
        <v>17.148</v>
      </c>
      <c r="AB614" s="849">
        <v>17.315000000000001</v>
      </c>
      <c r="AC614" s="864">
        <v>16.353999999999999</v>
      </c>
      <c r="AD614" s="849">
        <f t="shared" si="716"/>
        <v>13.494</v>
      </c>
      <c r="AE614" s="848">
        <v>13.494</v>
      </c>
      <c r="AF614" s="849">
        <v>13.231999999999999</v>
      </c>
      <c r="AG614" s="849">
        <v>13.254</v>
      </c>
      <c r="AH614" s="864">
        <v>12.913</v>
      </c>
      <c r="AI614" s="849">
        <f t="shared" si="717"/>
        <v>11.811999999999999</v>
      </c>
      <c r="AJ614" s="848">
        <v>11.811999999999999</v>
      </c>
      <c r="AK614" s="849">
        <v>1.9179999999999999</v>
      </c>
      <c r="AL614" s="849">
        <v>1.89</v>
      </c>
      <c r="AM614" s="850">
        <v>3.7650000000000001</v>
      </c>
      <c r="AN614" s="864">
        <f t="shared" si="719"/>
        <v>3.7650000000000001</v>
      </c>
      <c r="AO614" s="848">
        <f t="shared" si="719"/>
        <v>3.7650000000000001</v>
      </c>
      <c r="AP614" s="864">
        <f t="shared" si="719"/>
        <v>3.7650000000000001</v>
      </c>
      <c r="AQ614" s="864">
        <f t="shared" si="719"/>
        <v>3.7650000000000001</v>
      </c>
      <c r="AR614" s="864">
        <f t="shared" si="719"/>
        <v>3.7650000000000001</v>
      </c>
      <c r="AS614" s="864">
        <f t="shared" si="719"/>
        <v>3.7650000000000001</v>
      </c>
      <c r="AT614" s="848">
        <f t="shared" si="719"/>
        <v>3.7650000000000001</v>
      </c>
      <c r="AU614" s="865">
        <f t="shared" si="719"/>
        <v>3.7650000000000001</v>
      </c>
      <c r="AV614" s="865">
        <f t="shared" si="719"/>
        <v>3.7650000000000001</v>
      </c>
      <c r="AW614" s="865">
        <f t="shared" si="719"/>
        <v>3.7650000000000001</v>
      </c>
      <c r="AX614" s="793"/>
    </row>
    <row r="615" spans="1:50" s="7" customFormat="1" x14ac:dyDescent="0.45">
      <c r="A615" s="53" t="s">
        <v>191</v>
      </c>
      <c r="B615" s="146"/>
      <c r="C615" s="845">
        <f t="shared" ref="C615:AW615" si="720">SUM(C609:C614)</f>
        <v>20.605</v>
      </c>
      <c r="D615" s="845">
        <f t="shared" si="720"/>
        <v>17.38</v>
      </c>
      <c r="E615" s="845">
        <f t="shared" si="720"/>
        <v>15.743</v>
      </c>
      <c r="F615" s="845">
        <f t="shared" si="720"/>
        <v>8.9770000000000003</v>
      </c>
      <c r="G615" s="846">
        <f t="shared" si="720"/>
        <v>10.026</v>
      </c>
      <c r="H615" s="846">
        <f t="shared" si="720"/>
        <v>16.37</v>
      </c>
      <c r="I615" s="846">
        <f t="shared" si="720"/>
        <v>18.384</v>
      </c>
      <c r="J615" s="846">
        <f t="shared" si="720"/>
        <v>29.288000000000004</v>
      </c>
      <c r="K615" s="845">
        <f t="shared" si="720"/>
        <v>29.288000000000004</v>
      </c>
      <c r="L615" s="846">
        <f t="shared" si="720"/>
        <v>26.498999999999999</v>
      </c>
      <c r="M615" s="846">
        <f t="shared" si="720"/>
        <v>18.074999999999999</v>
      </c>
      <c r="N615" s="846">
        <f t="shared" si="720"/>
        <v>17.841000000000001</v>
      </c>
      <c r="O615" s="846">
        <f t="shared" si="720"/>
        <v>21.896999999999998</v>
      </c>
      <c r="P615" s="845">
        <f t="shared" si="720"/>
        <v>21.896999999999998</v>
      </c>
      <c r="Q615" s="846">
        <f t="shared" si="720"/>
        <v>21.917000000000002</v>
      </c>
      <c r="R615" s="846">
        <f t="shared" si="720"/>
        <v>15.3</v>
      </c>
      <c r="S615" s="846">
        <f t="shared" si="720"/>
        <v>17.712</v>
      </c>
      <c r="T615" s="846">
        <f t="shared" si="720"/>
        <v>123.35300000000001</v>
      </c>
      <c r="U615" s="845">
        <f t="shared" si="720"/>
        <v>123.35300000000001</v>
      </c>
      <c r="V615" s="846">
        <f t="shared" si="720"/>
        <v>109.458</v>
      </c>
      <c r="W615" s="846">
        <f t="shared" si="720"/>
        <v>69.573000000000008</v>
      </c>
      <c r="X615" s="859">
        <f t="shared" si="720"/>
        <v>47.316999999999993</v>
      </c>
      <c r="Y615" s="846">
        <f t="shared" si="720"/>
        <v>39.483999999999995</v>
      </c>
      <c r="Z615" s="845">
        <f t="shared" si="720"/>
        <v>39.483999999999995</v>
      </c>
      <c r="AA615" s="846">
        <f t="shared" si="720"/>
        <v>69.971999999999994</v>
      </c>
      <c r="AB615" s="846">
        <f t="shared" si="720"/>
        <v>79.944000000000003</v>
      </c>
      <c r="AC615" s="859">
        <f t="shared" si="720"/>
        <v>62.68</v>
      </c>
      <c r="AD615" s="846">
        <f t="shared" si="720"/>
        <v>57.753</v>
      </c>
      <c r="AE615" s="845">
        <f t="shared" si="720"/>
        <v>57.753</v>
      </c>
      <c r="AF615" s="846">
        <f t="shared" si="720"/>
        <v>63.168999999999997</v>
      </c>
      <c r="AG615" s="846">
        <f t="shared" si="720"/>
        <v>61.204999999999998</v>
      </c>
      <c r="AH615" s="859">
        <f t="shared" si="720"/>
        <v>45.477000000000004</v>
      </c>
      <c r="AI615" s="846">
        <f t="shared" si="720"/>
        <v>28.716999999999999</v>
      </c>
      <c r="AJ615" s="845">
        <f t="shared" si="720"/>
        <v>28.716999999999999</v>
      </c>
      <c r="AK615" s="846">
        <f t="shared" si="720"/>
        <v>58.244999999999997</v>
      </c>
      <c r="AL615" s="846">
        <f t="shared" si="720"/>
        <v>49.445</v>
      </c>
      <c r="AM615" s="847">
        <f t="shared" si="720"/>
        <v>86.26</v>
      </c>
      <c r="AN615" s="859">
        <f t="shared" si="720"/>
        <v>86.26</v>
      </c>
      <c r="AO615" s="845">
        <f t="shared" si="720"/>
        <v>86.26</v>
      </c>
      <c r="AP615" s="859">
        <f t="shared" si="720"/>
        <v>86.26</v>
      </c>
      <c r="AQ615" s="859">
        <f t="shared" si="720"/>
        <v>86.26</v>
      </c>
      <c r="AR615" s="859">
        <f t="shared" si="720"/>
        <v>86.26</v>
      </c>
      <c r="AS615" s="859">
        <f t="shared" si="720"/>
        <v>86.26</v>
      </c>
      <c r="AT615" s="845">
        <f t="shared" si="720"/>
        <v>86.26</v>
      </c>
      <c r="AU615" s="860">
        <f t="shared" si="720"/>
        <v>86.26</v>
      </c>
      <c r="AV615" s="860">
        <f t="shared" si="720"/>
        <v>86.26</v>
      </c>
      <c r="AW615" s="860">
        <f t="shared" si="720"/>
        <v>86.26</v>
      </c>
      <c r="AX615" s="795"/>
    </row>
    <row r="616" spans="1:50" s="7" customFormat="1" x14ac:dyDescent="0.45">
      <c r="A616" s="54" t="s">
        <v>192</v>
      </c>
      <c r="B616" s="69"/>
      <c r="C616" s="851">
        <f t="shared" ref="C616:AW616" si="721">C606+C615</f>
        <v>121.89099999999999</v>
      </c>
      <c r="D616" s="851">
        <f t="shared" si="721"/>
        <v>154.01599999999999</v>
      </c>
      <c r="E616" s="851">
        <f t="shared" si="721"/>
        <v>145.17500000000001</v>
      </c>
      <c r="F616" s="851">
        <f t="shared" si="721"/>
        <v>136.00599999999997</v>
      </c>
      <c r="G616" s="852">
        <f t="shared" si="721"/>
        <v>134.71700000000001</v>
      </c>
      <c r="H616" s="852">
        <f t="shared" si="721"/>
        <v>146.827</v>
      </c>
      <c r="I616" s="852">
        <f t="shared" si="721"/>
        <v>148.03300000000002</v>
      </c>
      <c r="J616" s="852">
        <f t="shared" si="721"/>
        <v>156.26100000000002</v>
      </c>
      <c r="K616" s="851">
        <f t="shared" si="721"/>
        <v>156.26100000000002</v>
      </c>
      <c r="L616" s="852">
        <f t="shared" si="721"/>
        <v>151.24099999999999</v>
      </c>
      <c r="M616" s="852">
        <f t="shared" si="721"/>
        <v>154.726</v>
      </c>
      <c r="N616" s="852">
        <f t="shared" si="721"/>
        <v>156.75000000000003</v>
      </c>
      <c r="O616" s="852">
        <f t="shared" si="721"/>
        <v>176.98099999999999</v>
      </c>
      <c r="P616" s="851">
        <f t="shared" si="721"/>
        <v>176.98099999999999</v>
      </c>
      <c r="Q616" s="852">
        <f t="shared" si="721"/>
        <v>160.935</v>
      </c>
      <c r="R616" s="852">
        <f t="shared" si="721"/>
        <v>148.64500000000001</v>
      </c>
      <c r="S616" s="852">
        <f t="shared" si="721"/>
        <v>148.80699999999999</v>
      </c>
      <c r="T616" s="852">
        <f t="shared" si="721"/>
        <v>261.41300000000001</v>
      </c>
      <c r="U616" s="851">
        <f t="shared" si="721"/>
        <v>261.41300000000001</v>
      </c>
      <c r="V616" s="852">
        <f t="shared" si="721"/>
        <v>234.94799999999998</v>
      </c>
      <c r="W616" s="852">
        <f t="shared" si="721"/>
        <v>193.41700000000003</v>
      </c>
      <c r="X616" s="866">
        <f t="shared" si="721"/>
        <v>165.26900000000001</v>
      </c>
      <c r="Y616" s="852">
        <f t="shared" si="721"/>
        <v>168.178</v>
      </c>
      <c r="Z616" s="851">
        <f t="shared" si="721"/>
        <v>168.178</v>
      </c>
      <c r="AA616" s="852">
        <f t="shared" si="721"/>
        <v>175.721</v>
      </c>
      <c r="AB616" s="852">
        <f t="shared" si="721"/>
        <v>188.55700000000002</v>
      </c>
      <c r="AC616" s="866">
        <f t="shared" si="721"/>
        <v>170.643</v>
      </c>
      <c r="AD616" s="852">
        <f t="shared" si="721"/>
        <v>192.34499999999997</v>
      </c>
      <c r="AE616" s="851">
        <f t="shared" si="721"/>
        <v>192.34499999999997</v>
      </c>
      <c r="AF616" s="852">
        <f t="shared" si="721"/>
        <v>198.24299999999999</v>
      </c>
      <c r="AG616" s="852">
        <f t="shared" si="721"/>
        <v>180.25100000000003</v>
      </c>
      <c r="AH616" s="866">
        <f t="shared" si="721"/>
        <v>165.37299999999999</v>
      </c>
      <c r="AI616" s="852">
        <f t="shared" si="721"/>
        <v>156.94900000000001</v>
      </c>
      <c r="AJ616" s="851">
        <f t="shared" si="721"/>
        <v>156.94900000000001</v>
      </c>
      <c r="AK616" s="852">
        <f t="shared" si="721"/>
        <v>186.495</v>
      </c>
      <c r="AL616" s="852">
        <f t="shared" si="721"/>
        <v>181.7</v>
      </c>
      <c r="AM616" s="853">
        <f t="shared" si="721"/>
        <v>223.13900000000001</v>
      </c>
      <c r="AN616" s="867">
        <f t="shared" si="721"/>
        <v>220.33024513871038</v>
      </c>
      <c r="AO616" s="855">
        <f t="shared" si="721"/>
        <v>220.33024513871038</v>
      </c>
      <c r="AP616" s="867">
        <f t="shared" si="721"/>
        <v>221.24855313236884</v>
      </c>
      <c r="AQ616" s="867">
        <f t="shared" si="721"/>
        <v>222.30295258024591</v>
      </c>
      <c r="AR616" s="867">
        <f t="shared" si="721"/>
        <v>222.80028980143442</v>
      </c>
      <c r="AS616" s="867">
        <f t="shared" si="721"/>
        <v>223.58573004671808</v>
      </c>
      <c r="AT616" s="855">
        <f t="shared" si="721"/>
        <v>223.58573004671808</v>
      </c>
      <c r="AU616" s="868">
        <f t="shared" si="721"/>
        <v>224.90383160377257</v>
      </c>
      <c r="AV616" s="868">
        <f t="shared" si="721"/>
        <v>228.11847042337303</v>
      </c>
      <c r="AW616" s="868">
        <f t="shared" si="721"/>
        <v>229.62637813383884</v>
      </c>
      <c r="AX616" s="795"/>
    </row>
    <row r="617" spans="1:50" s="7" customFormat="1" x14ac:dyDescent="0.45">
      <c r="A617" s="54"/>
      <c r="B617" s="69"/>
      <c r="C617" s="851"/>
      <c r="D617" s="851"/>
      <c r="E617" s="851"/>
      <c r="F617" s="851"/>
      <c r="G617" s="852"/>
      <c r="H617" s="852"/>
      <c r="I617" s="852"/>
      <c r="J617" s="852"/>
      <c r="K617" s="851"/>
      <c r="L617" s="852"/>
      <c r="M617" s="852"/>
      <c r="N617" s="852"/>
      <c r="O617" s="852"/>
      <c r="P617" s="851"/>
      <c r="Q617" s="852"/>
      <c r="R617" s="852"/>
      <c r="S617" s="852"/>
      <c r="T617" s="852"/>
      <c r="U617" s="851"/>
      <c r="V617" s="852"/>
      <c r="W617" s="852"/>
      <c r="X617" s="852"/>
      <c r="Y617" s="852"/>
      <c r="Z617" s="851"/>
      <c r="AA617" s="852"/>
      <c r="AB617" s="852"/>
      <c r="AC617" s="852"/>
      <c r="AD617" s="852"/>
      <c r="AE617" s="851"/>
      <c r="AF617" s="852"/>
      <c r="AG617" s="852"/>
      <c r="AH617" s="852"/>
      <c r="AI617" s="852"/>
      <c r="AJ617" s="851"/>
      <c r="AK617" s="852"/>
      <c r="AL617" s="852"/>
      <c r="AM617" s="853"/>
      <c r="AN617" s="854"/>
      <c r="AO617" s="855"/>
      <c r="AP617" s="854"/>
      <c r="AQ617" s="854"/>
      <c r="AR617" s="854"/>
      <c r="AS617" s="854"/>
      <c r="AT617" s="855"/>
      <c r="AU617" s="855"/>
      <c r="AV617" s="855"/>
      <c r="AW617" s="855"/>
      <c r="AX617" s="795"/>
    </row>
    <row r="618" spans="1:50" s="7" customFormat="1" x14ac:dyDescent="0.45">
      <c r="A618" s="63" t="s">
        <v>193</v>
      </c>
      <c r="B618" s="69"/>
      <c r="C618" s="851"/>
      <c r="D618" s="851"/>
      <c r="E618" s="851"/>
      <c r="F618" s="851"/>
      <c r="G618" s="852"/>
      <c r="H618" s="852"/>
      <c r="I618" s="852"/>
      <c r="J618" s="852"/>
      <c r="K618" s="851"/>
      <c r="L618" s="852"/>
      <c r="M618" s="852"/>
      <c r="N618" s="852"/>
      <c r="O618" s="852"/>
      <c r="P618" s="851"/>
      <c r="Q618" s="852"/>
      <c r="R618" s="852"/>
      <c r="S618" s="852"/>
      <c r="T618" s="852"/>
      <c r="U618" s="851"/>
      <c r="V618" s="852"/>
      <c r="W618" s="852"/>
      <c r="X618" s="852"/>
      <c r="Y618" s="852"/>
      <c r="Z618" s="851"/>
      <c r="AA618" s="852"/>
      <c r="AB618" s="852"/>
      <c r="AC618" s="852"/>
      <c r="AD618" s="852"/>
      <c r="AE618" s="851"/>
      <c r="AF618" s="852"/>
      <c r="AG618" s="852"/>
      <c r="AH618" s="852"/>
      <c r="AI618" s="852"/>
      <c r="AJ618" s="851"/>
      <c r="AK618" s="852"/>
      <c r="AL618" s="852"/>
      <c r="AM618" s="853"/>
      <c r="AN618" s="854"/>
      <c r="AO618" s="855"/>
      <c r="AP618" s="854"/>
      <c r="AQ618" s="854"/>
      <c r="AR618" s="854"/>
      <c r="AS618" s="854"/>
      <c r="AT618" s="855"/>
      <c r="AU618" s="855"/>
      <c r="AV618" s="855"/>
      <c r="AW618" s="855"/>
      <c r="AX618" s="795"/>
    </row>
    <row r="619" spans="1:50" s="29" customFormat="1" x14ac:dyDescent="0.45">
      <c r="A619" s="61" t="s">
        <v>194</v>
      </c>
      <c r="B619" s="147"/>
      <c r="C619" s="840">
        <v>0.28899999999999998</v>
      </c>
      <c r="D619" s="840">
        <v>0.57999999999999996</v>
      </c>
      <c r="E619" s="840">
        <v>0.59199999999999997</v>
      </c>
      <c r="F619" s="840">
        <v>0.59499999999999997</v>
      </c>
      <c r="G619" s="841">
        <v>0.59599999999999997</v>
      </c>
      <c r="H619" s="841">
        <v>0.60099999999999998</v>
      </c>
      <c r="I619" s="841">
        <v>0.60199999999999998</v>
      </c>
      <c r="J619" s="841">
        <f>K619</f>
        <v>0.60199999999999998</v>
      </c>
      <c r="K619" s="840">
        <v>0.60199999999999998</v>
      </c>
      <c r="L619" s="841">
        <v>0.60199999999999998</v>
      </c>
      <c r="M619" s="841">
        <v>0.60299999999999998</v>
      </c>
      <c r="N619" s="841">
        <v>0.60299999999999998</v>
      </c>
      <c r="O619" s="841">
        <f t="shared" ref="O619:O622" si="722">P619</f>
        <v>0.60299999999999998</v>
      </c>
      <c r="P619" s="840">
        <v>0.60299999999999998</v>
      </c>
      <c r="Q619" s="841">
        <v>0.60299999999999998</v>
      </c>
      <c r="R619" s="841">
        <v>0.60899999999999999</v>
      </c>
      <c r="S619" s="841">
        <v>0.60899999999999999</v>
      </c>
      <c r="T619" s="841">
        <f t="shared" ref="T619:T622" si="723">U619</f>
        <v>0.61</v>
      </c>
      <c r="U619" s="840">
        <v>0.61</v>
      </c>
      <c r="V619" s="841">
        <v>0.61499999999999999</v>
      </c>
      <c r="W619" s="841">
        <v>0.621</v>
      </c>
      <c r="X619" s="861">
        <v>0.624</v>
      </c>
      <c r="Y619" s="841">
        <f t="shared" ref="Y619:Y622" si="724">Z619</f>
        <v>0.625</v>
      </c>
      <c r="Z619" s="840">
        <v>0.625</v>
      </c>
      <c r="AA619" s="841">
        <v>0.63400000000000001</v>
      </c>
      <c r="AB619" s="841">
        <v>0.63700000000000001</v>
      </c>
      <c r="AC619" s="861">
        <v>0.63700000000000001</v>
      </c>
      <c r="AD619" s="841">
        <f t="shared" ref="AD619:AD622" si="725">AE619</f>
        <v>0.64</v>
      </c>
      <c r="AE619" s="840">
        <v>0.64</v>
      </c>
      <c r="AF619" s="841">
        <v>0.64200000000000002</v>
      </c>
      <c r="AG619" s="841">
        <v>0.64400000000000002</v>
      </c>
      <c r="AH619" s="861">
        <v>0.64700000000000002</v>
      </c>
      <c r="AI619" s="841">
        <f t="shared" ref="AI619:AI622" si="726">AJ619</f>
        <v>0.64800000000000002</v>
      </c>
      <c r="AJ619" s="840">
        <v>0.64800000000000002</v>
      </c>
      <c r="AK619" s="841">
        <v>0.65400000000000003</v>
      </c>
      <c r="AL619" s="841">
        <v>0.65400000000000003</v>
      </c>
      <c r="AM619" s="842">
        <v>0.65700000000000003</v>
      </c>
      <c r="AN619" s="862">
        <f>AM619</f>
        <v>0.65700000000000003</v>
      </c>
      <c r="AO619" s="844">
        <f t="shared" ref="AO619:AO622" si="727">AN619</f>
        <v>0.65700000000000003</v>
      </c>
      <c r="AP619" s="862">
        <f t="shared" ref="AP619:AS619" si="728">AO619</f>
        <v>0.65700000000000003</v>
      </c>
      <c r="AQ619" s="862">
        <f t="shared" si="728"/>
        <v>0.65700000000000003</v>
      </c>
      <c r="AR619" s="862">
        <f t="shared" si="728"/>
        <v>0.65700000000000003</v>
      </c>
      <c r="AS619" s="862">
        <f t="shared" si="728"/>
        <v>0.65700000000000003</v>
      </c>
      <c r="AT619" s="844">
        <f>AS619</f>
        <v>0.65700000000000003</v>
      </c>
      <c r="AU619" s="863">
        <f t="shared" ref="AU619:AW619" si="729">AT619</f>
        <v>0.65700000000000003</v>
      </c>
      <c r="AV619" s="863">
        <f t="shared" si="729"/>
        <v>0.65700000000000003</v>
      </c>
      <c r="AW619" s="863">
        <f t="shared" si="729"/>
        <v>0.65700000000000003</v>
      </c>
      <c r="AX619" s="793"/>
    </row>
    <row r="620" spans="1:50" s="29" customFormat="1" x14ac:dyDescent="0.45">
      <c r="A620" s="61" t="s">
        <v>195</v>
      </c>
      <c r="B620" s="147"/>
      <c r="C620" s="840">
        <v>122.271</v>
      </c>
      <c r="D620" s="840">
        <v>132.96899999999999</v>
      </c>
      <c r="E620" s="840">
        <v>169.03299999999999</v>
      </c>
      <c r="F620" s="840">
        <v>179.74299999999999</v>
      </c>
      <c r="G620" s="841">
        <v>180.45</v>
      </c>
      <c r="H620" s="841">
        <v>191.416</v>
      </c>
      <c r="I620" s="841">
        <v>193.96</v>
      </c>
      <c r="J620" s="841">
        <f t="shared" ref="J620:J622" si="730">K620</f>
        <v>194.739</v>
      </c>
      <c r="K620" s="840">
        <v>194.739</v>
      </c>
      <c r="L620" s="841">
        <v>195.733</v>
      </c>
      <c r="M620" s="841">
        <v>196.55199999999999</v>
      </c>
      <c r="N620" s="841">
        <v>197.727</v>
      </c>
      <c r="O620" s="841">
        <f t="shared" si="722"/>
        <v>198.65</v>
      </c>
      <c r="P620" s="840">
        <v>198.65</v>
      </c>
      <c r="Q620" s="841">
        <v>199.48099999999999</v>
      </c>
      <c r="R620" s="841">
        <v>209.63800000000001</v>
      </c>
      <c r="S620" s="841">
        <v>210.184</v>
      </c>
      <c r="T620" s="841">
        <f t="shared" si="723"/>
        <v>211.262</v>
      </c>
      <c r="U620" s="840">
        <v>211.262</v>
      </c>
      <c r="V620" s="841">
        <v>212.76499999999999</v>
      </c>
      <c r="W620" s="841">
        <v>224.089</v>
      </c>
      <c r="X620" s="861">
        <v>225.96700000000001</v>
      </c>
      <c r="Y620" s="841">
        <f t="shared" si="724"/>
        <v>228.54900000000001</v>
      </c>
      <c r="Z620" s="840">
        <v>228.54900000000001</v>
      </c>
      <c r="AA620" s="841">
        <v>233.74199999999999</v>
      </c>
      <c r="AB620" s="841">
        <v>237.11</v>
      </c>
      <c r="AC620" s="861">
        <v>240.584</v>
      </c>
      <c r="AD620" s="841">
        <f t="shared" si="725"/>
        <v>244.46199999999999</v>
      </c>
      <c r="AE620" s="840">
        <v>244.46199999999999</v>
      </c>
      <c r="AF620" s="841">
        <v>247.374</v>
      </c>
      <c r="AG620" s="841">
        <v>253.613</v>
      </c>
      <c r="AH620" s="861">
        <v>258.31099999999998</v>
      </c>
      <c r="AI620" s="841">
        <f t="shared" si="726"/>
        <v>264.90800000000002</v>
      </c>
      <c r="AJ620" s="840">
        <v>264.90800000000002</v>
      </c>
      <c r="AK620" s="841">
        <v>268.488</v>
      </c>
      <c r="AL620" s="841">
        <v>272.84800000000001</v>
      </c>
      <c r="AM620" s="842">
        <v>277.161</v>
      </c>
      <c r="AN620" s="862">
        <f>AM620+AN493+AN536</f>
        <v>281.76100000000002</v>
      </c>
      <c r="AO620" s="844">
        <f t="shared" si="727"/>
        <v>281.76100000000002</v>
      </c>
      <c r="AP620" s="862">
        <f t="shared" ref="AP620:AS620" si="731">AO620+AP493+AP536</f>
        <v>286.36100000000005</v>
      </c>
      <c r="AQ620" s="862">
        <f t="shared" si="731"/>
        <v>290.96100000000007</v>
      </c>
      <c r="AR620" s="862">
        <f t="shared" si="731"/>
        <v>295.56100000000009</v>
      </c>
      <c r="AS620" s="862">
        <f t="shared" si="731"/>
        <v>300.16100000000012</v>
      </c>
      <c r="AT620" s="844">
        <f t="shared" ref="AT620:AT622" si="732">AS620</f>
        <v>300.16100000000012</v>
      </c>
      <c r="AU620" s="863">
        <f t="shared" ref="AU620:AW620" si="733">AT620+AU493+AU536</f>
        <v>318.56100000000009</v>
      </c>
      <c r="AV620" s="863">
        <f t="shared" si="733"/>
        <v>336.96100000000007</v>
      </c>
      <c r="AW620" s="863">
        <f t="shared" si="733"/>
        <v>355.36100000000005</v>
      </c>
      <c r="AX620" s="793"/>
    </row>
    <row r="621" spans="1:50" s="29" customFormat="1" x14ac:dyDescent="0.45">
      <c r="A621" s="61" t="s">
        <v>196</v>
      </c>
      <c r="B621" s="147"/>
      <c r="C621" s="840"/>
      <c r="D621" s="840"/>
      <c r="E621" s="840">
        <v>-4.4999999999999998E-2</v>
      </c>
      <c r="F621" s="840">
        <v>-1.0999999999999999E-2</v>
      </c>
      <c r="G621" s="841">
        <v>-0.184</v>
      </c>
      <c r="H621" s="841">
        <v>-0.20399999999999999</v>
      </c>
      <c r="I621" s="841">
        <v>-0.23499999999999999</v>
      </c>
      <c r="J621" s="841">
        <f t="shared" si="730"/>
        <v>-0.182</v>
      </c>
      <c r="K621" s="840">
        <v>-0.182</v>
      </c>
      <c r="L621" s="841">
        <v>-0.19800000000000001</v>
      </c>
      <c r="M621" s="841">
        <v>-0.23200000000000001</v>
      </c>
      <c r="N621" s="841">
        <v>-0.26500000000000001</v>
      </c>
      <c r="O621" s="841">
        <f t="shared" si="722"/>
        <v>-0.192</v>
      </c>
      <c r="P621" s="840">
        <v>-0.192</v>
      </c>
      <c r="Q621" s="841">
        <v>-0.26800000000000002</v>
      </c>
      <c r="R621" s="841">
        <v>-0.48099999999999998</v>
      </c>
      <c r="S621" s="841">
        <v>-0.51700000000000002</v>
      </c>
      <c r="T621" s="841">
        <f t="shared" si="723"/>
        <v>-0.48099999999999998</v>
      </c>
      <c r="U621" s="840">
        <v>-0.48099999999999998</v>
      </c>
      <c r="V621" s="841">
        <v>-0.59299999999999997</v>
      </c>
      <c r="W621" s="841">
        <v>-0.56499999999999995</v>
      </c>
      <c r="X621" s="861">
        <v>-0.65300000000000002</v>
      </c>
      <c r="Y621" s="841">
        <f t="shared" si="724"/>
        <v>-0.35799999999999998</v>
      </c>
      <c r="Z621" s="840">
        <v>-0.35799999999999998</v>
      </c>
      <c r="AA621" s="841">
        <v>-0.372</v>
      </c>
      <c r="AB621" s="841">
        <v>-0.45700000000000002</v>
      </c>
      <c r="AC621" s="861">
        <v>-0.23499999999999999</v>
      </c>
      <c r="AD621" s="841">
        <f t="shared" si="725"/>
        <v>-0.4</v>
      </c>
      <c r="AE621" s="840">
        <v>-0.4</v>
      </c>
      <c r="AF621" s="841">
        <v>-0.89900000000000002</v>
      </c>
      <c r="AG621" s="841">
        <v>-1.6919999999999999</v>
      </c>
      <c r="AH621" s="861">
        <v>-1.2809999999999999</v>
      </c>
      <c r="AI621" s="841">
        <f t="shared" si="726"/>
        <v>-1.2310000000000001</v>
      </c>
      <c r="AJ621" s="840">
        <v>-1.2310000000000001</v>
      </c>
      <c r="AK621" s="841">
        <v>-1.177</v>
      </c>
      <c r="AL621" s="841">
        <v>-1.32</v>
      </c>
      <c r="AM621" s="842">
        <v>-1.423</v>
      </c>
      <c r="AN621" s="862">
        <f>AM621</f>
        <v>-1.423</v>
      </c>
      <c r="AO621" s="844">
        <f t="shared" si="727"/>
        <v>-1.423</v>
      </c>
      <c r="AP621" s="862">
        <f t="shared" ref="AP621:AS621" si="734">AO621</f>
        <v>-1.423</v>
      </c>
      <c r="AQ621" s="862">
        <f t="shared" si="734"/>
        <v>-1.423</v>
      </c>
      <c r="AR621" s="862">
        <f t="shared" si="734"/>
        <v>-1.423</v>
      </c>
      <c r="AS621" s="862">
        <f t="shared" si="734"/>
        <v>-1.423</v>
      </c>
      <c r="AT621" s="844">
        <f t="shared" si="732"/>
        <v>-1.423</v>
      </c>
      <c r="AU621" s="863">
        <f t="shared" ref="AU621:AW621" si="735">AT621</f>
        <v>-1.423</v>
      </c>
      <c r="AV621" s="863">
        <f t="shared" si="735"/>
        <v>-1.423</v>
      </c>
      <c r="AW621" s="863">
        <f t="shared" si="735"/>
        <v>-1.423</v>
      </c>
      <c r="AX621" s="793"/>
    </row>
    <row r="622" spans="1:50" s="29" customFormat="1" x14ac:dyDescent="0.45">
      <c r="A622" s="214" t="s">
        <v>197</v>
      </c>
      <c r="B622" s="215"/>
      <c r="C622" s="848">
        <v>65.728999999999999</v>
      </c>
      <c r="D622" s="848">
        <v>91.120999999999995</v>
      </c>
      <c r="E622" s="848">
        <v>125.59699999999999</v>
      </c>
      <c r="F622" s="848">
        <v>126.72199999999999</v>
      </c>
      <c r="G622" s="849">
        <v>129.24199999999999</v>
      </c>
      <c r="H622" s="849">
        <v>128.691</v>
      </c>
      <c r="I622" s="849">
        <v>105.417</v>
      </c>
      <c r="J622" s="849">
        <f t="shared" si="730"/>
        <v>99.930999999999997</v>
      </c>
      <c r="K622" s="848">
        <v>99.930999999999997</v>
      </c>
      <c r="L622" s="849">
        <v>94.403000000000006</v>
      </c>
      <c r="M622" s="849">
        <v>88.457999999999998</v>
      </c>
      <c r="N622" s="849">
        <v>84.436000000000007</v>
      </c>
      <c r="O622" s="849">
        <f t="shared" si="722"/>
        <v>84.478999999999999</v>
      </c>
      <c r="P622" s="848">
        <v>84.478999999999999</v>
      </c>
      <c r="Q622" s="849">
        <v>80.138000000000005</v>
      </c>
      <c r="R622" s="849">
        <v>77.730999999999995</v>
      </c>
      <c r="S622" s="849">
        <v>74.307000000000002</v>
      </c>
      <c r="T622" s="849">
        <f t="shared" si="723"/>
        <v>57.985999999999997</v>
      </c>
      <c r="U622" s="848">
        <v>57.985999999999997</v>
      </c>
      <c r="V622" s="849">
        <v>57.338999999999999</v>
      </c>
      <c r="W622" s="849">
        <v>61.326000000000001</v>
      </c>
      <c r="X622" s="864">
        <v>71.811999999999998</v>
      </c>
      <c r="Y622" s="849">
        <f t="shared" si="724"/>
        <v>76.227000000000004</v>
      </c>
      <c r="Z622" s="848">
        <v>76.227000000000004</v>
      </c>
      <c r="AA622" s="849">
        <v>80.183999999999997</v>
      </c>
      <c r="AB622" s="849">
        <v>88.212999999999994</v>
      </c>
      <c r="AC622" s="864">
        <v>89.754000000000005</v>
      </c>
      <c r="AD622" s="849">
        <f t="shared" si="725"/>
        <v>78.707999999999998</v>
      </c>
      <c r="AE622" s="848">
        <v>78.707999999999998</v>
      </c>
      <c r="AF622" s="849">
        <v>89.775000000000006</v>
      </c>
      <c r="AG622" s="849">
        <v>102.869</v>
      </c>
      <c r="AH622" s="864">
        <v>107.693</v>
      </c>
      <c r="AI622" s="849">
        <f t="shared" si="726"/>
        <v>111.621</v>
      </c>
      <c r="AJ622" s="848">
        <v>111.621</v>
      </c>
      <c r="AK622" s="849">
        <v>112.86499999999999</v>
      </c>
      <c r="AL622" s="849">
        <v>118.946</v>
      </c>
      <c r="AM622" s="850">
        <v>123.361</v>
      </c>
      <c r="AN622" s="864">
        <f ca="1">AM622+AN533+AN484</f>
        <v>127.90602876712025</v>
      </c>
      <c r="AO622" s="848">
        <f t="shared" ca="1" si="727"/>
        <v>127.90602876712025</v>
      </c>
      <c r="AP622" s="864">
        <f ca="1">AO622+AP533+AP484</f>
        <v>130.46059153503228</v>
      </c>
      <c r="AQ622" s="864">
        <f ca="1">AP622+AQ533+AQ484</f>
        <v>136.26734344812476</v>
      </c>
      <c r="AR622" s="864">
        <f ca="1">AQ622+AR533+AR484</f>
        <v>142.01473025645183</v>
      </c>
      <c r="AS622" s="864">
        <f ca="1">AR622+AS533+AS484</f>
        <v>146.86365530907193</v>
      </c>
      <c r="AT622" s="848">
        <f t="shared" ca="1" si="732"/>
        <v>146.86365530907193</v>
      </c>
      <c r="AU622" s="865">
        <f ca="1">AT622+AU533+AU484</f>
        <v>169.88139458161712</v>
      </c>
      <c r="AV622" s="865">
        <f ca="1">AU622+AV533+AV484</f>
        <v>195.29203527399508</v>
      </c>
      <c r="AW622" s="865">
        <f ca="1">AV622+AW533+AW484</f>
        <v>223.70735446870441</v>
      </c>
      <c r="AX622" s="793"/>
    </row>
    <row r="623" spans="1:50" s="7" customFormat="1" x14ac:dyDescent="0.45">
      <c r="A623" s="53" t="s">
        <v>198</v>
      </c>
      <c r="B623" s="146"/>
      <c r="C623" s="845">
        <f t="shared" ref="C623:AW623" si="736">SUM(C619:C622)</f>
        <v>188.28899999999999</v>
      </c>
      <c r="D623" s="845">
        <f t="shared" si="736"/>
        <v>224.67000000000002</v>
      </c>
      <c r="E623" s="845">
        <f t="shared" si="736"/>
        <v>295.17700000000002</v>
      </c>
      <c r="F623" s="845">
        <f t="shared" si="736"/>
        <v>307.04899999999998</v>
      </c>
      <c r="G623" s="846">
        <f t="shared" si="736"/>
        <v>310.10399999999998</v>
      </c>
      <c r="H623" s="846">
        <f t="shared" si="736"/>
        <v>320.50400000000002</v>
      </c>
      <c r="I623" s="846">
        <f t="shared" si="736"/>
        <v>299.74400000000003</v>
      </c>
      <c r="J623" s="846">
        <f t="shared" si="736"/>
        <v>295.09000000000003</v>
      </c>
      <c r="K623" s="845">
        <f t="shared" si="736"/>
        <v>295.09000000000003</v>
      </c>
      <c r="L623" s="846">
        <f t="shared" si="736"/>
        <v>290.54000000000002</v>
      </c>
      <c r="M623" s="846">
        <f t="shared" si="736"/>
        <v>285.38099999999997</v>
      </c>
      <c r="N623" s="846">
        <f t="shared" si="736"/>
        <v>282.50100000000003</v>
      </c>
      <c r="O623" s="846">
        <f t="shared" si="736"/>
        <v>283.54000000000002</v>
      </c>
      <c r="P623" s="845">
        <f t="shared" si="736"/>
        <v>283.54000000000002</v>
      </c>
      <c r="Q623" s="846">
        <f t="shared" si="736"/>
        <v>279.95400000000001</v>
      </c>
      <c r="R623" s="846">
        <f t="shared" si="736"/>
        <v>287.49700000000001</v>
      </c>
      <c r="S623" s="846">
        <f t="shared" si="736"/>
        <v>284.58300000000003</v>
      </c>
      <c r="T623" s="846">
        <f t="shared" si="736"/>
        <v>269.37700000000001</v>
      </c>
      <c r="U623" s="845">
        <f t="shared" si="736"/>
        <v>269.37700000000001</v>
      </c>
      <c r="V623" s="846">
        <f t="shared" si="736"/>
        <v>270.12599999999998</v>
      </c>
      <c r="W623" s="846">
        <f t="shared" si="736"/>
        <v>285.471</v>
      </c>
      <c r="X623" s="859">
        <f t="shared" si="736"/>
        <v>297.75</v>
      </c>
      <c r="Y623" s="846">
        <f t="shared" si="736"/>
        <v>305.04300000000001</v>
      </c>
      <c r="Z623" s="845">
        <f t="shared" si="736"/>
        <v>305.04300000000001</v>
      </c>
      <c r="AA623" s="846">
        <f t="shared" si="736"/>
        <v>314.18799999999999</v>
      </c>
      <c r="AB623" s="846">
        <f t="shared" si="736"/>
        <v>325.50300000000004</v>
      </c>
      <c r="AC623" s="859">
        <f t="shared" si="736"/>
        <v>330.74</v>
      </c>
      <c r="AD623" s="846">
        <f t="shared" si="736"/>
        <v>323.40999999999997</v>
      </c>
      <c r="AE623" s="845">
        <f t="shared" si="736"/>
        <v>323.40999999999997</v>
      </c>
      <c r="AF623" s="846">
        <f t="shared" si="736"/>
        <v>336.892</v>
      </c>
      <c r="AG623" s="846">
        <f t="shared" si="736"/>
        <v>355.43399999999997</v>
      </c>
      <c r="AH623" s="859">
        <f t="shared" si="736"/>
        <v>365.36999999999995</v>
      </c>
      <c r="AI623" s="846">
        <f t="shared" si="736"/>
        <v>375.94600000000003</v>
      </c>
      <c r="AJ623" s="845">
        <f t="shared" si="736"/>
        <v>375.94600000000003</v>
      </c>
      <c r="AK623" s="846">
        <f t="shared" si="736"/>
        <v>380.83</v>
      </c>
      <c r="AL623" s="846">
        <f t="shared" si="736"/>
        <v>391.12800000000004</v>
      </c>
      <c r="AM623" s="847">
        <f t="shared" si="736"/>
        <v>399.75599999999997</v>
      </c>
      <c r="AN623" s="859">
        <f t="shared" ca="1" si="736"/>
        <v>408.90102876712024</v>
      </c>
      <c r="AO623" s="845">
        <f t="shared" ca="1" si="736"/>
        <v>408.90102876712024</v>
      </c>
      <c r="AP623" s="859">
        <f t="shared" ca="1" si="736"/>
        <v>416.05559153503231</v>
      </c>
      <c r="AQ623" s="859">
        <f t="shared" ca="1" si="736"/>
        <v>426.46234344812478</v>
      </c>
      <c r="AR623" s="859">
        <f t="shared" ca="1" si="736"/>
        <v>436.80973025645187</v>
      </c>
      <c r="AS623" s="859">
        <f t="shared" ca="1" si="736"/>
        <v>446.25865530907203</v>
      </c>
      <c r="AT623" s="845">
        <f t="shared" ca="1" si="736"/>
        <v>446.25865530907203</v>
      </c>
      <c r="AU623" s="860">
        <f t="shared" ca="1" si="736"/>
        <v>487.67639458161716</v>
      </c>
      <c r="AV623" s="860">
        <f t="shared" ca="1" si="736"/>
        <v>531.48703527399516</v>
      </c>
      <c r="AW623" s="860">
        <f t="shared" ca="1" si="736"/>
        <v>578.30235446870438</v>
      </c>
      <c r="AX623" s="795"/>
    </row>
    <row r="624" spans="1:50" s="29" customFormat="1" x14ac:dyDescent="0.45">
      <c r="A624" s="61" t="s">
        <v>199</v>
      </c>
      <c r="B624" s="147"/>
      <c r="C624" s="840"/>
      <c r="D624" s="840"/>
      <c r="E624" s="840"/>
      <c r="F624" s="840"/>
      <c r="G624" s="841"/>
      <c r="H624" s="841"/>
      <c r="I624" s="841"/>
      <c r="J624" s="841">
        <f>K624</f>
        <v>0</v>
      </c>
      <c r="K624" s="840"/>
      <c r="L624" s="841"/>
      <c r="M624" s="841"/>
      <c r="N624" s="841"/>
      <c r="O624" s="841">
        <f>P624</f>
        <v>0</v>
      </c>
      <c r="P624" s="840"/>
      <c r="Q624" s="841"/>
      <c r="R624" s="841"/>
      <c r="S624" s="841"/>
      <c r="T624" s="841">
        <f>U624</f>
        <v>0</v>
      </c>
      <c r="U624" s="840"/>
      <c r="V624" s="841"/>
      <c r="W624" s="841"/>
      <c r="X624" s="861"/>
      <c r="Y624" s="841">
        <f>Z624</f>
        <v>0</v>
      </c>
      <c r="Z624" s="840"/>
      <c r="AA624" s="841"/>
      <c r="AB624" s="841"/>
      <c r="AC624" s="861"/>
      <c r="AD624" s="841">
        <f>AE624</f>
        <v>0</v>
      </c>
      <c r="AE624" s="840"/>
      <c r="AF624" s="841"/>
      <c r="AG624" s="841"/>
      <c r="AH624" s="861"/>
      <c r="AI624" s="841">
        <f>AJ624</f>
        <v>0</v>
      </c>
      <c r="AJ624" s="840"/>
      <c r="AK624" s="841"/>
      <c r="AL624" s="841"/>
      <c r="AM624" s="842"/>
      <c r="AN624" s="862">
        <f>AM624</f>
        <v>0</v>
      </c>
      <c r="AO624" s="844">
        <f t="shared" ref="AO624:AW624" si="737">AN624</f>
        <v>0</v>
      </c>
      <c r="AP624" s="862">
        <f t="shared" si="737"/>
        <v>0</v>
      </c>
      <c r="AQ624" s="862">
        <f t="shared" si="737"/>
        <v>0</v>
      </c>
      <c r="AR624" s="862">
        <f t="shared" si="737"/>
        <v>0</v>
      </c>
      <c r="AS624" s="862">
        <f t="shared" si="737"/>
        <v>0</v>
      </c>
      <c r="AT624" s="844">
        <f t="shared" si="737"/>
        <v>0</v>
      </c>
      <c r="AU624" s="863">
        <f t="shared" si="737"/>
        <v>0</v>
      </c>
      <c r="AV624" s="863">
        <f t="shared" si="737"/>
        <v>0</v>
      </c>
      <c r="AW624" s="863">
        <f t="shared" si="737"/>
        <v>0</v>
      </c>
      <c r="AX624" s="793"/>
    </row>
    <row r="625" spans="1:50" s="7" customFormat="1" x14ac:dyDescent="0.45">
      <c r="A625" s="54" t="s">
        <v>200</v>
      </c>
      <c r="B625" s="69"/>
      <c r="C625" s="851">
        <f t="shared" ref="C625:AW625" si="738">C623+C616+C624</f>
        <v>310.17999999999995</v>
      </c>
      <c r="D625" s="851">
        <f t="shared" si="738"/>
        <v>378.68600000000004</v>
      </c>
      <c r="E625" s="851">
        <f t="shared" si="738"/>
        <v>440.35200000000003</v>
      </c>
      <c r="F625" s="851">
        <f t="shared" si="738"/>
        <v>443.05499999999995</v>
      </c>
      <c r="G625" s="852">
        <f t="shared" si="738"/>
        <v>444.82100000000003</v>
      </c>
      <c r="H625" s="852">
        <f t="shared" si="738"/>
        <v>467.33100000000002</v>
      </c>
      <c r="I625" s="852">
        <f t="shared" si="738"/>
        <v>447.77700000000004</v>
      </c>
      <c r="J625" s="852">
        <f t="shared" si="738"/>
        <v>451.35100000000006</v>
      </c>
      <c r="K625" s="851">
        <f t="shared" si="738"/>
        <v>451.35100000000006</v>
      </c>
      <c r="L625" s="852">
        <f t="shared" si="738"/>
        <v>441.78100000000001</v>
      </c>
      <c r="M625" s="852">
        <f t="shared" si="738"/>
        <v>440.10699999999997</v>
      </c>
      <c r="N625" s="852">
        <f t="shared" si="738"/>
        <v>439.25100000000009</v>
      </c>
      <c r="O625" s="852">
        <f t="shared" si="738"/>
        <v>460.52100000000002</v>
      </c>
      <c r="P625" s="851">
        <f t="shared" si="738"/>
        <v>460.52100000000002</v>
      </c>
      <c r="Q625" s="852">
        <f t="shared" si="738"/>
        <v>440.88900000000001</v>
      </c>
      <c r="R625" s="852">
        <f t="shared" si="738"/>
        <v>436.14200000000005</v>
      </c>
      <c r="S625" s="852">
        <f t="shared" si="738"/>
        <v>433.39</v>
      </c>
      <c r="T625" s="852">
        <f t="shared" si="738"/>
        <v>530.79</v>
      </c>
      <c r="U625" s="851">
        <f t="shared" si="738"/>
        <v>530.79</v>
      </c>
      <c r="V625" s="852">
        <f t="shared" si="738"/>
        <v>505.07399999999996</v>
      </c>
      <c r="W625" s="852">
        <f t="shared" si="738"/>
        <v>478.88800000000003</v>
      </c>
      <c r="X625" s="866">
        <f t="shared" si="738"/>
        <v>463.01900000000001</v>
      </c>
      <c r="Y625" s="852">
        <f t="shared" si="738"/>
        <v>473.221</v>
      </c>
      <c r="Z625" s="851">
        <f t="shared" si="738"/>
        <v>473.221</v>
      </c>
      <c r="AA625" s="852">
        <f t="shared" si="738"/>
        <v>489.90899999999999</v>
      </c>
      <c r="AB625" s="852">
        <f t="shared" si="738"/>
        <v>514.06000000000006</v>
      </c>
      <c r="AC625" s="866">
        <f t="shared" si="738"/>
        <v>501.38300000000004</v>
      </c>
      <c r="AD625" s="852">
        <f t="shared" si="738"/>
        <v>515.75499999999988</v>
      </c>
      <c r="AE625" s="851">
        <f t="shared" si="738"/>
        <v>515.75499999999988</v>
      </c>
      <c r="AF625" s="852">
        <f t="shared" si="738"/>
        <v>535.13499999999999</v>
      </c>
      <c r="AG625" s="852">
        <f t="shared" si="738"/>
        <v>535.68499999999995</v>
      </c>
      <c r="AH625" s="866">
        <f t="shared" si="738"/>
        <v>530.74299999999994</v>
      </c>
      <c r="AI625" s="852">
        <f t="shared" si="738"/>
        <v>532.89499999999998</v>
      </c>
      <c r="AJ625" s="851">
        <f t="shared" si="738"/>
        <v>532.89499999999998</v>
      </c>
      <c r="AK625" s="852">
        <f t="shared" si="738"/>
        <v>567.32500000000005</v>
      </c>
      <c r="AL625" s="852">
        <f t="shared" si="738"/>
        <v>572.82799999999997</v>
      </c>
      <c r="AM625" s="853">
        <f t="shared" si="738"/>
        <v>622.89499999999998</v>
      </c>
      <c r="AN625" s="867">
        <f t="shared" ca="1" si="738"/>
        <v>629.23127390583068</v>
      </c>
      <c r="AO625" s="855">
        <f t="shared" ca="1" si="738"/>
        <v>629.23127390583068</v>
      </c>
      <c r="AP625" s="867">
        <f t="shared" ca="1" si="738"/>
        <v>637.30414466740115</v>
      </c>
      <c r="AQ625" s="867">
        <f t="shared" ca="1" si="738"/>
        <v>648.7652960283707</v>
      </c>
      <c r="AR625" s="867">
        <f t="shared" ca="1" si="738"/>
        <v>659.61002005788623</v>
      </c>
      <c r="AS625" s="867">
        <f t="shared" ca="1" si="738"/>
        <v>669.84438535579011</v>
      </c>
      <c r="AT625" s="855">
        <f t="shared" ca="1" si="738"/>
        <v>669.84438535579011</v>
      </c>
      <c r="AU625" s="868">
        <f t="shared" ca="1" si="738"/>
        <v>712.58022618538973</v>
      </c>
      <c r="AV625" s="868">
        <f t="shared" ca="1" si="738"/>
        <v>759.60550569736824</v>
      </c>
      <c r="AW625" s="868">
        <f t="shared" ca="1" si="738"/>
        <v>807.92873260254328</v>
      </c>
      <c r="AX625" s="795"/>
    </row>
    <row r="626" spans="1:50" s="29" customFormat="1" x14ac:dyDescent="0.45">
      <c r="A626" s="793"/>
      <c r="B626" s="793"/>
      <c r="C626" s="841"/>
      <c r="D626" s="841"/>
      <c r="E626" s="841"/>
      <c r="F626" s="841"/>
      <c r="G626" s="841"/>
      <c r="H626" s="841"/>
      <c r="I626" s="841"/>
      <c r="J626" s="841"/>
      <c r="K626" s="841"/>
      <c r="L626" s="841"/>
      <c r="M626" s="841"/>
      <c r="N626" s="841"/>
      <c r="O626" s="841"/>
      <c r="P626" s="841"/>
      <c r="Q626" s="841"/>
      <c r="R626" s="841"/>
      <c r="S626" s="841"/>
      <c r="T626" s="841"/>
      <c r="U626" s="841"/>
      <c r="V626" s="841"/>
      <c r="W626" s="841"/>
      <c r="X626" s="841"/>
      <c r="Y626" s="841"/>
      <c r="Z626" s="841"/>
      <c r="AA626" s="841"/>
      <c r="AB626" s="841"/>
      <c r="AC626" s="841"/>
      <c r="AD626" s="841"/>
      <c r="AE626" s="841"/>
      <c r="AF626" s="841"/>
      <c r="AG626" s="841"/>
      <c r="AH626" s="841"/>
      <c r="AI626" s="841"/>
      <c r="AJ626" s="841"/>
      <c r="AK626" s="841"/>
      <c r="AL626" s="841"/>
      <c r="AM626" s="842"/>
      <c r="AN626" s="843"/>
      <c r="AO626" s="843"/>
      <c r="AP626" s="843"/>
      <c r="AQ626" s="843"/>
      <c r="AR626" s="843"/>
      <c r="AS626" s="843"/>
      <c r="AT626" s="843"/>
      <c r="AU626" s="843"/>
      <c r="AV626" s="843"/>
      <c r="AW626" s="843"/>
      <c r="AX626" s="793"/>
    </row>
    <row r="627" spans="1:50" s="29" customFormat="1" x14ac:dyDescent="0.45">
      <c r="A627" s="86" t="s">
        <v>201</v>
      </c>
      <c r="B627" s="86"/>
      <c r="C627" s="942">
        <f t="shared" ref="C627:AW627" si="739">ROUND(C596-C625,6)</f>
        <v>0</v>
      </c>
      <c r="D627" s="942">
        <f t="shared" si="739"/>
        <v>0</v>
      </c>
      <c r="E627" s="942">
        <f t="shared" si="739"/>
        <v>0</v>
      </c>
      <c r="F627" s="942">
        <f t="shared" si="739"/>
        <v>0</v>
      </c>
      <c r="G627" s="942">
        <f t="shared" si="739"/>
        <v>0</v>
      </c>
      <c r="H627" s="942">
        <f t="shared" si="739"/>
        <v>0</v>
      </c>
      <c r="I627" s="942">
        <f t="shared" si="739"/>
        <v>0</v>
      </c>
      <c r="J627" s="942">
        <f t="shared" si="739"/>
        <v>0</v>
      </c>
      <c r="K627" s="942">
        <f t="shared" si="739"/>
        <v>0</v>
      </c>
      <c r="L627" s="942">
        <f t="shared" si="739"/>
        <v>0</v>
      </c>
      <c r="M627" s="942">
        <f t="shared" si="739"/>
        <v>0</v>
      </c>
      <c r="N627" s="942">
        <f t="shared" si="739"/>
        <v>0</v>
      </c>
      <c r="O627" s="942">
        <f t="shared" si="739"/>
        <v>0</v>
      </c>
      <c r="P627" s="942">
        <f t="shared" si="739"/>
        <v>0</v>
      </c>
      <c r="Q627" s="942">
        <f t="shared" si="739"/>
        <v>0</v>
      </c>
      <c r="R627" s="942">
        <f t="shared" si="739"/>
        <v>0</v>
      </c>
      <c r="S627" s="942">
        <f t="shared" si="739"/>
        <v>0</v>
      </c>
      <c r="T627" s="942">
        <f t="shared" si="739"/>
        <v>0</v>
      </c>
      <c r="U627" s="942">
        <f t="shared" si="739"/>
        <v>0</v>
      </c>
      <c r="V627" s="942">
        <f t="shared" si="739"/>
        <v>0</v>
      </c>
      <c r="W627" s="942">
        <f t="shared" si="739"/>
        <v>0</v>
      </c>
      <c r="X627" s="942">
        <f t="shared" si="739"/>
        <v>0</v>
      </c>
      <c r="Y627" s="942">
        <f t="shared" si="739"/>
        <v>0</v>
      </c>
      <c r="Z627" s="942">
        <f t="shared" si="739"/>
        <v>0</v>
      </c>
      <c r="AA627" s="942">
        <f t="shared" si="739"/>
        <v>0</v>
      </c>
      <c r="AB627" s="942">
        <f t="shared" si="739"/>
        <v>0</v>
      </c>
      <c r="AC627" s="942">
        <f t="shared" si="739"/>
        <v>0</v>
      </c>
      <c r="AD627" s="942">
        <f t="shared" si="739"/>
        <v>0</v>
      </c>
      <c r="AE627" s="942">
        <f t="shared" si="739"/>
        <v>0</v>
      </c>
      <c r="AF627" s="942">
        <f t="shared" si="739"/>
        <v>0</v>
      </c>
      <c r="AG627" s="942">
        <f t="shared" si="739"/>
        <v>0</v>
      </c>
      <c r="AH627" s="942">
        <f t="shared" si="739"/>
        <v>0</v>
      </c>
      <c r="AI627" s="942">
        <f t="shared" si="739"/>
        <v>0</v>
      </c>
      <c r="AJ627" s="942">
        <f t="shared" si="739"/>
        <v>0</v>
      </c>
      <c r="AK627" s="942">
        <f t="shared" si="739"/>
        <v>0</v>
      </c>
      <c r="AL627" s="942">
        <f t="shared" si="739"/>
        <v>0</v>
      </c>
      <c r="AM627" s="943">
        <f t="shared" si="739"/>
        <v>0</v>
      </c>
      <c r="AN627" s="944">
        <f t="shared" ca="1" si="739"/>
        <v>0</v>
      </c>
      <c r="AO627" s="944">
        <f t="shared" ca="1" si="739"/>
        <v>0</v>
      </c>
      <c r="AP627" s="944">
        <f t="shared" ca="1" si="739"/>
        <v>0</v>
      </c>
      <c r="AQ627" s="944">
        <f t="shared" ca="1" si="739"/>
        <v>0</v>
      </c>
      <c r="AR627" s="944">
        <f t="shared" ca="1" si="739"/>
        <v>0</v>
      </c>
      <c r="AS627" s="944">
        <f t="shared" ca="1" si="739"/>
        <v>0</v>
      </c>
      <c r="AT627" s="944">
        <f t="shared" ca="1" si="739"/>
        <v>0</v>
      </c>
      <c r="AU627" s="944">
        <f t="shared" ca="1" si="739"/>
        <v>0</v>
      </c>
      <c r="AV627" s="944">
        <f t="shared" ca="1" si="739"/>
        <v>0</v>
      </c>
      <c r="AW627" s="944">
        <f t="shared" ca="1" si="739"/>
        <v>0</v>
      </c>
      <c r="AX627" s="793"/>
    </row>
    <row r="628" spans="1:50" s="29" customFormat="1" x14ac:dyDescent="0.45">
      <c r="A628" s="793"/>
      <c r="B628" s="793"/>
      <c r="C628" s="841"/>
      <c r="D628" s="841"/>
      <c r="E628" s="841"/>
      <c r="F628" s="841"/>
      <c r="G628" s="841"/>
      <c r="H628" s="841"/>
      <c r="I628" s="841"/>
      <c r="J628" s="841"/>
      <c r="K628" s="841"/>
      <c r="L628" s="841"/>
      <c r="M628" s="841"/>
      <c r="N628" s="841"/>
      <c r="O628" s="841"/>
      <c r="P628" s="841"/>
      <c r="Q628" s="841"/>
      <c r="R628" s="841"/>
      <c r="S628" s="841"/>
      <c r="T628" s="841"/>
      <c r="U628" s="841"/>
      <c r="V628" s="841"/>
      <c r="W628" s="841"/>
      <c r="X628" s="841"/>
      <c r="Y628" s="841"/>
      <c r="Z628" s="841"/>
      <c r="AA628" s="841"/>
      <c r="AB628" s="841"/>
      <c r="AC628" s="841"/>
      <c r="AD628" s="841"/>
      <c r="AE628" s="841"/>
      <c r="AF628" s="841"/>
      <c r="AG628" s="841"/>
      <c r="AH628" s="841"/>
      <c r="AI628" s="841"/>
      <c r="AJ628" s="841"/>
      <c r="AK628" s="841"/>
      <c r="AL628" s="841"/>
      <c r="AM628" s="842"/>
      <c r="AN628" s="843"/>
      <c r="AO628" s="843"/>
      <c r="AP628" s="843"/>
      <c r="AQ628" s="843"/>
      <c r="AR628" s="843"/>
      <c r="AS628" s="843"/>
      <c r="AT628" s="843"/>
      <c r="AU628" s="843"/>
      <c r="AV628" s="843"/>
      <c r="AW628" s="843"/>
      <c r="AX628" s="793"/>
    </row>
    <row r="629" spans="1:50" s="7" customFormat="1" x14ac:dyDescent="0.45">
      <c r="A629" s="802" t="s">
        <v>202</v>
      </c>
      <c r="B629" s="802"/>
      <c r="C629" s="938"/>
      <c r="D629" s="938"/>
      <c r="E629" s="938"/>
      <c r="F629" s="938"/>
      <c r="G629" s="938"/>
      <c r="H629" s="938"/>
      <c r="I629" s="938"/>
      <c r="J629" s="938"/>
      <c r="K629" s="938"/>
      <c r="L629" s="938"/>
      <c r="M629" s="938"/>
      <c r="N629" s="938"/>
      <c r="O629" s="938"/>
      <c r="P629" s="938"/>
      <c r="Q629" s="938"/>
      <c r="R629" s="938"/>
      <c r="S629" s="938"/>
      <c r="T629" s="938"/>
      <c r="U629" s="938"/>
      <c r="V629" s="938"/>
      <c r="W629" s="938"/>
      <c r="X629" s="938"/>
      <c r="Y629" s="938"/>
      <c r="Z629" s="938"/>
      <c r="AA629" s="938"/>
      <c r="AB629" s="938"/>
      <c r="AC629" s="938"/>
      <c r="AD629" s="938"/>
      <c r="AE629" s="938"/>
      <c r="AF629" s="938"/>
      <c r="AG629" s="938"/>
      <c r="AH629" s="938"/>
      <c r="AI629" s="938"/>
      <c r="AJ629" s="938"/>
      <c r="AK629" s="938"/>
      <c r="AL629" s="938"/>
      <c r="AM629" s="939"/>
      <c r="AN629" s="940"/>
      <c r="AO629" s="940"/>
      <c r="AP629" s="940"/>
      <c r="AQ629" s="940"/>
      <c r="AR629" s="940"/>
      <c r="AS629" s="940"/>
      <c r="AT629" s="940"/>
      <c r="AU629" s="940"/>
      <c r="AV629" s="940"/>
      <c r="AW629" s="940"/>
      <c r="AX629" s="795"/>
    </row>
    <row r="630" spans="1:50" s="29" customFormat="1" x14ac:dyDescent="0.45">
      <c r="A630" s="793" t="s">
        <v>203</v>
      </c>
      <c r="B630" s="791"/>
      <c r="C630" s="942">
        <f t="shared" ref="C630:AW630" si="740">IF(ISBLANK(INDEX(MO_IS_FirstRow,0,COLUMN())),0,ROUND(C484-C332,6))</f>
        <v>0</v>
      </c>
      <c r="D630" s="942">
        <f t="shared" si="740"/>
        <v>0</v>
      </c>
      <c r="E630" s="942">
        <f t="shared" si="740"/>
        <v>0</v>
      </c>
      <c r="F630" s="942">
        <f t="shared" si="740"/>
        <v>0</v>
      </c>
      <c r="G630" s="942">
        <f t="shared" si="740"/>
        <v>0</v>
      </c>
      <c r="H630" s="942">
        <f t="shared" si="740"/>
        <v>0</v>
      </c>
      <c r="I630" s="942">
        <f t="shared" si="740"/>
        <v>0</v>
      </c>
      <c r="J630" s="942">
        <f t="shared" si="740"/>
        <v>0</v>
      </c>
      <c r="K630" s="942">
        <f t="shared" si="740"/>
        <v>0</v>
      </c>
      <c r="L630" s="942">
        <f t="shared" si="740"/>
        <v>0</v>
      </c>
      <c r="M630" s="942">
        <f t="shared" si="740"/>
        <v>0</v>
      </c>
      <c r="N630" s="942">
        <f t="shared" si="740"/>
        <v>0</v>
      </c>
      <c r="O630" s="942">
        <f t="shared" si="740"/>
        <v>0</v>
      </c>
      <c r="P630" s="942">
        <f t="shared" si="740"/>
        <v>0</v>
      </c>
      <c r="Q630" s="942">
        <f t="shared" si="740"/>
        <v>0</v>
      </c>
      <c r="R630" s="942">
        <f t="shared" si="740"/>
        <v>-1E-3</v>
      </c>
      <c r="S630" s="942">
        <f t="shared" si="740"/>
        <v>1E-3</v>
      </c>
      <c r="T630" s="942">
        <f t="shared" si="740"/>
        <v>1E-3</v>
      </c>
      <c r="U630" s="942">
        <f t="shared" si="740"/>
        <v>1E-3</v>
      </c>
      <c r="V630" s="942">
        <f t="shared" si="740"/>
        <v>0</v>
      </c>
      <c r="W630" s="942">
        <f t="shared" si="740"/>
        <v>0</v>
      </c>
      <c r="X630" s="942">
        <f t="shared" si="740"/>
        <v>0</v>
      </c>
      <c r="Y630" s="942">
        <f t="shared" si="740"/>
        <v>0</v>
      </c>
      <c r="Z630" s="942">
        <f t="shared" si="740"/>
        <v>0</v>
      </c>
      <c r="AA630" s="942">
        <f t="shared" si="740"/>
        <v>0</v>
      </c>
      <c r="AB630" s="942">
        <f t="shared" si="740"/>
        <v>0</v>
      </c>
      <c r="AC630" s="942">
        <f t="shared" si="740"/>
        <v>0</v>
      </c>
      <c r="AD630" s="942">
        <f t="shared" si="740"/>
        <v>0</v>
      </c>
      <c r="AE630" s="942">
        <f t="shared" si="740"/>
        <v>0</v>
      </c>
      <c r="AF630" s="942">
        <f t="shared" si="740"/>
        <v>0</v>
      </c>
      <c r="AG630" s="942">
        <f t="shared" si="740"/>
        <v>0</v>
      </c>
      <c r="AH630" s="942">
        <f t="shared" si="740"/>
        <v>1E-3</v>
      </c>
      <c r="AI630" s="942">
        <f t="shared" si="740"/>
        <v>-1E-3</v>
      </c>
      <c r="AJ630" s="942">
        <f t="shared" si="740"/>
        <v>0</v>
      </c>
      <c r="AK630" s="942">
        <f t="shared" si="740"/>
        <v>0</v>
      </c>
      <c r="AL630" s="942">
        <f t="shared" si="740"/>
        <v>-1E-3</v>
      </c>
      <c r="AM630" s="943">
        <f t="shared" si="740"/>
        <v>0</v>
      </c>
      <c r="AN630" s="944">
        <f t="shared" si="740"/>
        <v>0</v>
      </c>
      <c r="AO630" s="944">
        <f t="shared" si="740"/>
        <v>0</v>
      </c>
      <c r="AP630" s="944">
        <f t="shared" si="740"/>
        <v>0</v>
      </c>
      <c r="AQ630" s="944">
        <f t="shared" si="740"/>
        <v>0</v>
      </c>
      <c r="AR630" s="944">
        <f t="shared" si="740"/>
        <v>0</v>
      </c>
      <c r="AS630" s="944">
        <f t="shared" si="740"/>
        <v>0</v>
      </c>
      <c r="AT630" s="944">
        <f t="shared" si="740"/>
        <v>0</v>
      </c>
      <c r="AU630" s="944">
        <f t="shared" si="740"/>
        <v>0</v>
      </c>
      <c r="AV630" s="944">
        <f t="shared" si="740"/>
        <v>0</v>
      </c>
      <c r="AW630" s="944">
        <f t="shared" si="740"/>
        <v>0</v>
      </c>
      <c r="AX630" s="793"/>
    </row>
    <row r="631" spans="1:50" s="29" customFormat="1" x14ac:dyDescent="0.45">
      <c r="A631" s="793" t="s">
        <v>204</v>
      </c>
      <c r="B631" s="791"/>
      <c r="C631" s="942">
        <f t="shared" ref="C631:AW631" si="741">IF(ISBLANK(INDEX(MO_IS_FirstRow,0,COLUMN())),0,ROUND(C263-C332,6))</f>
        <v>0</v>
      </c>
      <c r="D631" s="942">
        <f t="shared" si="741"/>
        <v>0</v>
      </c>
      <c r="E631" s="942">
        <f t="shared" si="741"/>
        <v>0</v>
      </c>
      <c r="F631" s="942">
        <f t="shared" si="741"/>
        <v>0</v>
      </c>
      <c r="G631" s="942">
        <f t="shared" si="741"/>
        <v>0</v>
      </c>
      <c r="H631" s="942">
        <f t="shared" si="741"/>
        <v>0</v>
      </c>
      <c r="I631" s="942">
        <f t="shared" si="741"/>
        <v>0</v>
      </c>
      <c r="J631" s="942">
        <f t="shared" si="741"/>
        <v>0</v>
      </c>
      <c r="K631" s="942">
        <f t="shared" si="741"/>
        <v>0</v>
      </c>
      <c r="L631" s="942">
        <f t="shared" si="741"/>
        <v>0</v>
      </c>
      <c r="M631" s="942">
        <f t="shared" si="741"/>
        <v>0</v>
      </c>
      <c r="N631" s="942">
        <f t="shared" si="741"/>
        <v>0</v>
      </c>
      <c r="O631" s="942">
        <f t="shared" si="741"/>
        <v>0</v>
      </c>
      <c r="P631" s="942">
        <f t="shared" si="741"/>
        <v>0</v>
      </c>
      <c r="Q631" s="942">
        <f t="shared" si="741"/>
        <v>0</v>
      </c>
      <c r="R631" s="942">
        <f t="shared" si="741"/>
        <v>-1E-3</v>
      </c>
      <c r="S631" s="942">
        <f t="shared" si="741"/>
        <v>1E-3</v>
      </c>
      <c r="T631" s="942">
        <f t="shared" si="741"/>
        <v>1E-3</v>
      </c>
      <c r="U631" s="942">
        <f t="shared" si="741"/>
        <v>1E-3</v>
      </c>
      <c r="V631" s="942">
        <f t="shared" si="741"/>
        <v>0</v>
      </c>
      <c r="W631" s="942">
        <f t="shared" si="741"/>
        <v>0</v>
      </c>
      <c r="X631" s="942">
        <f t="shared" si="741"/>
        <v>0</v>
      </c>
      <c r="Y631" s="942">
        <f t="shared" si="741"/>
        <v>0</v>
      </c>
      <c r="Z631" s="942">
        <f t="shared" si="741"/>
        <v>0</v>
      </c>
      <c r="AA631" s="942">
        <f t="shared" si="741"/>
        <v>0</v>
      </c>
      <c r="AB631" s="942">
        <f t="shared" si="741"/>
        <v>0</v>
      </c>
      <c r="AC631" s="942">
        <f t="shared" si="741"/>
        <v>0</v>
      </c>
      <c r="AD631" s="942">
        <f t="shared" si="741"/>
        <v>0</v>
      </c>
      <c r="AE631" s="942">
        <f t="shared" si="741"/>
        <v>0</v>
      </c>
      <c r="AF631" s="942">
        <f t="shared" si="741"/>
        <v>0</v>
      </c>
      <c r="AG631" s="942">
        <f t="shared" si="741"/>
        <v>0</v>
      </c>
      <c r="AH631" s="942">
        <f t="shared" si="741"/>
        <v>1E-3</v>
      </c>
      <c r="AI631" s="942">
        <f t="shared" si="741"/>
        <v>-1E-3</v>
      </c>
      <c r="AJ631" s="942">
        <f t="shared" si="741"/>
        <v>0</v>
      </c>
      <c r="AK631" s="942">
        <f t="shared" si="741"/>
        <v>0</v>
      </c>
      <c r="AL631" s="942">
        <f t="shared" si="741"/>
        <v>-1E-3</v>
      </c>
      <c r="AM631" s="943">
        <f t="shared" si="741"/>
        <v>0</v>
      </c>
      <c r="AN631" s="944">
        <f t="shared" si="741"/>
        <v>0</v>
      </c>
      <c r="AO631" s="944">
        <f t="shared" si="741"/>
        <v>0</v>
      </c>
      <c r="AP631" s="944">
        <f t="shared" si="741"/>
        <v>0</v>
      </c>
      <c r="AQ631" s="944">
        <f t="shared" si="741"/>
        <v>0</v>
      </c>
      <c r="AR631" s="944">
        <f t="shared" si="741"/>
        <v>0</v>
      </c>
      <c r="AS631" s="944">
        <f t="shared" si="741"/>
        <v>0</v>
      </c>
      <c r="AT631" s="944">
        <f t="shared" si="741"/>
        <v>0</v>
      </c>
      <c r="AU631" s="944">
        <f t="shared" si="741"/>
        <v>0</v>
      </c>
      <c r="AV631" s="944">
        <f t="shared" si="741"/>
        <v>0</v>
      </c>
      <c r="AW631" s="944">
        <f t="shared" si="741"/>
        <v>0</v>
      </c>
      <c r="AX631" s="793"/>
    </row>
    <row r="632" spans="1:50" s="29" customFormat="1" x14ac:dyDescent="0.45">
      <c r="A632" s="793" t="s">
        <v>597</v>
      </c>
      <c r="B632" s="791"/>
      <c r="C632" s="942">
        <f t="shared" ref="C632:AW632" si="742">IF(C377&lt;0,C377,0)</f>
        <v>0</v>
      </c>
      <c r="D632" s="942">
        <f t="shared" si="742"/>
        <v>0</v>
      </c>
      <c r="E632" s="942">
        <f t="shared" si="742"/>
        <v>0</v>
      </c>
      <c r="F632" s="942">
        <f t="shared" si="742"/>
        <v>0</v>
      </c>
      <c r="G632" s="942">
        <f t="shared" si="742"/>
        <v>0</v>
      </c>
      <c r="H632" s="942">
        <f t="shared" si="742"/>
        <v>0</v>
      </c>
      <c r="I632" s="942">
        <f t="shared" si="742"/>
        <v>0</v>
      </c>
      <c r="J632" s="942">
        <f t="shared" si="742"/>
        <v>0</v>
      </c>
      <c r="K632" s="942">
        <f t="shared" si="742"/>
        <v>0</v>
      </c>
      <c r="L632" s="942">
        <f t="shared" si="742"/>
        <v>0</v>
      </c>
      <c r="M632" s="942">
        <f t="shared" si="742"/>
        <v>0</v>
      </c>
      <c r="N632" s="942">
        <f t="shared" si="742"/>
        <v>0</v>
      </c>
      <c r="O632" s="942">
        <f t="shared" si="742"/>
        <v>0</v>
      </c>
      <c r="P632" s="942">
        <f t="shared" si="742"/>
        <v>0</v>
      </c>
      <c r="Q632" s="942">
        <f t="shared" si="742"/>
        <v>0</v>
      </c>
      <c r="R632" s="942">
        <f t="shared" si="742"/>
        <v>0</v>
      </c>
      <c r="S632" s="942">
        <f t="shared" si="742"/>
        <v>0</v>
      </c>
      <c r="T632" s="942">
        <f t="shared" si="742"/>
        <v>0</v>
      </c>
      <c r="U632" s="942">
        <f t="shared" si="742"/>
        <v>0</v>
      </c>
      <c r="V632" s="942">
        <f t="shared" si="742"/>
        <v>0</v>
      </c>
      <c r="W632" s="942">
        <f t="shared" si="742"/>
        <v>0</v>
      </c>
      <c r="X632" s="942">
        <f t="shared" si="742"/>
        <v>0</v>
      </c>
      <c r="Y632" s="942">
        <f t="shared" si="742"/>
        <v>0</v>
      </c>
      <c r="Z632" s="942">
        <f t="shared" si="742"/>
        <v>0</v>
      </c>
      <c r="AA632" s="942">
        <f t="shared" si="742"/>
        <v>0</v>
      </c>
      <c r="AB632" s="942">
        <f t="shared" si="742"/>
        <v>0</v>
      </c>
      <c r="AC632" s="942">
        <f t="shared" si="742"/>
        <v>0</v>
      </c>
      <c r="AD632" s="942">
        <f t="shared" si="742"/>
        <v>0</v>
      </c>
      <c r="AE632" s="942">
        <f t="shared" si="742"/>
        <v>0</v>
      </c>
      <c r="AF632" s="942">
        <f t="shared" si="742"/>
        <v>0</v>
      </c>
      <c r="AG632" s="942">
        <f t="shared" si="742"/>
        <v>0</v>
      </c>
      <c r="AH632" s="942">
        <f t="shared" si="742"/>
        <v>0</v>
      </c>
      <c r="AI632" s="942">
        <f t="shared" si="742"/>
        <v>0</v>
      </c>
      <c r="AJ632" s="942">
        <f t="shared" si="742"/>
        <v>0</v>
      </c>
      <c r="AK632" s="942">
        <f t="shared" si="742"/>
        <v>0</v>
      </c>
      <c r="AL632" s="942">
        <f t="shared" si="742"/>
        <v>0</v>
      </c>
      <c r="AM632" s="943">
        <f t="shared" si="742"/>
        <v>0</v>
      </c>
      <c r="AN632" s="944">
        <f t="shared" ca="1" si="742"/>
        <v>0</v>
      </c>
      <c r="AO632" s="944">
        <f t="shared" ca="1" si="742"/>
        <v>0</v>
      </c>
      <c r="AP632" s="944">
        <f t="shared" ca="1" si="742"/>
        <v>0</v>
      </c>
      <c r="AQ632" s="944">
        <f t="shared" ca="1" si="742"/>
        <v>0</v>
      </c>
      <c r="AR632" s="944">
        <f t="shared" ca="1" si="742"/>
        <v>0</v>
      </c>
      <c r="AS632" s="944">
        <f t="shared" ca="1" si="742"/>
        <v>0</v>
      </c>
      <c r="AT632" s="944">
        <f t="shared" ca="1" si="742"/>
        <v>0</v>
      </c>
      <c r="AU632" s="944">
        <f t="shared" ca="1" si="742"/>
        <v>0</v>
      </c>
      <c r="AV632" s="944">
        <f t="shared" ca="1" si="742"/>
        <v>0</v>
      </c>
      <c r="AW632" s="944">
        <f t="shared" ca="1" si="742"/>
        <v>0</v>
      </c>
      <c r="AX632" s="793"/>
    </row>
    <row r="633" spans="1:50" s="29" customFormat="1" x14ac:dyDescent="0.45">
      <c r="A633" s="793" t="s">
        <v>598</v>
      </c>
      <c r="B633" s="791"/>
      <c r="C633" s="942">
        <f t="shared" ref="C633:AW633" si="743">IF(C380&lt;0,C380,0)</f>
        <v>0</v>
      </c>
      <c r="D633" s="942">
        <f t="shared" si="743"/>
        <v>0</v>
      </c>
      <c r="E633" s="942">
        <f t="shared" si="743"/>
        <v>0</v>
      </c>
      <c r="F633" s="942">
        <f t="shared" si="743"/>
        <v>0</v>
      </c>
      <c r="G633" s="942">
        <f t="shared" si="743"/>
        <v>0</v>
      </c>
      <c r="H633" s="942">
        <f t="shared" si="743"/>
        <v>0</v>
      </c>
      <c r="I633" s="942">
        <f t="shared" si="743"/>
        <v>0</v>
      </c>
      <c r="J633" s="942">
        <f t="shared" si="743"/>
        <v>0</v>
      </c>
      <c r="K633" s="942">
        <f t="shared" si="743"/>
        <v>0</v>
      </c>
      <c r="L633" s="942">
        <f t="shared" si="743"/>
        <v>0</v>
      </c>
      <c r="M633" s="942">
        <f t="shared" si="743"/>
        <v>0</v>
      </c>
      <c r="N633" s="942">
        <f t="shared" si="743"/>
        <v>0</v>
      </c>
      <c r="O633" s="942">
        <f t="shared" si="743"/>
        <v>0</v>
      </c>
      <c r="P633" s="942">
        <f t="shared" si="743"/>
        <v>0</v>
      </c>
      <c r="Q633" s="942">
        <f t="shared" si="743"/>
        <v>0</v>
      </c>
      <c r="R633" s="942">
        <f t="shared" si="743"/>
        <v>0</v>
      </c>
      <c r="S633" s="942">
        <f t="shared" si="743"/>
        <v>0</v>
      </c>
      <c r="T633" s="942">
        <f t="shared" si="743"/>
        <v>0</v>
      </c>
      <c r="U633" s="942">
        <f t="shared" si="743"/>
        <v>0</v>
      </c>
      <c r="V633" s="942">
        <f t="shared" si="743"/>
        <v>0</v>
      </c>
      <c r="W633" s="942">
        <f t="shared" si="743"/>
        <v>0</v>
      </c>
      <c r="X633" s="942">
        <f t="shared" si="743"/>
        <v>0</v>
      </c>
      <c r="Y633" s="942">
        <f t="shared" si="743"/>
        <v>0</v>
      </c>
      <c r="Z633" s="942">
        <f t="shared" si="743"/>
        <v>0</v>
      </c>
      <c r="AA633" s="942">
        <f t="shared" si="743"/>
        <v>0</v>
      </c>
      <c r="AB633" s="942">
        <f t="shared" si="743"/>
        <v>0</v>
      </c>
      <c r="AC633" s="942">
        <f t="shared" si="743"/>
        <v>0</v>
      </c>
      <c r="AD633" s="942">
        <f t="shared" si="743"/>
        <v>0</v>
      </c>
      <c r="AE633" s="942">
        <f t="shared" si="743"/>
        <v>0</v>
      </c>
      <c r="AF633" s="942">
        <f t="shared" si="743"/>
        <v>0</v>
      </c>
      <c r="AG633" s="942">
        <f t="shared" si="743"/>
        <v>0</v>
      </c>
      <c r="AH633" s="942">
        <f t="shared" si="743"/>
        <v>0</v>
      </c>
      <c r="AI633" s="942">
        <f t="shared" si="743"/>
        <v>0</v>
      </c>
      <c r="AJ633" s="942">
        <f t="shared" si="743"/>
        <v>0</v>
      </c>
      <c r="AK633" s="942">
        <f t="shared" si="743"/>
        <v>0</v>
      </c>
      <c r="AL633" s="942">
        <f t="shared" si="743"/>
        <v>0</v>
      </c>
      <c r="AM633" s="943">
        <f t="shared" si="743"/>
        <v>0</v>
      </c>
      <c r="AN633" s="944">
        <f t="shared" si="743"/>
        <v>0</v>
      </c>
      <c r="AO633" s="944">
        <f t="shared" si="743"/>
        <v>0</v>
      </c>
      <c r="AP633" s="944">
        <f t="shared" si="743"/>
        <v>0</v>
      </c>
      <c r="AQ633" s="944">
        <f t="shared" si="743"/>
        <v>0</v>
      </c>
      <c r="AR633" s="944">
        <f t="shared" si="743"/>
        <v>0</v>
      </c>
      <c r="AS633" s="944">
        <f t="shared" si="743"/>
        <v>0</v>
      </c>
      <c r="AT633" s="944">
        <f t="shared" si="743"/>
        <v>0</v>
      </c>
      <c r="AU633" s="944">
        <f t="shared" si="743"/>
        <v>0</v>
      </c>
      <c r="AV633" s="944">
        <f t="shared" si="743"/>
        <v>0</v>
      </c>
      <c r="AW633" s="944">
        <f t="shared" si="743"/>
        <v>0</v>
      </c>
      <c r="AX633" s="793"/>
    </row>
    <row r="634" spans="1:50" s="29" customFormat="1" x14ac:dyDescent="0.45">
      <c r="A634" s="793" t="s">
        <v>205</v>
      </c>
      <c r="B634" s="791"/>
      <c r="C634" s="942">
        <f t="shared" ref="C634:AW634" si="744">IF(AND(ISBLANK(C18),ISBLANK(C19),ISBLANK(C20),ISBLANK(C21),ISBLANK(C23),ISBLANK(C24)),0,ROUND(C302-C18-C19-C21-C20-C23-C24,6))</f>
        <v>0</v>
      </c>
      <c r="D634" s="942">
        <f t="shared" si="744"/>
        <v>0</v>
      </c>
      <c r="E634" s="942">
        <f t="shared" si="744"/>
        <v>0</v>
      </c>
      <c r="F634" s="942">
        <f t="shared" si="744"/>
        <v>0</v>
      </c>
      <c r="G634" s="942">
        <f t="shared" si="744"/>
        <v>0</v>
      </c>
      <c r="H634" s="942">
        <f t="shared" si="744"/>
        <v>0</v>
      </c>
      <c r="I634" s="942">
        <f t="shared" si="744"/>
        <v>0</v>
      </c>
      <c r="J634" s="942">
        <f t="shared" si="744"/>
        <v>0</v>
      </c>
      <c r="K634" s="942">
        <f t="shared" si="744"/>
        <v>0</v>
      </c>
      <c r="L634" s="942">
        <f t="shared" si="744"/>
        <v>0</v>
      </c>
      <c r="M634" s="942">
        <f t="shared" si="744"/>
        <v>0</v>
      </c>
      <c r="N634" s="942">
        <f t="shared" si="744"/>
        <v>0</v>
      </c>
      <c r="O634" s="942">
        <f t="shared" si="744"/>
        <v>0</v>
      </c>
      <c r="P634" s="942">
        <f t="shared" si="744"/>
        <v>0</v>
      </c>
      <c r="Q634" s="942">
        <f t="shared" si="744"/>
        <v>0</v>
      </c>
      <c r="R634" s="942">
        <f t="shared" si="744"/>
        <v>0</v>
      </c>
      <c r="S634" s="942">
        <f t="shared" si="744"/>
        <v>0</v>
      </c>
      <c r="T634" s="942">
        <f t="shared" si="744"/>
        <v>0</v>
      </c>
      <c r="U634" s="942">
        <f t="shared" si="744"/>
        <v>0</v>
      </c>
      <c r="V634" s="942">
        <f t="shared" si="744"/>
        <v>0</v>
      </c>
      <c r="W634" s="942">
        <f t="shared" si="744"/>
        <v>0</v>
      </c>
      <c r="X634" s="942">
        <f t="shared" si="744"/>
        <v>0</v>
      </c>
      <c r="Y634" s="942">
        <f t="shared" si="744"/>
        <v>0</v>
      </c>
      <c r="Z634" s="942">
        <f t="shared" si="744"/>
        <v>0</v>
      </c>
      <c r="AA634" s="942">
        <f t="shared" si="744"/>
        <v>0</v>
      </c>
      <c r="AB634" s="942">
        <f t="shared" si="744"/>
        <v>0</v>
      </c>
      <c r="AC634" s="942">
        <f t="shared" si="744"/>
        <v>0</v>
      </c>
      <c r="AD634" s="942">
        <f t="shared" si="744"/>
        <v>0</v>
      </c>
      <c r="AE634" s="942">
        <f t="shared" si="744"/>
        <v>0</v>
      </c>
      <c r="AF634" s="942">
        <f t="shared" si="744"/>
        <v>0</v>
      </c>
      <c r="AG634" s="942">
        <f t="shared" si="744"/>
        <v>0</v>
      </c>
      <c r="AH634" s="942">
        <f t="shared" si="744"/>
        <v>0</v>
      </c>
      <c r="AI634" s="942">
        <f t="shared" si="744"/>
        <v>0</v>
      </c>
      <c r="AJ634" s="942">
        <f t="shared" si="744"/>
        <v>0</v>
      </c>
      <c r="AK634" s="942">
        <f t="shared" si="744"/>
        <v>0</v>
      </c>
      <c r="AL634" s="942">
        <f t="shared" si="744"/>
        <v>0</v>
      </c>
      <c r="AM634" s="943">
        <f t="shared" si="744"/>
        <v>0</v>
      </c>
      <c r="AN634" s="944">
        <f t="shared" si="744"/>
        <v>0</v>
      </c>
      <c r="AO634" s="944">
        <f t="shared" si="744"/>
        <v>0</v>
      </c>
      <c r="AP634" s="944">
        <f t="shared" si="744"/>
        <v>0</v>
      </c>
      <c r="AQ634" s="944">
        <f t="shared" si="744"/>
        <v>0</v>
      </c>
      <c r="AR634" s="944">
        <f t="shared" si="744"/>
        <v>0</v>
      </c>
      <c r="AS634" s="944">
        <f t="shared" si="744"/>
        <v>0</v>
      </c>
      <c r="AT634" s="944">
        <f t="shared" si="744"/>
        <v>0</v>
      </c>
      <c r="AU634" s="944">
        <f t="shared" si="744"/>
        <v>0</v>
      </c>
      <c r="AV634" s="944">
        <f t="shared" si="744"/>
        <v>0</v>
      </c>
      <c r="AW634" s="944">
        <f t="shared" si="744"/>
        <v>0</v>
      </c>
      <c r="AX634" s="793"/>
    </row>
    <row r="635" spans="1:50" s="29" customFormat="1" x14ac:dyDescent="0.45">
      <c r="A635" s="793" t="s">
        <v>206</v>
      </c>
      <c r="B635" s="791"/>
      <c r="C635" s="942">
        <f>IF(ISBLANK(INDEX(MO_IS_FirstRow,0,COLUMN())),0,IF(OR(C541=B541,C541=D541),"CHECK",0))</f>
        <v>0</v>
      </c>
      <c r="D635" s="942">
        <f>IF(ISBLANK(INDEX(MO_IS_FirstRow,0,COLUMN())),0,IF(OR(D541=C541,D541=E541),"CHECK",0))</f>
        <v>0</v>
      </c>
      <c r="E635" s="942">
        <f>IF(ISBLANK(INDEX(MO_IS_FirstRow,0,COLUMN())),0,IF(OR(E541=D541,E541=F541),"CHECK",0))</f>
        <v>0</v>
      </c>
      <c r="F635" s="942">
        <f>IF(ISBLANK(INDEX(MO_IS_FirstRow,0,COLUMN())),0,IF(OR(F541=E541,F541=K541),"CHECK",0))</f>
        <v>0</v>
      </c>
      <c r="G635" s="942">
        <f>IF(ISBLANK(INDEX(MO_IS_FirstRow,0,COLUMN())),0,IF(OR(G541=B541,G541=H541,G541=E541),"CHECK",0))</f>
        <v>0</v>
      </c>
      <c r="H635" s="942">
        <f>IF(ISBLANK(INDEX(MO_IS_FirstRow,0,COLUMN())),0,IF(OR(H541=C541,H541=I541,H541=G541),"CHECK",0))</f>
        <v>0</v>
      </c>
      <c r="I635" s="942">
        <f>IF(ISBLANK(INDEX(MO_IS_FirstRow,0,COLUMN())),0,IF(OR(I541=D541,I541=J541,I541=H541),"CHECK",0))</f>
        <v>0</v>
      </c>
      <c r="J635" s="942">
        <f>IF(ISBLANK(INDEX(MO_IS_FirstRow,0,COLUMN())),0,IF(OR(J541=E541,J541=K541,J541=I541),"CHECK",0))</f>
        <v>0</v>
      </c>
      <c r="K635" s="942">
        <f>IF(ISBLANK(INDEX(MO_IS_FirstRow,0,COLUMN())),0,IF(K541=F541,"CHECK",0))</f>
        <v>0</v>
      </c>
      <c r="L635" s="942">
        <f>IF(ISBLANK(INDEX(MO_IS_FirstRow,0,COLUMN())),0,IF(OR(L541=G541,L541=M541,L541=J541),"CHECK",0))</f>
        <v>0</v>
      </c>
      <c r="M635" s="942">
        <f>IF(ISBLANK(INDEX(MO_IS_FirstRow,0,COLUMN())),0,IF(OR(M541=H541,M541=N541,M541=L541),"CHECK",0))</f>
        <v>0</v>
      </c>
      <c r="N635" s="942">
        <f>IF(ISBLANK(INDEX(MO_IS_FirstRow,0,COLUMN())),0,IF(OR(N541=I541,N541=O541,N541=M541),"CHECK",0))</f>
        <v>0</v>
      </c>
      <c r="O635" s="942">
        <f>IF(ISBLANK(INDEX(MO_IS_FirstRow,0,COLUMN())),0,IF(OR(O541=J541,O541=P541,O541=N541),"CHECK",0))</f>
        <v>0</v>
      </c>
      <c r="P635" s="942">
        <f>IF(ISBLANK(INDEX(MO_IS_FirstRow,0,COLUMN())),0,IF(P541=K541,"CHECK",0))</f>
        <v>0</v>
      </c>
      <c r="Q635" s="942">
        <f>IF(ISBLANK(INDEX(MO_IS_FirstRow,0,COLUMN())),0,IF(OR(Q541=L541,Q541=R541,Q541=O541),"CHECK",0))</f>
        <v>0</v>
      </c>
      <c r="R635" s="942">
        <f>IF(ISBLANK(INDEX(MO_IS_FirstRow,0,COLUMN())),0,IF(OR(R541=M541,R541=S541,R541=Q541),"CHECK",0))</f>
        <v>0</v>
      </c>
      <c r="S635" s="942">
        <f>IF(ISBLANK(INDEX(MO_IS_FirstRow,0,COLUMN())),0,IF(OR(S541=N541,S541=T541,S541=R541),"CHECK",0))</f>
        <v>0</v>
      </c>
      <c r="T635" s="942">
        <f>IF(ISBLANK(INDEX(MO_IS_FirstRow,0,COLUMN())),0,IF(OR(T541=O541,T541=U541,T541=S541),"CHECK",0))</f>
        <v>0</v>
      </c>
      <c r="U635" s="942">
        <f>IF(ISBLANK(INDEX(MO_IS_FirstRow,0,COLUMN())),0,IF(U541=P541,"CHECK",0))</f>
        <v>0</v>
      </c>
      <c r="V635" s="942">
        <f>IF(ISBLANK(INDEX(MO_IS_FirstRow,0,COLUMN())),0,IF(OR(V541=Q541,V541=W541,V541=T541),"CHECK",0))</f>
        <v>0</v>
      </c>
      <c r="W635" s="942">
        <f>IF(ISBLANK(INDEX(MO_IS_FirstRow,0,COLUMN())),0,IF(OR(W541=R541,W541=X541,W541=V541),"CHECK",0))</f>
        <v>0</v>
      </c>
      <c r="X635" s="942">
        <f>IF(ISBLANK(INDEX(MO_IS_FirstRow,0,COLUMN())),0,IF(OR(X541=S541,X541=Y541,X541=W541),"CHECK",0))</f>
        <v>0</v>
      </c>
      <c r="Y635" s="942">
        <f>IF(ISBLANK(INDEX(MO_IS_FirstRow,0,COLUMN())),0,IF(OR(Y541=T541,Y541=Z541,Y541=X541),"CHECK",0))</f>
        <v>0</v>
      </c>
      <c r="Z635" s="942">
        <f>IF(ISBLANK(INDEX(MO_IS_FirstRow,0,COLUMN())),0,IF(Z541=U541,"CHECK",0))</f>
        <v>0</v>
      </c>
      <c r="AA635" s="942">
        <f>IF(ISBLANK(INDEX(MO_IS_FirstRow,0,COLUMN())),0,IF(OR(AA541=V541,AA541=AB541,AA541=Y541),"CHECK",0))</f>
        <v>0</v>
      </c>
      <c r="AB635" s="942">
        <f>IF(ISBLANK(INDEX(MO_IS_FirstRow,0,COLUMN())),0,IF(OR(AB541=W541,AB541=AC541,AB541=AA541),"CHECK",0))</f>
        <v>0</v>
      </c>
      <c r="AC635" s="942">
        <f>IF(ISBLANK(INDEX(MO_IS_FirstRow,0,COLUMN())),0,IF(OR(AC541=X541,AC541=AD541,AC541=AB541),"CHECK",0))</f>
        <v>0</v>
      </c>
      <c r="AD635" s="942">
        <f>IF(ISBLANK(INDEX(MO_IS_FirstRow,0,COLUMN())),0,IF(OR(AD541=Y541,AD541=AE541,AD541=AC541),"CHECK",0))</f>
        <v>0</v>
      </c>
      <c r="AE635" s="942">
        <f>IF(ISBLANK(INDEX(MO_IS_FirstRow,0,COLUMN())),0,IF(AE541=Z541,"CHECK",0))</f>
        <v>0</v>
      </c>
      <c r="AF635" s="942">
        <f>IF(ISBLANK(INDEX(MO_IS_FirstRow,0,COLUMN())),0,IF(OR(AF541=AA541,AF541=AG541,AF541=AD541),"CHECK",0))</f>
        <v>0</v>
      </c>
      <c r="AG635" s="942">
        <f>IF(ISBLANK(INDEX(MO_IS_FirstRow,0,COLUMN())),0,IF(OR(AG541=AB541,AG541=AH541,AG541=AF541),"CHECK",0))</f>
        <v>0</v>
      </c>
      <c r="AH635" s="942">
        <f>IF(ISBLANK(INDEX(MO_IS_FirstRow,0,COLUMN())),0,IF(OR(AH541=AC541,AH541=AI541,AH541=AG541),"CHECK",0))</f>
        <v>0</v>
      </c>
      <c r="AI635" s="942">
        <f>IF(ISBLANK(INDEX(MO_IS_FirstRow,0,COLUMN())),0,IF(OR(AI541=AD541,AI541=AJ541,AI541=AH541),"CHECK",0))</f>
        <v>0</v>
      </c>
      <c r="AJ635" s="942">
        <f>IF(ISBLANK(INDEX(MO_IS_FirstRow,0,COLUMN())),0,IF(AJ541=AE541,"CHECK",0))</f>
        <v>0</v>
      </c>
      <c r="AK635" s="942">
        <f>IF(ISBLANK(INDEX(MO_IS_FirstRow,0,COLUMN())),0,IF(OR(AK541=AF541,AK541=AL541,AK541=AI541),"CHECK",0))</f>
        <v>0</v>
      </c>
      <c r="AL635" s="942">
        <f>IF(ISBLANK(INDEX(MO_IS_FirstRow,0,COLUMN())),0,IF(OR(AL541=AG541,AL541=AM541,AL541=AK541),"CHECK",0))</f>
        <v>0</v>
      </c>
      <c r="AM635" s="943">
        <f ca="1">IF(ISBLANK(INDEX(MO_IS_FirstRow,0,COLUMN())),0,IF(OR(AM541=AH541,AM541=AN541,AM541=AL541),"CHECK",0))</f>
        <v>0</v>
      </c>
      <c r="AN635" s="944"/>
      <c r="AO635" s="944"/>
      <c r="AP635" s="944"/>
      <c r="AQ635" s="944"/>
      <c r="AR635" s="944"/>
      <c r="AS635" s="944"/>
      <c r="AT635" s="944"/>
      <c r="AU635" s="944"/>
      <c r="AV635" s="944"/>
      <c r="AW635" s="944"/>
      <c r="AX635" s="793"/>
    </row>
    <row r="636" spans="1:50" s="29" customFormat="1" x14ac:dyDescent="0.45">
      <c r="A636" s="793" t="s">
        <v>207</v>
      </c>
      <c r="B636" s="791"/>
      <c r="C636" s="942">
        <f>IF(ISBLANK(INDEX(MO_IS_FirstRow,0,COLUMN())),0,IF(OR(C332=B332,C332=D332),"CHECK",0))</f>
        <v>0</v>
      </c>
      <c r="D636" s="942">
        <f>IF(ISBLANK(INDEX(MO_IS_FirstRow,0,COLUMN())),0,IF(OR(D332=C332,D332=E332),"CHECK",0))</f>
        <v>0</v>
      </c>
      <c r="E636" s="942">
        <f>IF(ISBLANK(INDEX(MO_IS_FirstRow,0,COLUMN())),0,IF(OR(E332=D332,E332=F332),"CHECK",0))</f>
        <v>0</v>
      </c>
      <c r="F636" s="942">
        <f>IF(ISBLANK(INDEX(MO_IS_FirstRow,0,COLUMN())),0,IF(OR(F332=E332,F332=K332),"CHECK",0))</f>
        <v>0</v>
      </c>
      <c r="G636" s="942">
        <f>IF(ISBLANK(INDEX(MO_IS_FirstRow,0,COLUMN())),0,IF(OR(G332=B332,G332=H332,G332=E332),"CHECK",0))</f>
        <v>0</v>
      </c>
      <c r="H636" s="942">
        <f>IF(ISBLANK(INDEX(MO_IS_FirstRow,0,COLUMN())),0,IF(OR(H332=C332,H332=I332,H332=G332),"CHECK",0))</f>
        <v>0</v>
      </c>
      <c r="I636" s="942">
        <f>IF(ISBLANK(INDEX(MO_IS_FirstRow,0,COLUMN())),0,IF(OR(I332=D332,I332=J332,I332=H332),"CHECK",0))</f>
        <v>0</v>
      </c>
      <c r="J636" s="942">
        <f>IF(ISBLANK(INDEX(MO_IS_FirstRow,0,COLUMN())),0,IF(OR(J332=E332,J332=K332,J332=I332),"CHECK",0))</f>
        <v>0</v>
      </c>
      <c r="K636" s="942">
        <f>IF(ISBLANK(INDEX(MO_IS_FirstRow,0,COLUMN())),0,IF(K332=F332,"CHECK",0))</f>
        <v>0</v>
      </c>
      <c r="L636" s="942">
        <f>IF(ISBLANK(INDEX(MO_IS_FirstRow,0,COLUMN())),0,IF(OR(L332=G332,L332=M332,L332=J332),"CHECK",0))</f>
        <v>0</v>
      </c>
      <c r="M636" s="942">
        <f>IF(ISBLANK(INDEX(MO_IS_FirstRow,0,COLUMN())),0,IF(OR(M332=H332,M332=N332,M332=L332),"CHECK",0))</f>
        <v>0</v>
      </c>
      <c r="N636" s="942">
        <f>IF(ISBLANK(INDEX(MO_IS_FirstRow,0,COLUMN())),0,IF(OR(N332=I332,N332=O332,N332=M332),"CHECK",0))</f>
        <v>0</v>
      </c>
      <c r="O636" s="942">
        <f>IF(ISBLANK(INDEX(MO_IS_FirstRow,0,COLUMN())),0,IF(OR(O332=J332,O332=P332,O332=N332),"CHECK",0))</f>
        <v>0</v>
      </c>
      <c r="P636" s="942">
        <f>IF(ISBLANK(INDEX(MO_IS_FirstRow,0,COLUMN())),0,IF(P332=K332,"CHECK",0))</f>
        <v>0</v>
      </c>
      <c r="Q636" s="942">
        <f>IF(ISBLANK(INDEX(MO_IS_FirstRow,0,COLUMN())),0,IF(OR(Q332=L332,Q332=R332,Q332=O332),"CHECK",0))</f>
        <v>0</v>
      </c>
      <c r="R636" s="942">
        <f>IF(ISBLANK(INDEX(MO_IS_FirstRow,0,COLUMN())),0,IF(OR(R332=M332,R332=S332,R332=Q332),"CHECK",0))</f>
        <v>0</v>
      </c>
      <c r="S636" s="942">
        <f>IF(ISBLANK(INDEX(MO_IS_FirstRow,0,COLUMN())),0,IF(OR(S332=N332,S332=T332,S332=R332),"CHECK",0))</f>
        <v>0</v>
      </c>
      <c r="T636" s="942">
        <f>IF(ISBLANK(INDEX(MO_IS_FirstRow,0,COLUMN())),0,IF(OR(T332=O332,T332=U332,T332=S332),"CHECK",0))</f>
        <v>0</v>
      </c>
      <c r="U636" s="942">
        <f>IF(ISBLANK(INDEX(MO_IS_FirstRow,0,COLUMN())),0,IF(U332=P332,"CHECK",0))</f>
        <v>0</v>
      </c>
      <c r="V636" s="942">
        <f>IF(ISBLANK(INDEX(MO_IS_FirstRow,0,COLUMN())),0,IF(OR(V332=Q332,V332=W332,V332=T332),"CHECK",0))</f>
        <v>0</v>
      </c>
      <c r="W636" s="942">
        <f>IF(ISBLANK(INDEX(MO_IS_FirstRow,0,COLUMN())),0,IF(OR(W332=R332,W332=X332,W332=V332),"CHECK",0))</f>
        <v>0</v>
      </c>
      <c r="X636" s="942">
        <f>IF(ISBLANK(INDEX(MO_IS_FirstRow,0,COLUMN())),0,IF(OR(X332=S332,X332=Y332,X332=W332),"CHECK",0))</f>
        <v>0</v>
      </c>
      <c r="Y636" s="942">
        <f>IF(ISBLANK(INDEX(MO_IS_FirstRow,0,COLUMN())),0,IF(OR(Y332=T332,Y332=Z332,Y332=X332),"CHECK",0))</f>
        <v>0</v>
      </c>
      <c r="Z636" s="942">
        <f>IF(ISBLANK(INDEX(MO_IS_FirstRow,0,COLUMN())),0,IF(Z332=U332,"CHECK",0))</f>
        <v>0</v>
      </c>
      <c r="AA636" s="942">
        <f>IF(ISBLANK(INDEX(MO_IS_FirstRow,0,COLUMN())),0,IF(OR(AA332=V332,AA332=AB332,AA332=Y332),"CHECK",0))</f>
        <v>0</v>
      </c>
      <c r="AB636" s="942">
        <f>IF(ISBLANK(INDEX(MO_IS_FirstRow,0,COLUMN())),0,IF(OR(AB332=W332,AB332=AC332,AB332=AA332),"CHECK",0))</f>
        <v>0</v>
      </c>
      <c r="AC636" s="942">
        <f>IF(ISBLANK(INDEX(MO_IS_FirstRow,0,COLUMN())),0,IF(OR(AC332=X332,AC332=AD332,AC332=AB332),"CHECK",0))</f>
        <v>0</v>
      </c>
      <c r="AD636" s="942">
        <f>IF(ISBLANK(INDEX(MO_IS_FirstRow,0,COLUMN())),0,IF(OR(AD332=Y332,AD332=AE332,AD332=AC332),"CHECK",0))</f>
        <v>0</v>
      </c>
      <c r="AE636" s="942">
        <f>IF(ISBLANK(INDEX(MO_IS_FirstRow,0,COLUMN())),0,IF(AE332=Z332,"CHECK",0))</f>
        <v>0</v>
      </c>
      <c r="AF636" s="942">
        <f>IF(ISBLANK(INDEX(MO_IS_FirstRow,0,COLUMN())),0,IF(OR(AF332=AA332,AF332=AG332,AF332=AD332),"CHECK",0))</f>
        <v>0</v>
      </c>
      <c r="AG636" s="942">
        <f>IF(ISBLANK(INDEX(MO_IS_FirstRow,0,COLUMN())),0,IF(OR(AG332=AB332,AG332=AH332,AG332=AF332),"CHECK",0))</f>
        <v>0</v>
      </c>
      <c r="AH636" s="942">
        <f>IF(ISBLANK(INDEX(MO_IS_FirstRow,0,COLUMN())),0,IF(OR(AH332=AC332,AH332=AI332,AH332=AG332),"CHECK",0))</f>
        <v>0</v>
      </c>
      <c r="AI636" s="942">
        <f>IF(ISBLANK(INDEX(MO_IS_FirstRow,0,COLUMN())),0,IF(OR(AI332=AD332,AI332=AJ332,AI332=AH332),"CHECK",0))</f>
        <v>0</v>
      </c>
      <c r="AJ636" s="942">
        <f>IF(ISBLANK(INDEX(MO_IS_FirstRow,0,COLUMN())),0,IF(AJ332=AE332,"CHECK",0))</f>
        <v>0</v>
      </c>
      <c r="AK636" s="942">
        <f>IF(ISBLANK(INDEX(MO_IS_FirstRow,0,COLUMN())),0,IF(OR(AK332=AF332,AK332=AL332,AK332=AI332),"CHECK",0))</f>
        <v>0</v>
      </c>
      <c r="AL636" s="942">
        <f>IF(ISBLANK(INDEX(MO_IS_FirstRow,0,COLUMN())),0,IF(OR(AL332=AG332,AL332=AM332,AL332=AK332),"CHECK",0))</f>
        <v>0</v>
      </c>
      <c r="AM636" s="943">
        <f>IF(ISBLANK(INDEX(MO_IS_FirstRow,0,COLUMN())),0,IF(OR(AM332=AH332,AM332=AN332,AM332=AL332),"CHECK",0))</f>
        <v>0</v>
      </c>
      <c r="AN636" s="944"/>
      <c r="AO636" s="944"/>
      <c r="AP636" s="944"/>
      <c r="AQ636" s="944"/>
      <c r="AR636" s="944"/>
      <c r="AS636" s="944"/>
      <c r="AT636" s="944"/>
      <c r="AU636" s="944"/>
      <c r="AV636" s="944"/>
      <c r="AW636" s="944"/>
      <c r="AX636" s="793"/>
    </row>
    <row r="637" spans="1:50" s="29" customFormat="1" x14ac:dyDescent="0.45">
      <c r="A637" s="793" t="s">
        <v>208</v>
      </c>
      <c r="B637" s="791"/>
      <c r="C637" s="942">
        <f>IF(OR(C596=B596,C596=D596),"CHECK",0)</f>
        <v>0</v>
      </c>
      <c r="D637" s="942">
        <f>IF(OR(D596=C596,D596=E596),"CHECK",0)</f>
        <v>0</v>
      </c>
      <c r="E637" s="942">
        <f>IF(OR(E596=D596,E596=F596),"CHECK",0)</f>
        <v>0</v>
      </c>
      <c r="F637" s="942">
        <f>IF(OR(F596=E596,F596=K596),"CHECK",0)</f>
        <v>0</v>
      </c>
      <c r="G637" s="942">
        <f>IF(OR(G596=B596,G596=H596,G596=E596),"CHECK",0)</f>
        <v>0</v>
      </c>
      <c r="H637" s="942">
        <f>IF(OR(H596=C596,H596=I596,H596=G596),"CHECK",0)</f>
        <v>0</v>
      </c>
      <c r="I637" s="942">
        <f>IF(OR(I596=D596,I596=J596,I596=H596),"CHECK",0)</f>
        <v>0</v>
      </c>
      <c r="J637" s="942">
        <f>IF(OR(J596=E596,J596=I596),"CHECK",0)</f>
        <v>0</v>
      </c>
      <c r="K637" s="942">
        <f>IF(K596=F596,"CHECK",0)</f>
        <v>0</v>
      </c>
      <c r="L637" s="942">
        <f>IF(OR(L596=G596,L596=M596,L596=J596),"CHECK",0)</f>
        <v>0</v>
      </c>
      <c r="M637" s="942">
        <f>IF(OR(M596=H596,M596=N596,M596=L596),"CHECK",0)</f>
        <v>0</v>
      </c>
      <c r="N637" s="942">
        <f>IF(OR(N596=I596,N596=O596,N596=M596),"CHECK",0)</f>
        <v>0</v>
      </c>
      <c r="O637" s="942">
        <f>IF(OR(O596=J596,O596=N596),"CHECK",0)</f>
        <v>0</v>
      </c>
      <c r="P637" s="942">
        <f>IF(P596=K596,"CHECK",0)</f>
        <v>0</v>
      </c>
      <c r="Q637" s="942">
        <f>IF(OR(Q596=L596,Q596=R596,Q596=O596),"CHECK",0)</f>
        <v>0</v>
      </c>
      <c r="R637" s="942">
        <f>IF(OR(R596=M596,R596=S596,R596=Q596),"CHECK",0)</f>
        <v>0</v>
      </c>
      <c r="S637" s="942">
        <f>IF(OR(S596=N596,S596=T596,S596=R596),"CHECK",0)</f>
        <v>0</v>
      </c>
      <c r="T637" s="942">
        <f>IF(OR(T596=O596,T596=S596),"CHECK",0)</f>
        <v>0</v>
      </c>
      <c r="U637" s="942">
        <f>IF(U596=P596,"CHECK",0)</f>
        <v>0</v>
      </c>
      <c r="V637" s="942">
        <f>IF(OR(V596=Q596,V596=W596,V596=T596),"CHECK",0)</f>
        <v>0</v>
      </c>
      <c r="W637" s="942">
        <f>IF(OR(W596=R596,W596=X596,W596=V596),"CHECK",0)</f>
        <v>0</v>
      </c>
      <c r="X637" s="942">
        <f>IF(OR(X596=S596,X596=Y596,X596=W596),"CHECK",0)</f>
        <v>0</v>
      </c>
      <c r="Y637" s="942">
        <f>IF(OR(Y596=T596,Y596=X596),"CHECK",0)</f>
        <v>0</v>
      </c>
      <c r="Z637" s="942">
        <f>IF(Z596=U596,"CHECK",0)</f>
        <v>0</v>
      </c>
      <c r="AA637" s="942">
        <f>IF(OR(AA596=V596,AA596=AB596,AA596=Y596),"CHECK",0)</f>
        <v>0</v>
      </c>
      <c r="AB637" s="942">
        <f>IF(OR(AB596=W596,AB596=AC596,AB596=AA596),"CHECK",0)</f>
        <v>0</v>
      </c>
      <c r="AC637" s="942">
        <f>IF(OR(AC596=X596,AC596=AD596,AC596=AB596),"CHECK",0)</f>
        <v>0</v>
      </c>
      <c r="AD637" s="942">
        <f>IF(OR(AD596=Y596,AD596=AC596),"CHECK",0)</f>
        <v>0</v>
      </c>
      <c r="AE637" s="942">
        <f>IF(AE596=Z596,"CHECK",0)</f>
        <v>0</v>
      </c>
      <c r="AF637" s="942">
        <f>IF(OR(AF596=AA596,AF596=AG596,AF596=AD596),"CHECK",0)</f>
        <v>0</v>
      </c>
      <c r="AG637" s="942">
        <f>IF(OR(AG596=AB596,AG596=AH596,AG596=AF596),"CHECK",0)</f>
        <v>0</v>
      </c>
      <c r="AH637" s="942">
        <f>IF(OR(AH596=AC596,AH596=AI596,AH596=AG596),"CHECK",0)</f>
        <v>0</v>
      </c>
      <c r="AI637" s="942">
        <f>IF(OR(AI596=AD596,AI596=AH596),"CHECK",0)</f>
        <v>0</v>
      </c>
      <c r="AJ637" s="942">
        <f>IF(AJ596=AE596,"CHECK",0)</f>
        <v>0</v>
      </c>
      <c r="AK637" s="942">
        <f>IF(OR(AK596=AF596,AK596=AL596,AK596=AI596),"CHECK",0)</f>
        <v>0</v>
      </c>
      <c r="AL637" s="942">
        <f>IF(OR(AL596=AG596,AL596=AM596,AL596=AK596),"CHECK",0)</f>
        <v>0</v>
      </c>
      <c r="AM637" s="943">
        <f ca="1">IF(OR(AM596=AH596,AM596=AN596,AM596=AL596),"CHECK",0)</f>
        <v>0</v>
      </c>
      <c r="AN637" s="944"/>
      <c r="AO637" s="944"/>
      <c r="AP637" s="944"/>
      <c r="AQ637" s="944"/>
      <c r="AR637" s="944"/>
      <c r="AS637" s="944"/>
      <c r="AT637" s="944"/>
      <c r="AU637" s="944"/>
      <c r="AV637" s="944"/>
      <c r="AW637" s="944"/>
      <c r="AX637" s="793"/>
    </row>
    <row r="638" spans="1:50" s="29" customFormat="1" x14ac:dyDescent="0.45">
      <c r="A638" s="793" t="s">
        <v>209</v>
      </c>
      <c r="B638" s="791"/>
      <c r="C638" s="942">
        <f t="shared" ref="C638:AW638" si="745">IF(ISBLANK(INDEX(MO_IS_FirstRow,0,COLUMN())),0,ROUND(C544-C480,6))</f>
        <v>0</v>
      </c>
      <c r="D638" s="942">
        <f t="shared" si="745"/>
        <v>0</v>
      </c>
      <c r="E638" s="942">
        <f t="shared" si="745"/>
        <v>0</v>
      </c>
      <c r="F638" s="942">
        <f t="shared" si="745"/>
        <v>0</v>
      </c>
      <c r="G638" s="942">
        <f t="shared" si="745"/>
        <v>0</v>
      </c>
      <c r="H638" s="942">
        <f t="shared" si="745"/>
        <v>0</v>
      </c>
      <c r="I638" s="942">
        <f t="shared" si="745"/>
        <v>0</v>
      </c>
      <c r="J638" s="942">
        <f t="shared" si="745"/>
        <v>0</v>
      </c>
      <c r="K638" s="942">
        <f t="shared" si="745"/>
        <v>0</v>
      </c>
      <c r="L638" s="942">
        <f t="shared" si="745"/>
        <v>0</v>
      </c>
      <c r="M638" s="942">
        <f t="shared" si="745"/>
        <v>0</v>
      </c>
      <c r="N638" s="942">
        <f t="shared" si="745"/>
        <v>0</v>
      </c>
      <c r="O638" s="942">
        <f t="shared" si="745"/>
        <v>0</v>
      </c>
      <c r="P638" s="942">
        <f t="shared" si="745"/>
        <v>0</v>
      </c>
      <c r="Q638" s="942">
        <f t="shared" si="745"/>
        <v>0</v>
      </c>
      <c r="R638" s="942">
        <f t="shared" si="745"/>
        <v>0</v>
      </c>
      <c r="S638" s="942">
        <f t="shared" si="745"/>
        <v>0</v>
      </c>
      <c r="T638" s="942">
        <f t="shared" si="745"/>
        <v>0</v>
      </c>
      <c r="U638" s="942">
        <f t="shared" si="745"/>
        <v>0</v>
      </c>
      <c r="V638" s="942">
        <f t="shared" si="745"/>
        <v>0</v>
      </c>
      <c r="W638" s="942">
        <f t="shared" si="745"/>
        <v>0</v>
      </c>
      <c r="X638" s="942">
        <f t="shared" si="745"/>
        <v>0</v>
      </c>
      <c r="Y638" s="942">
        <f t="shared" si="745"/>
        <v>0</v>
      </c>
      <c r="Z638" s="942">
        <f t="shared" si="745"/>
        <v>0</v>
      </c>
      <c r="AA638" s="942">
        <f t="shared" si="745"/>
        <v>0</v>
      </c>
      <c r="AB638" s="942">
        <f t="shared" si="745"/>
        <v>0</v>
      </c>
      <c r="AC638" s="942">
        <f t="shared" si="745"/>
        <v>0</v>
      </c>
      <c r="AD638" s="942">
        <f t="shared" si="745"/>
        <v>0</v>
      </c>
      <c r="AE638" s="942">
        <f t="shared" si="745"/>
        <v>0</v>
      </c>
      <c r="AF638" s="942">
        <f t="shared" si="745"/>
        <v>0</v>
      </c>
      <c r="AG638" s="942">
        <f t="shared" si="745"/>
        <v>0</v>
      </c>
      <c r="AH638" s="942">
        <f t="shared" si="745"/>
        <v>0</v>
      </c>
      <c r="AI638" s="942">
        <f t="shared" si="745"/>
        <v>0</v>
      </c>
      <c r="AJ638" s="942">
        <f t="shared" si="745"/>
        <v>0</v>
      </c>
      <c r="AK638" s="942">
        <f t="shared" si="745"/>
        <v>0</v>
      </c>
      <c r="AL638" s="942">
        <f t="shared" si="745"/>
        <v>0</v>
      </c>
      <c r="AM638" s="943">
        <f t="shared" si="745"/>
        <v>0</v>
      </c>
      <c r="AN638" s="944">
        <f t="shared" si="745"/>
        <v>0</v>
      </c>
      <c r="AO638" s="944">
        <f t="shared" si="745"/>
        <v>0</v>
      </c>
      <c r="AP638" s="944">
        <f t="shared" si="745"/>
        <v>0</v>
      </c>
      <c r="AQ638" s="944">
        <f t="shared" si="745"/>
        <v>0</v>
      </c>
      <c r="AR638" s="944">
        <f t="shared" si="745"/>
        <v>0</v>
      </c>
      <c r="AS638" s="944">
        <f t="shared" si="745"/>
        <v>0</v>
      </c>
      <c r="AT638" s="944">
        <f t="shared" si="745"/>
        <v>0</v>
      </c>
      <c r="AU638" s="944">
        <f t="shared" si="745"/>
        <v>0</v>
      </c>
      <c r="AV638" s="944">
        <f t="shared" si="745"/>
        <v>0</v>
      </c>
      <c r="AW638" s="944">
        <f t="shared" si="745"/>
        <v>0</v>
      </c>
      <c r="AX638" s="793"/>
    </row>
    <row r="639" spans="1:50" s="29" customFormat="1" x14ac:dyDescent="0.45">
      <c r="A639" s="793" t="s">
        <v>210</v>
      </c>
      <c r="B639" s="791"/>
      <c r="C639" s="942">
        <f t="shared" ref="C639:AW639" si="746">ROUND(INDEX(MO_CFSum_Capex,0,COLUMN())-C519-C521,6)</f>
        <v>0</v>
      </c>
      <c r="D639" s="942">
        <f t="shared" si="746"/>
        <v>0</v>
      </c>
      <c r="E639" s="942">
        <f t="shared" si="746"/>
        <v>0</v>
      </c>
      <c r="F639" s="942">
        <f t="shared" si="746"/>
        <v>0</v>
      </c>
      <c r="G639" s="942">
        <f t="shared" si="746"/>
        <v>0</v>
      </c>
      <c r="H639" s="942">
        <f t="shared" si="746"/>
        <v>0</v>
      </c>
      <c r="I639" s="942">
        <f t="shared" si="746"/>
        <v>0</v>
      </c>
      <c r="J639" s="942">
        <f t="shared" si="746"/>
        <v>0</v>
      </c>
      <c r="K639" s="942">
        <f t="shared" si="746"/>
        <v>0</v>
      </c>
      <c r="L639" s="942">
        <f t="shared" si="746"/>
        <v>0</v>
      </c>
      <c r="M639" s="942">
        <f t="shared" si="746"/>
        <v>0</v>
      </c>
      <c r="N639" s="942">
        <f t="shared" si="746"/>
        <v>0</v>
      </c>
      <c r="O639" s="942">
        <f t="shared" si="746"/>
        <v>0</v>
      </c>
      <c r="P639" s="942">
        <f t="shared" si="746"/>
        <v>0</v>
      </c>
      <c r="Q639" s="942">
        <f t="shared" si="746"/>
        <v>0</v>
      </c>
      <c r="R639" s="942">
        <f t="shared" si="746"/>
        <v>0</v>
      </c>
      <c r="S639" s="942">
        <f t="shared" si="746"/>
        <v>0</v>
      </c>
      <c r="T639" s="942">
        <f t="shared" si="746"/>
        <v>0</v>
      </c>
      <c r="U639" s="942">
        <f t="shared" si="746"/>
        <v>0</v>
      </c>
      <c r="V639" s="942">
        <f t="shared" si="746"/>
        <v>0</v>
      </c>
      <c r="W639" s="942">
        <f t="shared" si="746"/>
        <v>0</v>
      </c>
      <c r="X639" s="942">
        <f t="shared" si="746"/>
        <v>0</v>
      </c>
      <c r="Y639" s="942">
        <f t="shared" si="746"/>
        <v>0</v>
      </c>
      <c r="Z639" s="942">
        <f t="shared" si="746"/>
        <v>0</v>
      </c>
      <c r="AA639" s="942">
        <f t="shared" si="746"/>
        <v>0</v>
      </c>
      <c r="AB639" s="942">
        <f t="shared" si="746"/>
        <v>0</v>
      </c>
      <c r="AC639" s="942">
        <f t="shared" si="746"/>
        <v>0</v>
      </c>
      <c r="AD639" s="942">
        <f t="shared" si="746"/>
        <v>0</v>
      </c>
      <c r="AE639" s="942">
        <f t="shared" si="746"/>
        <v>0</v>
      </c>
      <c r="AF639" s="942">
        <f t="shared" si="746"/>
        <v>0</v>
      </c>
      <c r="AG639" s="942">
        <f t="shared" si="746"/>
        <v>0</v>
      </c>
      <c r="AH639" s="942">
        <f t="shared" si="746"/>
        <v>0</v>
      </c>
      <c r="AI639" s="942">
        <f t="shared" si="746"/>
        <v>0</v>
      </c>
      <c r="AJ639" s="942">
        <f t="shared" si="746"/>
        <v>0</v>
      </c>
      <c r="AK639" s="942">
        <f t="shared" si="746"/>
        <v>0</v>
      </c>
      <c r="AL639" s="942">
        <f t="shared" si="746"/>
        <v>0</v>
      </c>
      <c r="AM639" s="943">
        <f t="shared" si="746"/>
        <v>0</v>
      </c>
      <c r="AN639" s="944">
        <f t="shared" si="746"/>
        <v>0</v>
      </c>
      <c r="AO639" s="944">
        <f t="shared" si="746"/>
        <v>0</v>
      </c>
      <c r="AP639" s="944">
        <f t="shared" si="746"/>
        <v>0</v>
      </c>
      <c r="AQ639" s="944">
        <f t="shared" si="746"/>
        <v>0</v>
      </c>
      <c r="AR639" s="944">
        <f t="shared" si="746"/>
        <v>0</v>
      </c>
      <c r="AS639" s="944">
        <f t="shared" si="746"/>
        <v>0</v>
      </c>
      <c r="AT639" s="944">
        <f t="shared" si="746"/>
        <v>0</v>
      </c>
      <c r="AU639" s="944">
        <f t="shared" si="746"/>
        <v>0</v>
      </c>
      <c r="AV639" s="944">
        <f t="shared" si="746"/>
        <v>0</v>
      </c>
      <c r="AW639" s="944">
        <f t="shared" si="746"/>
        <v>0</v>
      </c>
      <c r="AX639" s="793"/>
    </row>
    <row r="640" spans="1:50" s="29" customFormat="1" x14ac:dyDescent="0.45">
      <c r="A640" s="793" t="s">
        <v>211</v>
      </c>
      <c r="B640" s="791"/>
      <c r="C640" s="942">
        <f t="shared" ref="C640:AW640" si="747">IF(ISBLANK(INDEX(MO_IS_FirstRow,0,COLUMN())),0,IF(MOD(C217*1000000,1)=0,"Check",0))</f>
        <v>0</v>
      </c>
      <c r="D640" s="942">
        <f t="shared" si="747"/>
        <v>0</v>
      </c>
      <c r="E640" s="942">
        <f t="shared" si="747"/>
        <v>0</v>
      </c>
      <c r="F640" s="942">
        <f t="shared" si="747"/>
        <v>0</v>
      </c>
      <c r="G640" s="942">
        <f t="shared" si="747"/>
        <v>0</v>
      </c>
      <c r="H640" s="942">
        <f t="shared" si="747"/>
        <v>0</v>
      </c>
      <c r="I640" s="942">
        <f t="shared" si="747"/>
        <v>0</v>
      </c>
      <c r="J640" s="942">
        <f t="shared" si="747"/>
        <v>0</v>
      </c>
      <c r="K640" s="942">
        <f t="shared" si="747"/>
        <v>0</v>
      </c>
      <c r="L640" s="942">
        <f t="shared" si="747"/>
        <v>0</v>
      </c>
      <c r="M640" s="942">
        <f t="shared" si="747"/>
        <v>0</v>
      </c>
      <c r="N640" s="942">
        <f t="shared" si="747"/>
        <v>0</v>
      </c>
      <c r="O640" s="942">
        <f t="shared" si="747"/>
        <v>0</v>
      </c>
      <c r="P640" s="942">
        <f t="shared" si="747"/>
        <v>0</v>
      </c>
      <c r="Q640" s="942">
        <f t="shared" si="747"/>
        <v>0</v>
      </c>
      <c r="R640" s="942">
        <f t="shared" si="747"/>
        <v>0</v>
      </c>
      <c r="S640" s="942">
        <f t="shared" si="747"/>
        <v>0</v>
      </c>
      <c r="T640" s="942">
        <f t="shared" si="747"/>
        <v>0</v>
      </c>
      <c r="U640" s="942">
        <f t="shared" si="747"/>
        <v>0</v>
      </c>
      <c r="V640" s="942">
        <f t="shared" si="747"/>
        <v>0</v>
      </c>
      <c r="W640" s="942">
        <f t="shared" si="747"/>
        <v>0</v>
      </c>
      <c r="X640" s="942">
        <f t="shared" si="747"/>
        <v>0</v>
      </c>
      <c r="Y640" s="942">
        <f t="shared" si="747"/>
        <v>0</v>
      </c>
      <c r="Z640" s="942">
        <f t="shared" si="747"/>
        <v>0</v>
      </c>
      <c r="AA640" s="942">
        <f t="shared" si="747"/>
        <v>0</v>
      </c>
      <c r="AB640" s="942">
        <f t="shared" si="747"/>
        <v>0</v>
      </c>
      <c r="AC640" s="942">
        <f t="shared" si="747"/>
        <v>0</v>
      </c>
      <c r="AD640" s="942">
        <f t="shared" si="747"/>
        <v>0</v>
      </c>
      <c r="AE640" s="942">
        <f t="shared" si="747"/>
        <v>0</v>
      </c>
      <c r="AF640" s="942">
        <f t="shared" si="747"/>
        <v>0</v>
      </c>
      <c r="AG640" s="942">
        <f t="shared" si="747"/>
        <v>0</v>
      </c>
      <c r="AH640" s="942">
        <f t="shared" si="747"/>
        <v>0</v>
      </c>
      <c r="AI640" s="942">
        <f t="shared" si="747"/>
        <v>0</v>
      </c>
      <c r="AJ640" s="942">
        <f t="shared" si="747"/>
        <v>0</v>
      </c>
      <c r="AK640" s="942">
        <f t="shared" si="747"/>
        <v>0</v>
      </c>
      <c r="AL640" s="942">
        <f t="shared" si="747"/>
        <v>0</v>
      </c>
      <c r="AM640" s="943">
        <f t="shared" si="747"/>
        <v>0</v>
      </c>
      <c r="AN640" s="944">
        <f t="shared" si="747"/>
        <v>0</v>
      </c>
      <c r="AO640" s="944">
        <f t="shared" si="747"/>
        <v>0</v>
      </c>
      <c r="AP640" s="944">
        <f t="shared" si="747"/>
        <v>0</v>
      </c>
      <c r="AQ640" s="944">
        <f t="shared" si="747"/>
        <v>0</v>
      </c>
      <c r="AR640" s="944">
        <f t="shared" si="747"/>
        <v>0</v>
      </c>
      <c r="AS640" s="944">
        <f t="shared" si="747"/>
        <v>0</v>
      </c>
      <c r="AT640" s="944">
        <f t="shared" si="747"/>
        <v>0</v>
      </c>
      <c r="AU640" s="944">
        <f t="shared" si="747"/>
        <v>0</v>
      </c>
      <c r="AV640" s="944">
        <f t="shared" si="747"/>
        <v>0</v>
      </c>
      <c r="AW640" s="944">
        <f t="shared" si="747"/>
        <v>0</v>
      </c>
      <c r="AX640" s="793"/>
    </row>
    <row r="641" spans="1:50" s="29" customFormat="1" x14ac:dyDescent="0.45">
      <c r="A641" s="793" t="s">
        <v>212</v>
      </c>
      <c r="B641" s="791"/>
      <c r="C641" s="942"/>
      <c r="D641" s="942"/>
      <c r="E641" s="942"/>
      <c r="F641" s="942"/>
      <c r="G641" s="942"/>
      <c r="H641" s="942"/>
      <c r="I641" s="942"/>
      <c r="J641" s="942"/>
      <c r="K641" s="942">
        <f>IF(ISBLANK(INDEX(MO_IS_FirstRow,0,COLUMN())),0,ROUND(K282-SUM(G282,H282,I282,J282),6))</f>
        <v>-0.13100000000000001</v>
      </c>
      <c r="L641" s="942"/>
      <c r="M641" s="942"/>
      <c r="N641" s="942"/>
      <c r="O641" s="942"/>
      <c r="P641" s="942">
        <f>IF(ISBLANK(INDEX(MO_IS_FirstRow,0,COLUMN())),0,ROUND(P282-SUM(L282,M282,N282,O282),6))</f>
        <v>1E-3</v>
      </c>
      <c r="Q641" s="942"/>
      <c r="R641" s="942"/>
      <c r="S641" s="942"/>
      <c r="T641" s="942"/>
      <c r="U641" s="942">
        <f>IF(ISBLANK(INDEX(MO_IS_FirstRow,0,COLUMN())),0,ROUND(U282-SUM(Q282,R282,S282,T282),6))</f>
        <v>0.02</v>
      </c>
      <c r="V641" s="942"/>
      <c r="W641" s="942"/>
      <c r="X641" s="942"/>
      <c r="Y641" s="942"/>
      <c r="Z641" s="942">
        <f>IF(ISBLANK(INDEX(MO_IS_FirstRow,0,COLUMN())),0,ROUND(Z282-SUM(V282,W282,X282,Y282),6))</f>
        <v>0</v>
      </c>
      <c r="AA641" s="942"/>
      <c r="AB641" s="942"/>
      <c r="AC641" s="942"/>
      <c r="AD641" s="942"/>
      <c r="AE641" s="942">
        <f>IF(ISBLANK(INDEX(MO_IS_FirstRow,0,COLUMN())),0,ROUND(AE282-SUM(AA282,AB282,AC282,AD282),6))</f>
        <v>0</v>
      </c>
      <c r="AF641" s="942"/>
      <c r="AG641" s="942"/>
      <c r="AH641" s="942"/>
      <c r="AI641" s="942"/>
      <c r="AJ641" s="942">
        <f>IF(ISBLANK(INDEX(MO_IS_FirstRow,0,COLUMN())),0,ROUND(AJ282-SUM(AF282,AG282,AH282,AI282),6))</f>
        <v>0</v>
      </c>
      <c r="AK641" s="942"/>
      <c r="AL641" s="942"/>
      <c r="AM641" s="943"/>
      <c r="AN641" s="944"/>
      <c r="AO641" s="944">
        <f>IF(ISBLANK(INDEX(MO_IS_FirstRow,0,COLUMN())),0,ROUND(AO282-SUM(AK282,AL282,AM282,AN282),6))</f>
        <v>0</v>
      </c>
      <c r="AP641" s="944"/>
      <c r="AQ641" s="944"/>
      <c r="AR641" s="944"/>
      <c r="AS641" s="944"/>
      <c r="AT641" s="944">
        <f>IF(ISBLANK(INDEX(MO_IS_FirstRow,0,COLUMN())),0,ROUND(AT282-SUM(AP282,AQ282,AR282,AS282),6))</f>
        <v>0</v>
      </c>
      <c r="AU641" s="944"/>
      <c r="AV641" s="944"/>
      <c r="AW641" s="944"/>
      <c r="AX641" s="793"/>
    </row>
    <row r="642" spans="1:50" s="29" customFormat="1" x14ac:dyDescent="0.45">
      <c r="A642" s="793" t="s">
        <v>213</v>
      </c>
      <c r="B642" s="791"/>
      <c r="C642" s="942">
        <f t="shared" ref="C642:AW642" si="748">IF(ISBLANK(INDEX(MO_IS_FirstRow,0,COLUMN())),0,IF(OR(ISBLANK(INDEX(MO_RIS_ShareCount_WAB,1,COLUMN())),ISBLANK(INDEX(MO_RIS_ShareCount_WAD,1,COLUMN()))),"BLANK",IF(OR(INDEX(MO_RIS_ShareCount_WAB,1,COLUMN())=INDEX(MO_RIS_ShareCount_WAB,1,COLUMN()-1),INDEX(MO_RIS_ShareCount_WAD,1,COLUMN())=INDEX(MO_RIS_ShareCount_WAD,1,COLUMN()-1)),"CHECK",0)))</f>
        <v>0</v>
      </c>
      <c r="D642" s="942">
        <f t="shared" si="748"/>
        <v>0</v>
      </c>
      <c r="E642" s="942">
        <f t="shared" si="748"/>
        <v>0</v>
      </c>
      <c r="F642" s="942">
        <f t="shared" si="748"/>
        <v>0</v>
      </c>
      <c r="G642" s="942">
        <f t="shared" si="748"/>
        <v>0</v>
      </c>
      <c r="H642" s="942">
        <f t="shared" si="748"/>
        <v>0</v>
      </c>
      <c r="I642" s="942">
        <f t="shared" si="748"/>
        <v>0</v>
      </c>
      <c r="J642" s="942">
        <f t="shared" si="748"/>
        <v>0</v>
      </c>
      <c r="K642" s="942">
        <f t="shared" si="748"/>
        <v>0</v>
      </c>
      <c r="L642" s="942">
        <f t="shared" si="748"/>
        <v>0</v>
      </c>
      <c r="M642" s="942">
        <f t="shared" si="748"/>
        <v>0</v>
      </c>
      <c r="N642" s="942">
        <f t="shared" si="748"/>
        <v>0</v>
      </c>
      <c r="O642" s="942">
        <f t="shared" si="748"/>
        <v>0</v>
      </c>
      <c r="P642" s="942">
        <f t="shared" si="748"/>
        <v>0</v>
      </c>
      <c r="Q642" s="942">
        <f t="shared" si="748"/>
        <v>0</v>
      </c>
      <c r="R642" s="942">
        <f t="shared" si="748"/>
        <v>0</v>
      </c>
      <c r="S642" s="942">
        <f t="shared" si="748"/>
        <v>0</v>
      </c>
      <c r="T642" s="942">
        <f t="shared" si="748"/>
        <v>0</v>
      </c>
      <c r="U642" s="942">
        <f t="shared" si="748"/>
        <v>0</v>
      </c>
      <c r="V642" s="942">
        <f t="shared" si="748"/>
        <v>0</v>
      </c>
      <c r="W642" s="942">
        <f t="shared" si="748"/>
        <v>0</v>
      </c>
      <c r="X642" s="942">
        <f t="shared" si="748"/>
        <v>0</v>
      </c>
      <c r="Y642" s="942">
        <f t="shared" si="748"/>
        <v>0</v>
      </c>
      <c r="Z642" s="942">
        <f t="shared" si="748"/>
        <v>0</v>
      </c>
      <c r="AA642" s="942">
        <f t="shared" si="748"/>
        <v>0</v>
      </c>
      <c r="AB642" s="942">
        <f t="shared" si="748"/>
        <v>0</v>
      </c>
      <c r="AC642" s="942">
        <f t="shared" si="748"/>
        <v>0</v>
      </c>
      <c r="AD642" s="942">
        <f t="shared" si="748"/>
        <v>0</v>
      </c>
      <c r="AE642" s="942">
        <f t="shared" si="748"/>
        <v>0</v>
      </c>
      <c r="AF642" s="942">
        <f t="shared" si="748"/>
        <v>0</v>
      </c>
      <c r="AG642" s="942">
        <f t="shared" si="748"/>
        <v>0</v>
      </c>
      <c r="AH642" s="942">
        <f t="shared" si="748"/>
        <v>0</v>
      </c>
      <c r="AI642" s="942">
        <f t="shared" si="748"/>
        <v>0</v>
      </c>
      <c r="AJ642" s="942">
        <f t="shared" si="748"/>
        <v>0</v>
      </c>
      <c r="AK642" s="942">
        <f t="shared" si="748"/>
        <v>0</v>
      </c>
      <c r="AL642" s="942">
        <f t="shared" si="748"/>
        <v>0</v>
      </c>
      <c r="AM642" s="943">
        <f t="shared" si="748"/>
        <v>0</v>
      </c>
      <c r="AN642" s="944">
        <f t="shared" si="748"/>
        <v>0</v>
      </c>
      <c r="AO642" s="944">
        <f t="shared" si="748"/>
        <v>0</v>
      </c>
      <c r="AP642" s="944">
        <f t="shared" si="748"/>
        <v>0</v>
      </c>
      <c r="AQ642" s="944">
        <f t="shared" si="748"/>
        <v>0</v>
      </c>
      <c r="AR642" s="944">
        <f t="shared" si="748"/>
        <v>0</v>
      </c>
      <c r="AS642" s="944">
        <f t="shared" si="748"/>
        <v>0</v>
      </c>
      <c r="AT642" s="944">
        <f t="shared" si="748"/>
        <v>0</v>
      </c>
      <c r="AU642" s="944">
        <f t="shared" si="748"/>
        <v>0</v>
      </c>
      <c r="AV642" s="944">
        <f t="shared" si="748"/>
        <v>0</v>
      </c>
      <c r="AW642" s="944">
        <f t="shared" si="748"/>
        <v>0</v>
      </c>
      <c r="AX642" s="793"/>
    </row>
    <row r="643" spans="1:50" s="29" customFormat="1" x14ac:dyDescent="0.45">
      <c r="A643" s="793" t="s">
        <v>214</v>
      </c>
      <c r="B643" s="791"/>
      <c r="C643" s="942">
        <f t="shared" ref="C643:AW643" si="749">ROUND(1-INDEX(MO_MA_COGS_Adj,0,COLUMN())-INDEX(MO_MA_SGA_Adj,0,COLUMN())-INDEX(MO_MA_EBITDA,0,COLUMN())-INDEX(MO_MA_RD_Adj,0,COLUMN()),6)</f>
        <v>0</v>
      </c>
      <c r="D643" s="942">
        <f t="shared" si="749"/>
        <v>0</v>
      </c>
      <c r="E643" s="942">
        <f t="shared" si="749"/>
        <v>0</v>
      </c>
      <c r="F643" s="942">
        <f t="shared" si="749"/>
        <v>0</v>
      </c>
      <c r="G643" s="942">
        <f t="shared" si="749"/>
        <v>0</v>
      </c>
      <c r="H643" s="942">
        <f t="shared" si="749"/>
        <v>0</v>
      </c>
      <c r="I643" s="942">
        <f t="shared" si="749"/>
        <v>0</v>
      </c>
      <c r="J643" s="942">
        <f t="shared" si="749"/>
        <v>0</v>
      </c>
      <c r="K643" s="942">
        <f t="shared" si="749"/>
        <v>0</v>
      </c>
      <c r="L643" s="942">
        <f t="shared" si="749"/>
        <v>0</v>
      </c>
      <c r="M643" s="942">
        <f t="shared" si="749"/>
        <v>0</v>
      </c>
      <c r="N643" s="942">
        <f t="shared" si="749"/>
        <v>0</v>
      </c>
      <c r="O643" s="942">
        <f t="shared" si="749"/>
        <v>0</v>
      </c>
      <c r="P643" s="942">
        <f t="shared" si="749"/>
        <v>0</v>
      </c>
      <c r="Q643" s="942">
        <f t="shared" si="749"/>
        <v>0</v>
      </c>
      <c r="R643" s="942">
        <f t="shared" si="749"/>
        <v>0</v>
      </c>
      <c r="S643" s="942">
        <f t="shared" si="749"/>
        <v>0</v>
      </c>
      <c r="T643" s="942">
        <f t="shared" si="749"/>
        <v>0</v>
      </c>
      <c r="U643" s="942">
        <f t="shared" si="749"/>
        <v>0</v>
      </c>
      <c r="V643" s="942">
        <f t="shared" si="749"/>
        <v>0</v>
      </c>
      <c r="W643" s="942">
        <f t="shared" si="749"/>
        <v>0</v>
      </c>
      <c r="X643" s="942">
        <f t="shared" si="749"/>
        <v>0</v>
      </c>
      <c r="Y643" s="942">
        <f t="shared" si="749"/>
        <v>0</v>
      </c>
      <c r="Z643" s="942">
        <f t="shared" si="749"/>
        <v>0</v>
      </c>
      <c r="AA643" s="942">
        <f t="shared" si="749"/>
        <v>0</v>
      </c>
      <c r="AB643" s="942">
        <f t="shared" si="749"/>
        <v>0</v>
      </c>
      <c r="AC643" s="942">
        <f t="shared" si="749"/>
        <v>0</v>
      </c>
      <c r="AD643" s="942">
        <f t="shared" si="749"/>
        <v>0</v>
      </c>
      <c r="AE643" s="942">
        <f t="shared" si="749"/>
        <v>0</v>
      </c>
      <c r="AF643" s="942">
        <f t="shared" si="749"/>
        <v>0</v>
      </c>
      <c r="AG643" s="942">
        <f t="shared" si="749"/>
        <v>0</v>
      </c>
      <c r="AH643" s="942">
        <f t="shared" si="749"/>
        <v>0</v>
      </c>
      <c r="AI643" s="942">
        <f t="shared" si="749"/>
        <v>0</v>
      </c>
      <c r="AJ643" s="942">
        <f t="shared" si="749"/>
        <v>0</v>
      </c>
      <c r="AK643" s="942">
        <f t="shared" si="749"/>
        <v>0</v>
      </c>
      <c r="AL643" s="942">
        <f t="shared" si="749"/>
        <v>0</v>
      </c>
      <c r="AM643" s="943">
        <f t="shared" si="749"/>
        <v>0</v>
      </c>
      <c r="AN643" s="944">
        <f t="shared" si="749"/>
        <v>0</v>
      </c>
      <c r="AO643" s="944">
        <f t="shared" si="749"/>
        <v>0</v>
      </c>
      <c r="AP643" s="944">
        <f t="shared" si="749"/>
        <v>0</v>
      </c>
      <c r="AQ643" s="944">
        <f t="shared" si="749"/>
        <v>0</v>
      </c>
      <c r="AR643" s="944">
        <f t="shared" si="749"/>
        <v>0</v>
      </c>
      <c r="AS643" s="944">
        <f t="shared" si="749"/>
        <v>0</v>
      </c>
      <c r="AT643" s="944">
        <f t="shared" si="749"/>
        <v>0</v>
      </c>
      <c r="AU643" s="944">
        <f t="shared" si="749"/>
        <v>0</v>
      </c>
      <c r="AV643" s="944">
        <f t="shared" si="749"/>
        <v>0</v>
      </c>
      <c r="AW643" s="944">
        <f t="shared" si="749"/>
        <v>0</v>
      </c>
      <c r="AX643" s="793"/>
    </row>
    <row r="644" spans="1:50" s="29" customFormat="1" x14ac:dyDescent="0.45">
      <c r="A644" s="793" t="s">
        <v>215</v>
      </c>
      <c r="B644" s="791"/>
      <c r="C644" s="942">
        <f t="shared" ref="C644:AW644" si="750">IF(OR(INDEX(MO_CFSum_Acquisition,1,COLUMN())&gt;0,INDEX(MO_CFSum_Divestiture,1,COLUMN())&lt;0,INDEX(MO_CFSum_Capex,1,COLUMN())&gt;0,INDEX(MO_CFSum_Dividend,1,COLUMN())&gt;0),"CHECK",0)</f>
        <v>0</v>
      </c>
      <c r="D644" s="942">
        <f t="shared" si="750"/>
        <v>0</v>
      </c>
      <c r="E644" s="942">
        <f t="shared" si="750"/>
        <v>0</v>
      </c>
      <c r="F644" s="942">
        <f t="shared" si="750"/>
        <v>0</v>
      </c>
      <c r="G644" s="942">
        <f t="shared" si="750"/>
        <v>0</v>
      </c>
      <c r="H644" s="942">
        <f t="shared" si="750"/>
        <v>0</v>
      </c>
      <c r="I644" s="942">
        <f t="shared" si="750"/>
        <v>0</v>
      </c>
      <c r="J644" s="942">
        <f>IF(OR(INDEX(MO_CFSum_Acquisition,1,COLUMN())&gt;0,INDEX(MO_CFSum_Divestiture,1,COLUMN())&lt;0,INDEX(MO_CFSum_Capex,1,COLUMN())&gt;0,INDEX(MO_CFSum_Dividend,1,COLUMN())&gt;0),"CHECK",0)</f>
        <v>0</v>
      </c>
      <c r="K644" s="942">
        <f t="shared" si="750"/>
        <v>0</v>
      </c>
      <c r="L644" s="942">
        <f t="shared" si="750"/>
        <v>0</v>
      </c>
      <c r="M644" s="942">
        <f t="shared" si="750"/>
        <v>0</v>
      </c>
      <c r="N644" s="942">
        <f t="shared" si="750"/>
        <v>0</v>
      </c>
      <c r="O644" s="942">
        <f t="shared" si="750"/>
        <v>0</v>
      </c>
      <c r="P644" s="942">
        <f t="shared" si="750"/>
        <v>0</v>
      </c>
      <c r="Q644" s="942">
        <f t="shared" si="750"/>
        <v>0</v>
      </c>
      <c r="R644" s="942">
        <f t="shared" si="750"/>
        <v>0</v>
      </c>
      <c r="S644" s="942">
        <f t="shared" si="750"/>
        <v>0</v>
      </c>
      <c r="T644" s="942">
        <f t="shared" si="750"/>
        <v>0</v>
      </c>
      <c r="U644" s="942">
        <f t="shared" si="750"/>
        <v>0</v>
      </c>
      <c r="V644" s="942">
        <f t="shared" si="750"/>
        <v>0</v>
      </c>
      <c r="W644" s="942">
        <f t="shared" si="750"/>
        <v>0</v>
      </c>
      <c r="X644" s="942">
        <f t="shared" si="750"/>
        <v>0</v>
      </c>
      <c r="Y644" s="942">
        <f t="shared" si="750"/>
        <v>0</v>
      </c>
      <c r="Z644" s="942">
        <f t="shared" si="750"/>
        <v>0</v>
      </c>
      <c r="AA644" s="942">
        <f t="shared" si="750"/>
        <v>0</v>
      </c>
      <c r="AB644" s="942">
        <f t="shared" si="750"/>
        <v>0</v>
      </c>
      <c r="AC644" s="942">
        <f t="shared" si="750"/>
        <v>0</v>
      </c>
      <c r="AD644" s="942">
        <f t="shared" si="750"/>
        <v>0</v>
      </c>
      <c r="AE644" s="942">
        <f t="shared" si="750"/>
        <v>0</v>
      </c>
      <c r="AF644" s="942">
        <f t="shared" si="750"/>
        <v>0</v>
      </c>
      <c r="AG644" s="942">
        <f t="shared" si="750"/>
        <v>0</v>
      </c>
      <c r="AH644" s="942">
        <f t="shared" si="750"/>
        <v>0</v>
      </c>
      <c r="AI644" s="942">
        <f t="shared" si="750"/>
        <v>0</v>
      </c>
      <c r="AJ644" s="942">
        <f t="shared" si="750"/>
        <v>0</v>
      </c>
      <c r="AK644" s="942">
        <f t="shared" si="750"/>
        <v>0</v>
      </c>
      <c r="AL644" s="942">
        <f t="shared" si="750"/>
        <v>0</v>
      </c>
      <c r="AM644" s="943">
        <f t="shared" si="750"/>
        <v>0</v>
      </c>
      <c r="AN644" s="944">
        <f t="shared" ca="1" si="750"/>
        <v>0</v>
      </c>
      <c r="AO644" s="944">
        <f t="shared" ca="1" si="750"/>
        <v>0</v>
      </c>
      <c r="AP644" s="944">
        <f t="shared" ca="1" si="750"/>
        <v>0</v>
      </c>
      <c r="AQ644" s="944">
        <f t="shared" ca="1" si="750"/>
        <v>0</v>
      </c>
      <c r="AR644" s="944">
        <f t="shared" ca="1" si="750"/>
        <v>0</v>
      </c>
      <c r="AS644" s="944">
        <f t="shared" ca="1" si="750"/>
        <v>0</v>
      </c>
      <c r="AT644" s="944">
        <f t="shared" ca="1" si="750"/>
        <v>0</v>
      </c>
      <c r="AU644" s="944">
        <f t="shared" ca="1" si="750"/>
        <v>0</v>
      </c>
      <c r="AV644" s="944">
        <f t="shared" ca="1" si="750"/>
        <v>0</v>
      </c>
      <c r="AW644" s="944">
        <f t="shared" ca="1" si="750"/>
        <v>0</v>
      </c>
      <c r="AX644" s="793"/>
    </row>
    <row r="645" spans="1:50" s="29" customFormat="1" x14ac:dyDescent="0.45">
      <c r="A645" s="793" t="s">
        <v>216</v>
      </c>
      <c r="B645" s="791"/>
      <c r="C645" s="942"/>
      <c r="D645" s="942"/>
      <c r="E645" s="942"/>
      <c r="F645" s="942"/>
      <c r="G645" s="942"/>
      <c r="H645" s="942"/>
      <c r="I645" s="942"/>
      <c r="J645" s="942"/>
      <c r="K645" s="942">
        <f>ROUND(K332-SUM(G332,H332,I332,J332),6)</f>
        <v>0</v>
      </c>
      <c r="L645" s="942"/>
      <c r="M645" s="942"/>
      <c r="N645" s="942"/>
      <c r="O645" s="942"/>
      <c r="P645" s="942">
        <f>ROUND(P332-SUM(L332,M332,N332,O332),6)</f>
        <v>0</v>
      </c>
      <c r="Q645" s="942"/>
      <c r="R645" s="942"/>
      <c r="S645" s="942"/>
      <c r="T645" s="942"/>
      <c r="U645" s="942">
        <f>ROUND(U332-SUM(Q332,R332,S332,T332),6)</f>
        <v>0</v>
      </c>
      <c r="V645" s="942"/>
      <c r="W645" s="942"/>
      <c r="X645" s="942"/>
      <c r="Y645" s="942"/>
      <c r="Z645" s="942">
        <f>ROUND(Z332-SUM(V332,W332,X332,Y332),6)</f>
        <v>0</v>
      </c>
      <c r="AA645" s="942"/>
      <c r="AB645" s="942"/>
      <c r="AC645" s="942"/>
      <c r="AD645" s="942"/>
      <c r="AE645" s="942">
        <f>ROUND(AE332-SUM(AA332,AB332,AC332,AD332),6)</f>
        <v>0</v>
      </c>
      <c r="AF645" s="942"/>
      <c r="AG645" s="942"/>
      <c r="AH645" s="942"/>
      <c r="AI645" s="942"/>
      <c r="AJ645" s="942">
        <f>ROUND(AJ332-SUM(AF332,AG332,AH332,AI332),6)</f>
        <v>0</v>
      </c>
      <c r="AK645" s="942"/>
      <c r="AL645" s="942"/>
      <c r="AM645" s="943"/>
      <c r="AN645" s="944"/>
      <c r="AO645" s="944">
        <f>ROUND(AO332-SUM(AK332,AL332,AM332,AN332),6)</f>
        <v>0</v>
      </c>
      <c r="AP645" s="944"/>
      <c r="AQ645" s="944"/>
      <c r="AR645" s="944"/>
      <c r="AS645" s="944"/>
      <c r="AT645" s="944">
        <f ca="1">ROUND(AT332-SUM(AP332,AQ332,AR332,AS332),6)</f>
        <v>0</v>
      </c>
      <c r="AU645" s="944"/>
      <c r="AV645" s="944"/>
      <c r="AW645" s="944"/>
      <c r="AX645" s="793"/>
    </row>
    <row r="646" spans="1:50" s="29" customFormat="1" x14ac:dyDescent="0.45">
      <c r="A646" s="793" t="s">
        <v>217</v>
      </c>
      <c r="B646" s="791"/>
      <c r="C646" s="942"/>
      <c r="D646" s="942"/>
      <c r="E646" s="942"/>
      <c r="F646" s="942"/>
      <c r="G646" s="942"/>
      <c r="H646" s="942"/>
      <c r="I646" s="942"/>
      <c r="J646" s="942"/>
      <c r="K646" s="942">
        <f>ROUND(SUM(G341,H341,I341,J341)-INDEX(MO_RIS_NI_NONGAAP_Diluted,1,COLUMN()),6)</f>
        <v>0.13100000000000001</v>
      </c>
      <c r="L646" s="942"/>
      <c r="M646" s="942"/>
      <c r="N646" s="942"/>
      <c r="O646" s="942"/>
      <c r="P646" s="942">
        <f>ROUND(SUM(L341,M341,N341,O341)-INDEX(MO_RIS_NI_NONGAAP_Diluted,1,COLUMN()),6)</f>
        <v>-1E-3</v>
      </c>
      <c r="Q646" s="942"/>
      <c r="R646" s="942"/>
      <c r="S646" s="942"/>
      <c r="T646" s="942"/>
      <c r="U646" s="942">
        <f>ROUND(SUM(Q341,R341,S341,T341)-INDEX(MO_RIS_NI_NONGAAP_Diluted,1,COLUMN()),6)</f>
        <v>-0.02</v>
      </c>
      <c r="V646" s="942"/>
      <c r="W646" s="942"/>
      <c r="X646" s="942"/>
      <c r="Y646" s="942"/>
      <c r="Z646" s="942">
        <f>ROUND(SUM(V341,W341,X341,Y341)-INDEX(MO_RIS_NI_NONGAAP_Diluted,1,COLUMN()),6)</f>
        <v>0</v>
      </c>
      <c r="AA646" s="942"/>
      <c r="AB646" s="942"/>
      <c r="AC646" s="942"/>
      <c r="AD646" s="942"/>
      <c r="AE646" s="942">
        <f>ROUND(SUM(AA341,AB341,AC341,AD341)-INDEX(MO_RIS_NI_NONGAAP_Diluted,1,COLUMN()),6)</f>
        <v>0</v>
      </c>
      <c r="AF646" s="942"/>
      <c r="AG646" s="942"/>
      <c r="AH646" s="942"/>
      <c r="AI646" s="942"/>
      <c r="AJ646" s="942">
        <f>ROUND(SUM(AF341,AG341,AH341,AI341)-INDEX(MO_RIS_NI_NONGAAP_Diluted,1,COLUMN()),6)</f>
        <v>0</v>
      </c>
      <c r="AK646" s="942"/>
      <c r="AL646" s="942"/>
      <c r="AM646" s="943"/>
      <c r="AN646" s="944"/>
      <c r="AO646" s="944">
        <f>ROUND(SUM(AK341,AL341,AM341,AN341)-INDEX(MO_RIS_NI_NONGAAP_Diluted,1,COLUMN()),6)</f>
        <v>0</v>
      </c>
      <c r="AP646" s="944"/>
      <c r="AQ646" s="944"/>
      <c r="AR646" s="944"/>
      <c r="AS646" s="944"/>
      <c r="AT646" s="944">
        <f ca="1">ROUND(SUM(AP341,AQ341,AR341,AS341)-INDEX(MO_RIS_NI_NONGAAP_Diluted,1,COLUMN()),6)</f>
        <v>0</v>
      </c>
      <c r="AU646" s="944"/>
      <c r="AV646" s="944"/>
      <c r="AW646" s="944"/>
      <c r="AX646" s="793"/>
    </row>
    <row r="647" spans="1:50" s="29" customFormat="1" x14ac:dyDescent="0.45">
      <c r="A647" s="793" t="s">
        <v>218</v>
      </c>
      <c r="B647" s="791"/>
      <c r="C647" s="942"/>
      <c r="D647" s="942"/>
      <c r="E647" s="942"/>
      <c r="F647" s="942"/>
      <c r="G647" s="942"/>
      <c r="H647" s="942"/>
      <c r="I647" s="942"/>
      <c r="J647" s="942"/>
      <c r="K647" s="942">
        <f ca="1">ROUND(SUM(G500,H500,I500,J500)-SUM(OFFSET(INDEX(MO_CFS_CFO_BeforeWC,1,COLUMN()),ROW(INDEX(MO_SubSection_CFS_CFO,1,COLUMN()))-ROW(INDEX(MO_CFS_CFO_BeforeWC,1,COLUMN())),0,ROW(INDEX(MO_CFS_CFO_BeforeWC,1,COLUMN()))-ROW(INDEX(MO_SubSection_CFS_CFO,1,COLUMN())),1)),6)</f>
        <v>0</v>
      </c>
      <c r="L647" s="942"/>
      <c r="M647" s="942"/>
      <c r="N647" s="942"/>
      <c r="O647" s="942"/>
      <c r="P647" s="942">
        <f ca="1">ROUND(SUM(L500,M500,N500,O500)-SUM(OFFSET(INDEX(MO_CFS_CFO_BeforeWC,1,COLUMN()),ROW(INDEX(MO_SubSection_CFS_CFO,1,COLUMN()))-ROW(INDEX(MO_CFS_CFO_BeforeWC,1,COLUMN())),0,ROW(INDEX(MO_CFS_CFO_BeforeWC,1,COLUMN()))-ROW(INDEX(MO_SubSection_CFS_CFO,1,COLUMN())),1)),6)</f>
        <v>0</v>
      </c>
      <c r="Q647" s="942"/>
      <c r="R647" s="942"/>
      <c r="S647" s="942"/>
      <c r="T647" s="942"/>
      <c r="U647" s="942">
        <f ca="1">ROUND(SUM(Q500,R500,S500,T500)-SUM(OFFSET(INDEX(MO_CFS_CFO_BeforeWC,1,COLUMN()),ROW(INDEX(MO_SubSection_CFS_CFO,1,COLUMN()))-ROW(INDEX(MO_CFS_CFO_BeforeWC,1,COLUMN())),0,ROW(INDEX(MO_CFS_CFO_BeforeWC,1,COLUMN()))-ROW(INDEX(MO_SubSection_CFS_CFO,1,COLUMN())),1)),6)</f>
        <v>0</v>
      </c>
      <c r="V647" s="942"/>
      <c r="W647" s="942"/>
      <c r="X647" s="942"/>
      <c r="Y647" s="942"/>
      <c r="Z647" s="942">
        <f ca="1">ROUND(SUM(V500,W500,X500,Y500)-SUM(OFFSET(INDEX(MO_CFS_CFO_BeforeWC,1,COLUMN()),ROW(INDEX(MO_SubSection_CFS_CFO,1,COLUMN()))-ROW(INDEX(MO_CFS_CFO_BeforeWC,1,COLUMN())),0,ROW(INDEX(MO_CFS_CFO_BeforeWC,1,COLUMN()))-ROW(INDEX(MO_SubSection_CFS_CFO,1,COLUMN())),1)),6)</f>
        <v>0</v>
      </c>
      <c r="AA647" s="942"/>
      <c r="AB647" s="942"/>
      <c r="AC647" s="942"/>
      <c r="AD647" s="942"/>
      <c r="AE647" s="942">
        <f ca="1">ROUND(SUM(AA500,AB500,AC500,AD500)-SUM(OFFSET(INDEX(MO_CFS_CFO_BeforeWC,1,COLUMN()),ROW(INDEX(MO_SubSection_CFS_CFO,1,COLUMN()))-ROW(INDEX(MO_CFS_CFO_BeforeWC,1,COLUMN())),0,ROW(INDEX(MO_CFS_CFO_BeforeWC,1,COLUMN()))-ROW(INDEX(MO_SubSection_CFS_CFO,1,COLUMN())),1)),6)</f>
        <v>0</v>
      </c>
      <c r="AF647" s="942"/>
      <c r="AG647" s="942"/>
      <c r="AH647" s="942"/>
      <c r="AI647" s="942"/>
      <c r="AJ647" s="942">
        <f ca="1">ROUND(SUM(AF500,AG500,AH500,AI500)-SUM(OFFSET(INDEX(MO_CFS_CFO_BeforeWC,1,COLUMN()),ROW(INDEX(MO_SubSection_CFS_CFO,1,COLUMN()))-ROW(INDEX(MO_CFS_CFO_BeforeWC,1,COLUMN())),0,ROW(INDEX(MO_CFS_CFO_BeforeWC,1,COLUMN()))-ROW(INDEX(MO_SubSection_CFS_CFO,1,COLUMN())),1)),6)</f>
        <v>0</v>
      </c>
      <c r="AK647" s="942"/>
      <c r="AL647" s="942"/>
      <c r="AM647" s="943"/>
      <c r="AN647" s="944"/>
      <c r="AO647" s="944">
        <f ca="1">ROUND(SUM(AK500,AL500,AM500,AN500)-SUM(OFFSET(INDEX(MO_CFS_CFO_BeforeWC,1,COLUMN()),ROW(INDEX(MO_SubSection_CFS_CFO,1,COLUMN()))-ROW(INDEX(MO_CFS_CFO_BeforeWC,1,COLUMN())),0,ROW(INDEX(MO_CFS_CFO_BeforeWC,1,COLUMN()))-ROW(INDEX(MO_SubSection_CFS_CFO,1,COLUMN())),1)),6)</f>
        <v>0</v>
      </c>
      <c r="AP647" s="944"/>
      <c r="AQ647" s="944"/>
      <c r="AR647" s="944"/>
      <c r="AS647" s="944"/>
      <c r="AT647" s="944">
        <f ca="1">ROUND(SUM(AP500,AQ500,AR500,AS500)-SUM(OFFSET(INDEX(MO_CFS_CFO_BeforeWC,1,COLUMN()),ROW(INDEX(MO_SubSection_CFS_CFO,1,COLUMN()))-ROW(INDEX(MO_CFS_CFO_BeforeWC,1,COLUMN())),0,ROW(INDEX(MO_CFS_CFO_BeforeWC,1,COLUMN()))-ROW(INDEX(MO_SubSection_CFS_CFO,1,COLUMN())),1)),6)</f>
        <v>0</v>
      </c>
      <c r="AU647" s="944"/>
      <c r="AV647" s="944"/>
      <c r="AW647" s="944"/>
      <c r="AX647" s="793"/>
    </row>
    <row r="648" spans="1:50" s="29" customFormat="1" x14ac:dyDescent="0.45">
      <c r="A648" s="793" t="s">
        <v>219</v>
      </c>
      <c r="B648" s="791"/>
      <c r="C648" s="942"/>
      <c r="D648" s="942"/>
      <c r="E648" s="942"/>
      <c r="F648" s="942"/>
      <c r="G648" s="942"/>
      <c r="H648" s="942"/>
      <c r="I648" s="942"/>
      <c r="J648" s="942"/>
      <c r="K648" s="942">
        <f ca="1">ROUND(SUM(G516,H516,I516,J516)-SUM(OFFSET(INDEX(MO_CFS_CFO,1,COLUMN()),ROW(INDEX(MO_CFS_CFO_BeforeWC,1,COLUMN()))-ROW(INDEX(MO_CFS_CFO,1,COLUMN())),0,ROW(INDEX(MO_CFS_CFO,1,COLUMN()))-ROW(INDEX(MO_CFS_CFO_BeforeWC,1,COLUMN())),1)),6)</f>
        <v>0</v>
      </c>
      <c r="L648" s="942"/>
      <c r="M648" s="942"/>
      <c r="N648" s="942"/>
      <c r="O648" s="942"/>
      <c r="P648" s="942">
        <f ca="1">ROUND(SUM(L516,M516,N516,O516)-SUM(OFFSET(INDEX(MO_CFS_CFO,1,COLUMN()),ROW(INDEX(MO_CFS_CFO_BeforeWC,1,COLUMN()))-ROW(INDEX(MO_CFS_CFO,1,COLUMN())),0,ROW(INDEX(MO_CFS_CFO,1,COLUMN()))-ROW(INDEX(MO_CFS_CFO_BeforeWC,1,COLUMN())),1)),6)</f>
        <v>0</v>
      </c>
      <c r="Q648" s="942"/>
      <c r="R648" s="942"/>
      <c r="S648" s="942"/>
      <c r="T648" s="942"/>
      <c r="U648" s="942">
        <f ca="1">ROUND(SUM(Q516,R516,S516,T516)-SUM(OFFSET(INDEX(MO_CFS_CFO,1,COLUMN()),ROW(INDEX(MO_CFS_CFO_BeforeWC,1,COLUMN()))-ROW(INDEX(MO_CFS_CFO,1,COLUMN())),0,ROW(INDEX(MO_CFS_CFO,1,COLUMN()))-ROW(INDEX(MO_CFS_CFO_BeforeWC,1,COLUMN())),1)),6)</f>
        <v>0</v>
      </c>
      <c r="V648" s="942"/>
      <c r="W648" s="942"/>
      <c r="X648" s="942"/>
      <c r="Y648" s="942"/>
      <c r="Z648" s="942">
        <f ca="1">ROUND(SUM(V516,W516,X516,Y516)-SUM(OFFSET(INDEX(MO_CFS_CFO,1,COLUMN()),ROW(INDEX(MO_CFS_CFO_BeforeWC,1,COLUMN()))-ROW(INDEX(MO_CFS_CFO,1,COLUMN())),0,ROW(INDEX(MO_CFS_CFO,1,COLUMN()))-ROW(INDEX(MO_CFS_CFO_BeforeWC,1,COLUMN())),1)),6)</f>
        <v>0</v>
      </c>
      <c r="AA648" s="942"/>
      <c r="AB648" s="942"/>
      <c r="AC648" s="942"/>
      <c r="AD648" s="942"/>
      <c r="AE648" s="942">
        <f ca="1">ROUND(SUM(AA516,AB516,AC516,AD516)-SUM(OFFSET(INDEX(MO_CFS_CFO,1,COLUMN()),ROW(INDEX(MO_CFS_CFO_BeforeWC,1,COLUMN()))-ROW(INDEX(MO_CFS_CFO,1,COLUMN())),0,ROW(INDEX(MO_CFS_CFO,1,COLUMN()))-ROW(INDEX(MO_CFS_CFO_BeforeWC,1,COLUMN())),1)),6)</f>
        <v>0</v>
      </c>
      <c r="AF648" s="942"/>
      <c r="AG648" s="942"/>
      <c r="AH648" s="942"/>
      <c r="AI648" s="942"/>
      <c r="AJ648" s="942">
        <f ca="1">ROUND(SUM(AF516,AG516,AH516,AI516)-SUM(OFFSET(INDEX(MO_CFS_CFO,1,COLUMN()),ROW(INDEX(MO_CFS_CFO_BeforeWC,1,COLUMN()))-ROW(INDEX(MO_CFS_CFO,1,COLUMN())),0,ROW(INDEX(MO_CFS_CFO,1,COLUMN()))-ROW(INDEX(MO_CFS_CFO_BeforeWC,1,COLUMN())),1)),6)</f>
        <v>0</v>
      </c>
      <c r="AK648" s="942"/>
      <c r="AL648" s="942"/>
      <c r="AM648" s="943"/>
      <c r="AN648" s="944"/>
      <c r="AO648" s="944">
        <f ca="1">ROUND(SUM(AK516,AL516,AM516,AN516)-SUM(OFFSET(INDEX(MO_CFS_CFO,1,COLUMN()),ROW(INDEX(MO_CFS_CFO_BeforeWC,1,COLUMN()))-ROW(INDEX(MO_CFS_CFO,1,COLUMN())),0,ROW(INDEX(MO_CFS_CFO,1,COLUMN()))-ROW(INDEX(MO_CFS_CFO_BeforeWC,1,COLUMN())),1)),6)</f>
        <v>0</v>
      </c>
      <c r="AP648" s="944"/>
      <c r="AQ648" s="944"/>
      <c r="AR648" s="944"/>
      <c r="AS648" s="944"/>
      <c r="AT648" s="944">
        <f ca="1">ROUND(SUM(AP516,AQ516,AR516,AS516)-SUM(OFFSET(INDEX(MO_CFS_CFO,1,COLUMN()),ROW(INDEX(MO_CFS_CFO_BeforeWC,1,COLUMN()))-ROW(INDEX(MO_CFS_CFO,1,COLUMN())),0,ROW(INDEX(MO_CFS_CFO,1,COLUMN()))-ROW(INDEX(MO_CFS_CFO_BeforeWC,1,COLUMN())),1)),6)</f>
        <v>0</v>
      </c>
      <c r="AU648" s="944"/>
      <c r="AV648" s="944"/>
      <c r="AW648" s="944"/>
      <c r="AX648" s="793"/>
    </row>
    <row r="649" spans="1:50" s="29" customFormat="1" x14ac:dyDescent="0.45">
      <c r="A649" s="793" t="s">
        <v>220</v>
      </c>
      <c r="B649" s="791"/>
      <c r="C649" s="942"/>
      <c r="D649" s="942"/>
      <c r="E649" s="942"/>
      <c r="F649" s="942"/>
      <c r="G649" s="942"/>
      <c r="H649" s="942"/>
      <c r="I649" s="942"/>
      <c r="J649" s="942"/>
      <c r="K649" s="942">
        <f ca="1">ROUND(SUM(G527,H527,I527,J527)-SUM(OFFSET(INDEX(MO_CFS_CFI,1,COLUMN()),ROW(INDEX(MO_SubSection_CFS_CFI,1,COLUMN()))-ROW(INDEX(MO_CFS_CFI,1,COLUMN())),0,ROW(INDEX(MO_CFS_CFI,1,COLUMN()))-ROW(INDEX(MO_SubSection_CFS_CFI,1,COLUMN())),1)),6)</f>
        <v>0</v>
      </c>
      <c r="L649" s="942"/>
      <c r="M649" s="942"/>
      <c r="N649" s="942"/>
      <c r="O649" s="942"/>
      <c r="P649" s="942">
        <f ca="1">ROUND(SUM(L527,M527,N527,O527)-SUM(OFFSET(INDEX(MO_CFS_CFI,1,COLUMN()),ROW(INDEX(MO_SubSection_CFS_CFI,1,COLUMN()))-ROW(INDEX(MO_CFS_CFI,1,COLUMN())),0,ROW(INDEX(MO_CFS_CFI,1,COLUMN()))-ROW(INDEX(MO_SubSection_CFS_CFI,1,COLUMN())),1)),6)</f>
        <v>0</v>
      </c>
      <c r="Q649" s="942"/>
      <c r="R649" s="942"/>
      <c r="S649" s="942"/>
      <c r="T649" s="942"/>
      <c r="U649" s="942">
        <f ca="1">ROUND(SUM(Q527,R527,S527,T527)-SUM(OFFSET(INDEX(MO_CFS_CFI,1,COLUMN()),ROW(INDEX(MO_SubSection_CFS_CFI,1,COLUMN()))-ROW(INDEX(MO_CFS_CFI,1,COLUMN())),0,ROW(INDEX(MO_CFS_CFI,1,COLUMN()))-ROW(INDEX(MO_SubSection_CFS_CFI,1,COLUMN())),1)),6)</f>
        <v>0</v>
      </c>
      <c r="V649" s="942"/>
      <c r="W649" s="942"/>
      <c r="X649" s="942"/>
      <c r="Y649" s="942"/>
      <c r="Z649" s="942">
        <f ca="1">ROUND(SUM(V527,W527,X527,Y527)-SUM(OFFSET(INDEX(MO_CFS_CFI,1,COLUMN()),ROW(INDEX(MO_SubSection_CFS_CFI,1,COLUMN()))-ROW(INDEX(MO_CFS_CFI,1,COLUMN())),0,ROW(INDEX(MO_CFS_CFI,1,COLUMN()))-ROW(INDEX(MO_SubSection_CFS_CFI,1,COLUMN())),1)),6)</f>
        <v>0</v>
      </c>
      <c r="AA649" s="942"/>
      <c r="AB649" s="942"/>
      <c r="AC649" s="942"/>
      <c r="AD649" s="942"/>
      <c r="AE649" s="942">
        <f ca="1">ROUND(SUM(AA527,AB527,AC527,AD527)-SUM(OFFSET(INDEX(MO_CFS_CFI,1,COLUMN()),ROW(INDEX(MO_SubSection_CFS_CFI,1,COLUMN()))-ROW(INDEX(MO_CFS_CFI,1,COLUMN())),0,ROW(INDEX(MO_CFS_CFI,1,COLUMN()))-ROW(INDEX(MO_SubSection_CFS_CFI,1,COLUMN())),1)),6)</f>
        <v>0</v>
      </c>
      <c r="AF649" s="942"/>
      <c r="AG649" s="942"/>
      <c r="AH649" s="942"/>
      <c r="AI649" s="942"/>
      <c r="AJ649" s="942">
        <f ca="1">ROUND(SUM(AF527,AG527,AH527,AI527)-SUM(OFFSET(INDEX(MO_CFS_CFI,1,COLUMN()),ROW(INDEX(MO_SubSection_CFS_CFI,1,COLUMN()))-ROW(INDEX(MO_CFS_CFI,1,COLUMN())),0,ROW(INDEX(MO_CFS_CFI,1,COLUMN()))-ROW(INDEX(MO_SubSection_CFS_CFI,1,COLUMN())),1)),6)</f>
        <v>0</v>
      </c>
      <c r="AK649" s="942"/>
      <c r="AL649" s="942"/>
      <c r="AM649" s="943"/>
      <c r="AN649" s="944"/>
      <c r="AO649" s="944">
        <f ca="1">ROUND(SUM(AK527,AL527,AM527,AN527)-SUM(OFFSET(INDEX(MO_CFS_CFI,1,COLUMN()),ROW(INDEX(MO_SubSection_CFS_CFI,1,COLUMN()))-ROW(INDEX(MO_CFS_CFI,1,COLUMN())),0,ROW(INDEX(MO_CFS_CFI,1,COLUMN()))-ROW(INDEX(MO_SubSection_CFS_CFI,1,COLUMN())),1)),6)</f>
        <v>0</v>
      </c>
      <c r="AP649" s="944"/>
      <c r="AQ649" s="944"/>
      <c r="AR649" s="944"/>
      <c r="AS649" s="944"/>
      <c r="AT649" s="944">
        <f ca="1">ROUND(SUM(AP527,AQ527,AR527,AS527)-SUM(OFFSET(INDEX(MO_CFS_CFI,1,COLUMN()),ROW(INDEX(MO_SubSection_CFS_CFI,1,COLUMN()))-ROW(INDEX(MO_CFS_CFI,1,COLUMN())),0,ROW(INDEX(MO_CFS_CFI,1,COLUMN()))-ROW(INDEX(MO_SubSection_CFS_CFI,1,COLUMN())),1)),6)</f>
        <v>0</v>
      </c>
      <c r="AU649" s="944"/>
      <c r="AV649" s="944"/>
      <c r="AW649" s="944"/>
      <c r="AX649" s="793"/>
    </row>
    <row r="650" spans="1:50" s="29" customFormat="1" x14ac:dyDescent="0.45">
      <c r="A650" s="793" t="s">
        <v>221</v>
      </c>
      <c r="B650" s="791"/>
      <c r="C650" s="942"/>
      <c r="D650" s="942"/>
      <c r="E650" s="942"/>
      <c r="F650" s="942"/>
      <c r="G650" s="942"/>
      <c r="H650" s="942"/>
      <c r="I650" s="942"/>
      <c r="J650" s="942"/>
      <c r="K650" s="942">
        <f ca="1">ROUND(SUM(G538,H538,I538,J538)-SUM(OFFSET(INDEX(MO_CFS_CFF,1,COLUMN()),ROW(INDEX(MO_SubSection_CFS_CFF,1,COLUMN()))-ROW(INDEX(MO_CFS_CFF,1,COLUMN())),0,ROW(INDEX(MO_CFS_CFF,1,COLUMN()))-ROW(INDEX(MO_SubSection_CFS_CFF,1,COLUMN())),1)),6)</f>
        <v>0</v>
      </c>
      <c r="L650" s="942"/>
      <c r="M650" s="942"/>
      <c r="N650" s="942"/>
      <c r="O650" s="942"/>
      <c r="P650" s="942">
        <f ca="1">ROUND(SUM(L538,M538,N538,O538)-SUM(OFFSET(INDEX(MO_CFS_CFF,1,COLUMN()),ROW(INDEX(MO_SubSection_CFS_CFF,1,COLUMN()))-ROW(INDEX(MO_CFS_CFF,1,COLUMN())),0,ROW(INDEX(MO_CFS_CFF,1,COLUMN()))-ROW(INDEX(MO_SubSection_CFS_CFF,1,COLUMN())),1)),6)</f>
        <v>0</v>
      </c>
      <c r="Q650" s="942"/>
      <c r="R650" s="942"/>
      <c r="S650" s="942"/>
      <c r="T650" s="942"/>
      <c r="U650" s="942">
        <f ca="1">ROUND(SUM(Q538,R538,S538,T538)-SUM(OFFSET(INDEX(MO_CFS_CFF,1,COLUMN()),ROW(INDEX(MO_SubSection_CFS_CFF,1,COLUMN()))-ROW(INDEX(MO_CFS_CFF,1,COLUMN())),0,ROW(INDEX(MO_CFS_CFF,1,COLUMN()))-ROW(INDEX(MO_SubSection_CFS_CFF,1,COLUMN())),1)),6)</f>
        <v>0</v>
      </c>
      <c r="V650" s="942"/>
      <c r="W650" s="942"/>
      <c r="X650" s="942"/>
      <c r="Y650" s="942"/>
      <c r="Z650" s="942">
        <f ca="1">ROUND(SUM(V538,W538,X538,Y538)-SUM(OFFSET(INDEX(MO_CFS_CFF,1,COLUMN()),ROW(INDEX(MO_SubSection_CFS_CFF,1,COLUMN()))-ROW(INDEX(MO_CFS_CFF,1,COLUMN())),0,ROW(INDEX(MO_CFS_CFF,1,COLUMN()))-ROW(INDEX(MO_SubSection_CFS_CFF,1,COLUMN())),1)),6)</f>
        <v>0</v>
      </c>
      <c r="AA650" s="942"/>
      <c r="AB650" s="942"/>
      <c r="AC650" s="942"/>
      <c r="AD650" s="942"/>
      <c r="AE650" s="942">
        <f ca="1">ROUND(SUM(AA538,AB538,AC538,AD538)-SUM(OFFSET(INDEX(MO_CFS_CFF,1,COLUMN()),ROW(INDEX(MO_SubSection_CFS_CFF,1,COLUMN()))-ROW(INDEX(MO_CFS_CFF,1,COLUMN())),0,ROW(INDEX(MO_CFS_CFF,1,COLUMN()))-ROW(INDEX(MO_SubSection_CFS_CFF,1,COLUMN())),1)),6)</f>
        <v>0</v>
      </c>
      <c r="AF650" s="942"/>
      <c r="AG650" s="942"/>
      <c r="AH650" s="942"/>
      <c r="AI650" s="942"/>
      <c r="AJ650" s="942">
        <f ca="1">ROUND(SUM(AF538,AG538,AH538,AI538)-SUM(OFFSET(INDEX(MO_CFS_CFF,1,COLUMN()),ROW(INDEX(MO_SubSection_CFS_CFF,1,COLUMN()))-ROW(INDEX(MO_CFS_CFF,1,COLUMN())),0,ROW(INDEX(MO_CFS_CFF,1,COLUMN()))-ROW(INDEX(MO_SubSection_CFS_CFF,1,COLUMN())),1)),6)</f>
        <v>0</v>
      </c>
      <c r="AK650" s="942"/>
      <c r="AL650" s="942"/>
      <c r="AM650" s="943"/>
      <c r="AN650" s="944"/>
      <c r="AO650" s="944">
        <f ca="1">ROUND(SUM(AK538,AL538,AM538,AN538)-SUM(OFFSET(INDEX(MO_CFS_CFF,1,COLUMN()),ROW(INDEX(MO_SubSection_CFS_CFF,1,COLUMN()))-ROW(INDEX(MO_CFS_CFF,1,COLUMN())),0,ROW(INDEX(MO_CFS_CFF,1,COLUMN()))-ROW(INDEX(MO_SubSection_CFS_CFF,1,COLUMN())),1)),6)</f>
        <v>0</v>
      </c>
      <c r="AP650" s="944"/>
      <c r="AQ650" s="944"/>
      <c r="AR650" s="944"/>
      <c r="AS650" s="944"/>
      <c r="AT650" s="944">
        <f ca="1">ROUND(SUM(AP538,AQ538,AR538,AS538)-SUM(OFFSET(INDEX(MO_CFS_CFF,1,COLUMN()),ROW(INDEX(MO_SubSection_CFS_CFF,1,COLUMN()))-ROW(INDEX(MO_CFS_CFF,1,COLUMN())),0,ROW(INDEX(MO_CFS_CFF,1,COLUMN()))-ROW(INDEX(MO_SubSection_CFS_CFF,1,COLUMN())),1)),6)</f>
        <v>0</v>
      </c>
      <c r="AU650" s="944"/>
      <c r="AV650" s="944"/>
      <c r="AW650" s="944"/>
      <c r="AX650" s="793"/>
    </row>
    <row r="651" spans="1:50" s="29" customFormat="1" x14ac:dyDescent="0.45">
      <c r="A651" s="793" t="s">
        <v>222</v>
      </c>
      <c r="B651" s="791"/>
      <c r="C651" s="942"/>
      <c r="D651" s="942"/>
      <c r="E651" s="942"/>
      <c r="F651" s="942"/>
      <c r="G651" s="942"/>
      <c r="H651" s="942"/>
      <c r="I651" s="942"/>
      <c r="J651" s="942"/>
      <c r="K651" s="942">
        <f>ROUND(SUM(INDEX(MO_CFSum_Acquisition,0,COLUMN()),INDEX(MO_CFSum_Capex,0,COLUMN()),INDEX(MO_CFSum_Divestiture,0,COLUMN()),INDEX(MO_CFSum_Dividend,0,COLUMN()))-SUM(G362,H362,I362,J362,G363,H363,I363,J363,G364,H364,I364,J364)-SUM(G359,H359,I359,J359),6)</f>
        <v>0</v>
      </c>
      <c r="L651" s="942"/>
      <c r="M651" s="942"/>
      <c r="N651" s="942"/>
      <c r="O651" s="942"/>
      <c r="P651" s="942">
        <f>ROUND(SUM(INDEX(MO_CFSum_Acquisition,0,COLUMN()),INDEX(MO_CFSum_Capex,0,COLUMN()),INDEX(MO_CFSum_Divestiture,0,COLUMN()),INDEX(MO_CFSum_Dividend,0,COLUMN()))-SUM(L362,M362,N362,O362,L363,M363,N363,O363,L364,M364,N364,O364)-SUM(L359,M359,N359,O359),6)</f>
        <v>0</v>
      </c>
      <c r="Q651" s="942"/>
      <c r="R651" s="942"/>
      <c r="S651" s="942"/>
      <c r="T651" s="942"/>
      <c r="U651" s="942">
        <f>ROUND(SUM(INDEX(MO_CFSum_Acquisition,0,COLUMN()),INDEX(MO_CFSum_Capex,0,COLUMN()),INDEX(MO_CFSum_Divestiture,0,COLUMN()),INDEX(MO_CFSum_Dividend,0,COLUMN()))-SUM(Q362,R362,S362,T362,Q363,R363,S363,T363,Q364,R364,S364,T364)-SUM(Q359,R359,S359,T359),6)</f>
        <v>0</v>
      </c>
      <c r="V651" s="942"/>
      <c r="W651" s="942"/>
      <c r="X651" s="942"/>
      <c r="Y651" s="942"/>
      <c r="Z651" s="942">
        <f>ROUND(SUM(INDEX(MO_CFSum_Acquisition,0,COLUMN()),INDEX(MO_CFSum_Capex,0,COLUMN()),INDEX(MO_CFSum_Divestiture,0,COLUMN()),INDEX(MO_CFSum_Dividend,0,COLUMN()))-SUM(V362,W362,X362,Y362,V363,W363,X363,Y363,V364,W364,X364,Y364)-SUM(V359,W359,X359,Y359),6)</f>
        <v>0</v>
      </c>
      <c r="AA651" s="942"/>
      <c r="AB651" s="942"/>
      <c r="AC651" s="942"/>
      <c r="AD651" s="942"/>
      <c r="AE651" s="942">
        <f>ROUND(SUM(INDEX(MO_CFSum_Acquisition,0,COLUMN()),INDEX(MO_CFSum_Capex,0,COLUMN()),INDEX(MO_CFSum_Divestiture,0,COLUMN()),INDEX(MO_CFSum_Dividend,0,COLUMN()))-SUM(AA362,AB362,AC362,AD362,AA363,AB363,AC363,AD363,AA364,AB364,AC364,AD364)-SUM(AA359,AB359,AC359,AD359),6)</f>
        <v>0</v>
      </c>
      <c r="AF651" s="942"/>
      <c r="AG651" s="942"/>
      <c r="AH651" s="942"/>
      <c r="AI651" s="942"/>
      <c r="AJ651" s="942">
        <f>ROUND(SUM(INDEX(MO_CFSum_Acquisition,0,COLUMN()),INDEX(MO_CFSum_Capex,0,COLUMN()),INDEX(MO_CFSum_Divestiture,0,COLUMN()),INDEX(MO_CFSum_Dividend,0,COLUMN()))-SUM(AF362,AG362,AH362,AI362,AF363,AG363,AH363,AI363,AF364,AG364,AH364,AI364)-SUM(AF359,AG359,AH359,AI359),6)</f>
        <v>0</v>
      </c>
      <c r="AK651" s="942"/>
      <c r="AL651" s="942"/>
      <c r="AM651" s="943"/>
      <c r="AN651" s="944"/>
      <c r="AO651" s="944">
        <f ca="1">ROUND(SUM(INDEX(MO_CFSum_Acquisition,0,COLUMN()),INDEX(MO_CFSum_Capex,0,COLUMN()),INDEX(MO_CFSum_Divestiture,0,COLUMN()),INDEX(MO_CFSum_Dividend,0,COLUMN()))-SUM(AK362,AL362,AM362,AN362,AK363,AL363,AM363,AN363,AK364,AL364,AM364,AN364)-SUM(AK359,AL359,AM359,AN359),6)</f>
        <v>0</v>
      </c>
      <c r="AP651" s="944"/>
      <c r="AQ651" s="944"/>
      <c r="AR651" s="944"/>
      <c r="AS651" s="944"/>
      <c r="AT651" s="944">
        <f ca="1">ROUND(SUM(INDEX(MO_CFSum_Acquisition,0,COLUMN()),INDEX(MO_CFSum_Capex,0,COLUMN()),INDEX(MO_CFSum_Divestiture,0,COLUMN()),INDEX(MO_CFSum_Dividend,0,COLUMN()))-SUM(AP362,AQ362,AR362,AS362,AP363,AQ363,AR363,AS363,AP364,AQ364,AR364,AS364)-SUM(AP359,AQ359,AR359,AS359),6)</f>
        <v>0</v>
      </c>
      <c r="AU651" s="944"/>
      <c r="AV651" s="944"/>
      <c r="AW651" s="944"/>
      <c r="AX651" s="793"/>
    </row>
    <row r="652" spans="1:50" s="29" customFormat="1" x14ac:dyDescent="0.45">
      <c r="A652" s="793"/>
      <c r="B652" s="791"/>
      <c r="C652" s="816"/>
      <c r="D652" s="816"/>
      <c r="E652" s="816"/>
      <c r="F652" s="816"/>
      <c r="G652" s="816"/>
      <c r="H652" s="816"/>
      <c r="I652" s="816"/>
      <c r="J652" s="816"/>
      <c r="K652" s="816"/>
      <c r="L652" s="816"/>
      <c r="M652" s="816"/>
      <c r="N652" s="816"/>
      <c r="O652" s="816"/>
      <c r="P652" s="816"/>
      <c r="Q652" s="816"/>
      <c r="R652" s="816"/>
      <c r="S652" s="816"/>
      <c r="T652" s="816"/>
      <c r="U652" s="816"/>
      <c r="V652" s="816"/>
      <c r="W652" s="816"/>
      <c r="X652" s="841"/>
      <c r="Y652" s="841"/>
      <c r="Z652" s="841"/>
      <c r="AA652" s="841"/>
      <c r="AB652" s="816"/>
      <c r="AC652" s="841"/>
      <c r="AD652" s="841"/>
      <c r="AE652" s="841"/>
      <c r="AF652" s="841"/>
      <c r="AG652" s="816"/>
      <c r="AH652" s="841"/>
      <c r="AI652" s="841"/>
      <c r="AJ652" s="841"/>
      <c r="AK652" s="841"/>
      <c r="AL652" s="816"/>
      <c r="AM652" s="941"/>
      <c r="AN652" s="843"/>
      <c r="AO652" s="843"/>
      <c r="AP652" s="843"/>
      <c r="AQ652" s="843"/>
      <c r="AR652" s="843"/>
      <c r="AS652" s="843"/>
      <c r="AT652" s="843"/>
      <c r="AU652" s="843"/>
      <c r="AV652" s="843"/>
      <c r="AW652" s="843"/>
      <c r="AX652" s="793"/>
    </row>
    <row r="653" spans="1:50" s="7" customFormat="1" x14ac:dyDescent="0.45">
      <c r="A653" s="802" t="s">
        <v>223</v>
      </c>
      <c r="B653" s="802"/>
      <c r="C653" s="801"/>
      <c r="D653" s="801"/>
      <c r="E653" s="801"/>
      <c r="F653" s="801"/>
      <c r="G653" s="801"/>
      <c r="H653" s="801"/>
      <c r="I653" s="801"/>
      <c r="J653" s="801"/>
      <c r="K653" s="801"/>
      <c r="L653" s="801"/>
      <c r="M653" s="801"/>
      <c r="N653" s="801"/>
      <c r="O653" s="801"/>
      <c r="P653" s="801"/>
      <c r="Q653" s="801"/>
      <c r="R653" s="801"/>
      <c r="S653" s="801"/>
      <c r="T653" s="801"/>
      <c r="U653" s="801"/>
      <c r="V653" s="801"/>
      <c r="W653" s="801"/>
      <c r="X653" s="801"/>
      <c r="Y653" s="801"/>
      <c r="Z653" s="801"/>
      <c r="AA653" s="801"/>
      <c r="AB653" s="801"/>
      <c r="AC653" s="801"/>
      <c r="AD653" s="801"/>
      <c r="AE653" s="801"/>
      <c r="AF653" s="801"/>
      <c r="AG653" s="801"/>
      <c r="AH653" s="801"/>
      <c r="AI653" s="801"/>
      <c r="AJ653" s="801"/>
      <c r="AK653" s="801"/>
      <c r="AL653" s="801"/>
      <c r="AM653" s="620"/>
      <c r="AN653" s="802"/>
      <c r="AO653" s="802"/>
      <c r="AP653" s="802"/>
      <c r="AQ653" s="802"/>
      <c r="AR653" s="802"/>
      <c r="AS653" s="802"/>
      <c r="AT653" s="802"/>
      <c r="AU653" s="802"/>
      <c r="AV653" s="802"/>
      <c r="AW653" s="802"/>
      <c r="AX653" s="795"/>
    </row>
    <row r="654" spans="1:50" s="29" customFormat="1" x14ac:dyDescent="0.45">
      <c r="A654" s="505"/>
      <c r="B654" s="793"/>
      <c r="C654" s="553"/>
      <c r="D654" s="553"/>
      <c r="E654" s="792"/>
      <c r="F654" s="792"/>
      <c r="G654" s="792"/>
      <c r="H654" s="792"/>
      <c r="I654" s="792"/>
      <c r="J654" s="792"/>
      <c r="K654" s="792"/>
      <c r="L654" s="792"/>
      <c r="M654" s="792"/>
      <c r="N654" s="792"/>
      <c r="O654" s="792"/>
      <c r="P654" s="792"/>
      <c r="Q654" s="792"/>
      <c r="R654" s="792"/>
      <c r="S654" s="792"/>
      <c r="T654" s="792"/>
      <c r="U654" s="792"/>
      <c r="V654" s="792"/>
      <c r="W654" s="792"/>
      <c r="X654" s="792"/>
      <c r="Y654" s="792"/>
      <c r="Z654" s="792"/>
      <c r="AA654" s="792"/>
      <c r="AB654" s="792"/>
      <c r="AC654" s="792"/>
      <c r="AD654" s="792"/>
      <c r="AE654" s="792"/>
      <c r="AF654" s="792"/>
      <c r="AG654" s="792"/>
      <c r="AH654" s="792"/>
      <c r="AI654" s="792"/>
      <c r="AJ654" s="792"/>
      <c r="AK654" s="792"/>
      <c r="AL654" s="792"/>
      <c r="AM654" s="803"/>
      <c r="AN654" s="793"/>
      <c r="AO654" s="793"/>
      <c r="AP654" s="793"/>
      <c r="AQ654" s="793"/>
      <c r="AR654" s="793"/>
      <c r="AS654" s="793"/>
      <c r="AT654" s="793"/>
      <c r="AU654" s="793"/>
      <c r="AV654" s="793"/>
      <c r="AW654" s="793"/>
      <c r="AX654" s="793"/>
    </row>
    <row r="655" spans="1:50" s="71" customFormat="1" x14ac:dyDescent="0.45">
      <c r="A655" s="533" t="s">
        <v>224</v>
      </c>
      <c r="B655" s="506"/>
      <c r="C655" s="554"/>
      <c r="D655" s="554"/>
      <c r="E655" s="389"/>
      <c r="F655" s="389"/>
      <c r="G655" s="389"/>
      <c r="H655" s="389"/>
      <c r="I655" s="389"/>
      <c r="J655" s="389"/>
      <c r="K655" s="389"/>
      <c r="L655" s="389"/>
      <c r="M655" s="389"/>
      <c r="N655" s="389"/>
      <c r="O655" s="389"/>
      <c r="P655" s="389"/>
      <c r="Q655" s="389"/>
      <c r="R655" s="389"/>
      <c r="S655" s="389"/>
      <c r="T655" s="389"/>
      <c r="U655" s="389"/>
      <c r="V655" s="389"/>
      <c r="W655" s="389"/>
      <c r="X655" s="389"/>
      <c r="Y655" s="389"/>
      <c r="Z655" s="389"/>
      <c r="AA655" s="389"/>
      <c r="AB655" s="389"/>
      <c r="AC655" s="389"/>
      <c r="AD655" s="389"/>
      <c r="AE655" s="389"/>
      <c r="AF655" s="389"/>
      <c r="AG655" s="389"/>
      <c r="AH655" s="389"/>
      <c r="AI655" s="389"/>
      <c r="AJ655" s="389"/>
      <c r="AK655" s="389"/>
      <c r="AL655" s="389"/>
      <c r="AM655" s="559"/>
      <c r="AN655" s="70"/>
      <c r="AO655" s="70"/>
      <c r="AP655" s="70"/>
      <c r="AQ655" s="70"/>
      <c r="AR655" s="70"/>
      <c r="AS655" s="70"/>
      <c r="AT655" s="70"/>
      <c r="AU655" s="70"/>
      <c r="AV655" s="70"/>
      <c r="AW655" s="70"/>
      <c r="AX655" s="70"/>
    </row>
    <row r="656" spans="1:50" s="73" customFormat="1" x14ac:dyDescent="0.45">
      <c r="A656" s="534" t="s">
        <v>225</v>
      </c>
      <c r="B656" s="507"/>
      <c r="C656" s="555"/>
      <c r="D656" s="555"/>
      <c r="E656" s="390"/>
      <c r="F656" s="390"/>
      <c r="G656" s="390"/>
      <c r="H656" s="390"/>
      <c r="I656" s="390"/>
      <c r="J656" s="390"/>
      <c r="K656" s="390"/>
      <c r="L656" s="390"/>
      <c r="M656" s="390"/>
      <c r="N656" s="390"/>
      <c r="O656" s="390"/>
      <c r="P656" s="390"/>
      <c r="Q656" s="390"/>
      <c r="R656" s="390"/>
      <c r="S656" s="390"/>
      <c r="T656" s="390"/>
      <c r="U656" s="390"/>
      <c r="V656" s="390"/>
      <c r="W656" s="390"/>
      <c r="X656" s="390"/>
      <c r="Y656" s="390"/>
      <c r="Z656" s="390"/>
      <c r="AA656" s="390"/>
      <c r="AB656" s="390"/>
      <c r="AC656" s="390"/>
      <c r="AD656" s="390"/>
      <c r="AE656" s="390"/>
      <c r="AF656" s="390"/>
      <c r="AG656" s="390"/>
      <c r="AH656" s="390"/>
      <c r="AI656" s="390"/>
      <c r="AJ656" s="390"/>
      <c r="AK656" s="390"/>
      <c r="AL656" s="390"/>
      <c r="AM656" s="560"/>
      <c r="AN656" s="72"/>
      <c r="AO656" s="72"/>
      <c r="AP656" s="72"/>
      <c r="AQ656" s="72"/>
      <c r="AR656" s="72"/>
      <c r="AS656" s="72"/>
      <c r="AT656" s="72"/>
      <c r="AU656" s="72"/>
      <c r="AV656" s="72"/>
      <c r="AW656" s="72"/>
      <c r="AX656" s="72"/>
    </row>
    <row r="657" spans="1:50" s="73" customFormat="1" x14ac:dyDescent="0.45">
      <c r="A657" s="535" t="s">
        <v>226</v>
      </c>
      <c r="B657" s="507"/>
      <c r="C657" s="555"/>
      <c r="D657" s="555"/>
      <c r="E657" s="390"/>
      <c r="F657" s="390"/>
      <c r="G657" s="390"/>
      <c r="H657" s="390"/>
      <c r="I657" s="390"/>
      <c r="J657" s="390"/>
      <c r="K657" s="390"/>
      <c r="L657" s="390"/>
      <c r="M657" s="390"/>
      <c r="N657" s="390"/>
      <c r="O657" s="390"/>
      <c r="P657" s="390"/>
      <c r="Q657" s="390"/>
      <c r="R657" s="390"/>
      <c r="S657" s="390"/>
      <c r="T657" s="390"/>
      <c r="U657" s="390"/>
      <c r="V657" s="390"/>
      <c r="W657" s="390"/>
      <c r="X657" s="390"/>
      <c r="Y657" s="390"/>
      <c r="Z657" s="390"/>
      <c r="AA657" s="390"/>
      <c r="AB657" s="390"/>
      <c r="AC657" s="390"/>
      <c r="AD657" s="390"/>
      <c r="AE657" s="390"/>
      <c r="AF657" s="390"/>
      <c r="AG657" s="390"/>
      <c r="AH657" s="390"/>
      <c r="AI657" s="390"/>
      <c r="AJ657" s="390"/>
      <c r="AK657" s="390"/>
      <c r="AL657" s="390"/>
      <c r="AM657" s="560"/>
      <c r="AN657" s="72"/>
      <c r="AO657" s="72"/>
      <c r="AP657" s="72"/>
      <c r="AQ657" s="72"/>
      <c r="AR657" s="72"/>
      <c r="AS657" s="72"/>
      <c r="AT657" s="72"/>
      <c r="AU657" s="72"/>
      <c r="AV657" s="72"/>
      <c r="AW657" s="72"/>
      <c r="AX657" s="72"/>
    </row>
    <row r="658" spans="1:50" s="73" customFormat="1" x14ac:dyDescent="0.45">
      <c r="A658" s="536" t="s">
        <v>227</v>
      </c>
      <c r="B658" s="507"/>
      <c r="C658" s="555"/>
      <c r="D658" s="555"/>
      <c r="E658" s="390"/>
      <c r="F658" s="390"/>
      <c r="G658" s="390"/>
      <c r="H658" s="390"/>
      <c r="I658" s="390"/>
      <c r="J658" s="390"/>
      <c r="K658" s="390"/>
      <c r="L658" s="390"/>
      <c r="M658" s="390"/>
      <c r="N658" s="390"/>
      <c r="O658" s="390"/>
      <c r="P658" s="390"/>
      <c r="Q658" s="390"/>
      <c r="R658" s="390"/>
      <c r="S658" s="390"/>
      <c r="T658" s="390"/>
      <c r="U658" s="390"/>
      <c r="V658" s="390"/>
      <c r="W658" s="390"/>
      <c r="X658" s="390"/>
      <c r="Y658" s="390"/>
      <c r="Z658" s="390"/>
      <c r="AA658" s="390"/>
      <c r="AB658" s="390"/>
      <c r="AC658" s="390"/>
      <c r="AD658" s="390"/>
      <c r="AE658" s="390"/>
      <c r="AF658" s="390"/>
      <c r="AG658" s="390"/>
      <c r="AH658" s="390"/>
      <c r="AI658" s="390"/>
      <c r="AJ658" s="390"/>
      <c r="AK658" s="390"/>
      <c r="AL658" s="390"/>
      <c r="AM658" s="560"/>
      <c r="AN658" s="72"/>
      <c r="AO658" s="72"/>
      <c r="AP658" s="72"/>
      <c r="AQ658" s="72"/>
      <c r="AR658" s="72"/>
      <c r="AS658" s="72"/>
      <c r="AT658" s="72"/>
      <c r="AU658" s="72"/>
      <c r="AV658" s="72"/>
      <c r="AW658" s="72"/>
      <c r="AX658" s="72"/>
    </row>
    <row r="659" spans="1:50" s="73" customFormat="1" x14ac:dyDescent="0.45">
      <c r="A659" s="537" t="s">
        <v>228</v>
      </c>
      <c r="B659" s="507"/>
      <c r="C659" s="555"/>
      <c r="D659" s="555"/>
      <c r="E659" s="390"/>
      <c r="F659" s="390"/>
      <c r="G659" s="390"/>
      <c r="H659" s="390"/>
      <c r="I659" s="390"/>
      <c r="J659" s="390"/>
      <c r="K659" s="390"/>
      <c r="L659" s="390"/>
      <c r="M659" s="390"/>
      <c r="N659" s="390"/>
      <c r="O659" s="390"/>
      <c r="P659" s="390"/>
      <c r="Q659" s="390"/>
      <c r="R659" s="390"/>
      <c r="S659" s="390"/>
      <c r="T659" s="390"/>
      <c r="U659" s="390"/>
      <c r="V659" s="390"/>
      <c r="W659" s="390"/>
      <c r="X659" s="390"/>
      <c r="Y659" s="390"/>
      <c r="Z659" s="390"/>
      <c r="AA659" s="390"/>
      <c r="AB659" s="390"/>
      <c r="AC659" s="390"/>
      <c r="AD659" s="390"/>
      <c r="AE659" s="390"/>
      <c r="AF659" s="390"/>
      <c r="AG659" s="390"/>
      <c r="AH659" s="390"/>
      <c r="AI659" s="390"/>
      <c r="AJ659" s="390"/>
      <c r="AK659" s="390"/>
      <c r="AL659" s="390"/>
      <c r="AM659" s="560"/>
      <c r="AN659" s="72"/>
      <c r="AO659" s="72"/>
      <c r="AP659" s="72"/>
      <c r="AQ659" s="72"/>
      <c r="AR659" s="72"/>
      <c r="AS659" s="72"/>
      <c r="AT659" s="72"/>
      <c r="AU659" s="72"/>
      <c r="AV659" s="72"/>
      <c r="AW659" s="72"/>
      <c r="AX659" s="72"/>
    </row>
    <row r="660" spans="1:50" s="73" customFormat="1" x14ac:dyDescent="0.45">
      <c r="A660" s="508"/>
      <c r="B660" s="485"/>
      <c r="C660" s="555"/>
      <c r="D660" s="555"/>
      <c r="E660" s="390"/>
      <c r="F660" s="390"/>
      <c r="G660" s="390"/>
      <c r="H660" s="390"/>
      <c r="I660" s="390"/>
      <c r="J660" s="390"/>
      <c r="K660" s="390"/>
      <c r="L660" s="390"/>
      <c r="M660" s="390"/>
      <c r="N660" s="390"/>
      <c r="O660" s="390"/>
      <c r="P660" s="390"/>
      <c r="Q660" s="390"/>
      <c r="R660" s="390"/>
      <c r="S660" s="390"/>
      <c r="T660" s="390"/>
      <c r="U660" s="390"/>
      <c r="V660" s="390"/>
      <c r="W660" s="390"/>
      <c r="X660" s="390"/>
      <c r="Y660" s="390"/>
      <c r="Z660" s="390"/>
      <c r="AA660" s="390"/>
      <c r="AB660" s="390"/>
      <c r="AC660" s="390"/>
      <c r="AD660" s="390"/>
      <c r="AE660" s="390"/>
      <c r="AF660" s="390"/>
      <c r="AG660" s="390"/>
      <c r="AH660" s="390"/>
      <c r="AI660" s="390"/>
      <c r="AJ660" s="390"/>
      <c r="AK660" s="390"/>
      <c r="AL660" s="390"/>
      <c r="AM660" s="560"/>
      <c r="AN660" s="72"/>
      <c r="AO660" s="72"/>
      <c r="AP660" s="72"/>
      <c r="AQ660" s="72"/>
      <c r="AR660" s="72"/>
      <c r="AS660" s="72"/>
      <c r="AT660" s="72"/>
      <c r="AU660" s="72"/>
      <c r="AV660" s="72"/>
      <c r="AW660" s="72"/>
      <c r="AX660" s="72"/>
    </row>
    <row r="661" spans="1:50" s="49" customFormat="1" x14ac:dyDescent="0.45">
      <c r="A661" s="538" t="s">
        <v>229</v>
      </c>
      <c r="B661" s="575"/>
      <c r="C661" s="391"/>
      <c r="D661" s="391"/>
      <c r="E661" s="391"/>
      <c r="F661" s="391"/>
      <c r="G661" s="391"/>
      <c r="H661" s="391"/>
      <c r="I661" s="391"/>
      <c r="J661" s="391"/>
      <c r="K661" s="391"/>
      <c r="L661" s="391"/>
      <c r="M661" s="391"/>
      <c r="N661" s="391"/>
      <c r="O661" s="391"/>
      <c r="P661" s="391"/>
      <c r="Q661" s="391"/>
      <c r="R661" s="391"/>
      <c r="S661" s="391"/>
      <c r="T661" s="391"/>
      <c r="U661" s="391"/>
      <c r="V661" s="391"/>
      <c r="W661" s="391"/>
      <c r="X661" s="391"/>
      <c r="Y661" s="391"/>
      <c r="Z661" s="391"/>
      <c r="AA661" s="391"/>
      <c r="AB661" s="391"/>
      <c r="AC661" s="391"/>
      <c r="AD661" s="391"/>
      <c r="AE661" s="391"/>
      <c r="AF661" s="391"/>
      <c r="AG661" s="391"/>
      <c r="AH661" s="391"/>
      <c r="AI661" s="391"/>
      <c r="AJ661" s="391"/>
      <c r="AK661" s="391"/>
      <c r="AL661" s="391"/>
      <c r="AM661" s="561"/>
      <c r="AN661" s="74"/>
      <c r="AO661" s="74"/>
      <c r="AP661" s="74"/>
      <c r="AQ661" s="74"/>
      <c r="AR661" s="74"/>
      <c r="AS661" s="74"/>
      <c r="AT661" s="74"/>
      <c r="AU661" s="74"/>
      <c r="AV661" s="74"/>
      <c r="AW661" s="74"/>
      <c r="AX661" s="74"/>
    </row>
    <row r="662" spans="1:50" s="73" customFormat="1" x14ac:dyDescent="0.45">
      <c r="A662" s="531" t="s">
        <v>230</v>
      </c>
      <c r="B662" s="576">
        <v>1</v>
      </c>
      <c r="C662" s="390"/>
      <c r="D662" s="555"/>
      <c r="E662" s="390"/>
      <c r="F662" s="390"/>
      <c r="G662" s="390"/>
      <c r="H662" s="390"/>
      <c r="I662" s="390"/>
      <c r="J662" s="390"/>
      <c r="K662" s="390"/>
      <c r="L662" s="390"/>
      <c r="M662" s="390"/>
      <c r="N662" s="390"/>
      <c r="O662" s="390"/>
      <c r="P662" s="390"/>
      <c r="Q662" s="390"/>
      <c r="R662" s="390"/>
      <c r="S662" s="390"/>
      <c r="T662" s="390"/>
      <c r="U662" s="390"/>
      <c r="V662" s="390"/>
      <c r="W662" s="390"/>
      <c r="X662" s="390"/>
      <c r="Y662" s="390"/>
      <c r="Z662" s="390"/>
      <c r="AA662" s="390"/>
      <c r="AB662" s="390"/>
      <c r="AC662" s="390"/>
      <c r="AD662" s="390"/>
      <c r="AE662" s="390"/>
      <c r="AF662" s="390"/>
      <c r="AG662" s="390"/>
      <c r="AH662" s="390"/>
      <c r="AI662" s="390"/>
      <c r="AJ662" s="390"/>
      <c r="AK662" s="390"/>
      <c r="AL662" s="390"/>
      <c r="AM662" s="560"/>
      <c r="AN662" s="72"/>
      <c r="AO662" s="72"/>
      <c r="AP662" s="72"/>
      <c r="AQ662" s="72"/>
      <c r="AR662" s="72"/>
      <c r="AS662" s="72"/>
      <c r="AT662" s="72"/>
      <c r="AU662" s="72"/>
      <c r="AV662" s="72"/>
      <c r="AW662" s="72"/>
      <c r="AX662" s="72"/>
    </row>
    <row r="663" spans="1:50" s="73" customFormat="1" x14ac:dyDescent="0.45">
      <c r="A663" s="531" t="s">
        <v>231</v>
      </c>
      <c r="B663" s="576">
        <v>2</v>
      </c>
      <c r="C663" s="390"/>
      <c r="D663" s="555"/>
      <c r="E663" s="390"/>
      <c r="F663" s="390"/>
      <c r="G663" s="390"/>
      <c r="H663" s="390"/>
      <c r="I663" s="390"/>
      <c r="J663" s="390"/>
      <c r="K663" s="390"/>
      <c r="L663" s="390"/>
      <c r="M663" s="390"/>
      <c r="N663" s="390"/>
      <c r="O663" s="390"/>
      <c r="P663" s="390"/>
      <c r="Q663" s="390"/>
      <c r="R663" s="390"/>
      <c r="S663" s="390"/>
      <c r="T663" s="390"/>
      <c r="U663" s="390"/>
      <c r="V663" s="390"/>
      <c r="W663" s="390"/>
      <c r="X663" s="390"/>
      <c r="Y663" s="390"/>
      <c r="Z663" s="390"/>
      <c r="AA663" s="390"/>
      <c r="AB663" s="390"/>
      <c r="AC663" s="390"/>
      <c r="AD663" s="390"/>
      <c r="AE663" s="390"/>
      <c r="AF663" s="390"/>
      <c r="AG663" s="390"/>
      <c r="AH663" s="390"/>
      <c r="AI663" s="390"/>
      <c r="AJ663" s="390"/>
      <c r="AK663" s="390"/>
      <c r="AL663" s="390"/>
      <c r="AM663" s="560"/>
      <c r="AN663" s="72"/>
      <c r="AO663" s="72"/>
      <c r="AP663" s="72"/>
      <c r="AQ663" s="72"/>
      <c r="AR663" s="72"/>
      <c r="AS663" s="72"/>
      <c r="AT663" s="72"/>
      <c r="AU663" s="72"/>
      <c r="AV663" s="72"/>
      <c r="AW663" s="72"/>
      <c r="AX663" s="72"/>
    </row>
    <row r="664" spans="1:50" s="73" customFormat="1" x14ac:dyDescent="0.45">
      <c r="A664" s="532" t="s">
        <v>108</v>
      </c>
      <c r="B664" s="577">
        <v>3</v>
      </c>
      <c r="C664" s="390"/>
      <c r="D664" s="555"/>
      <c r="E664" s="390"/>
      <c r="F664" s="390"/>
      <c r="G664" s="390"/>
      <c r="H664" s="390"/>
      <c r="I664" s="390"/>
      <c r="J664" s="390"/>
      <c r="K664" s="390"/>
      <c r="L664" s="390"/>
      <c r="M664" s="390"/>
      <c r="N664" s="390"/>
      <c r="O664" s="390"/>
      <c r="P664" s="390"/>
      <c r="Q664" s="390"/>
      <c r="R664" s="390"/>
      <c r="S664" s="390"/>
      <c r="T664" s="390"/>
      <c r="U664" s="390"/>
      <c r="V664" s="390"/>
      <c r="W664" s="390"/>
      <c r="X664" s="390"/>
      <c r="Y664" s="390"/>
      <c r="Z664" s="390"/>
      <c r="AA664" s="390"/>
      <c r="AB664" s="390"/>
      <c r="AC664" s="390"/>
      <c r="AD664" s="390"/>
      <c r="AE664" s="390"/>
      <c r="AF664" s="390"/>
      <c r="AG664" s="390"/>
      <c r="AH664" s="390"/>
      <c r="AI664" s="390"/>
      <c r="AJ664" s="390"/>
      <c r="AK664" s="390"/>
      <c r="AL664" s="390"/>
      <c r="AM664" s="560"/>
      <c r="AN664" s="72"/>
      <c r="AO664" s="72"/>
      <c r="AP664" s="72"/>
      <c r="AQ664" s="72"/>
      <c r="AR664" s="72"/>
      <c r="AS664" s="72"/>
      <c r="AT664" s="72"/>
      <c r="AU664" s="72"/>
      <c r="AV664" s="72"/>
      <c r="AW664" s="72"/>
      <c r="AX664" s="72"/>
    </row>
    <row r="665" spans="1:50" s="73" customFormat="1" x14ac:dyDescent="0.45">
      <c r="A665" s="653"/>
      <c r="B665" s="654"/>
      <c r="C665" s="555"/>
      <c r="D665" s="555"/>
      <c r="E665" s="390"/>
      <c r="F665" s="390"/>
      <c r="G665" s="390"/>
      <c r="H665" s="390"/>
      <c r="I665" s="390"/>
      <c r="J665" s="390"/>
      <c r="K665" s="390"/>
      <c r="L665" s="390"/>
      <c r="M665" s="390"/>
      <c r="N665" s="390"/>
      <c r="O665" s="390"/>
      <c r="P665" s="390"/>
      <c r="Q665" s="390"/>
      <c r="R665" s="390"/>
      <c r="S665" s="390"/>
      <c r="T665" s="390"/>
      <c r="U665" s="390"/>
      <c r="V665" s="390"/>
      <c r="W665" s="390"/>
      <c r="X665" s="390"/>
      <c r="Y665" s="390"/>
      <c r="Z665" s="390"/>
      <c r="AA665" s="390"/>
      <c r="AB665" s="390"/>
      <c r="AC665" s="390"/>
      <c r="AD665" s="390"/>
      <c r="AE665" s="390"/>
      <c r="AF665" s="390"/>
      <c r="AG665" s="390"/>
      <c r="AH665" s="390"/>
      <c r="AI665" s="390"/>
      <c r="AJ665" s="390"/>
      <c r="AK665" s="390"/>
      <c r="AL665" s="390"/>
      <c r="AM665" s="560"/>
      <c r="AN665" s="390"/>
      <c r="AO665" s="390"/>
      <c r="AP665" s="390"/>
      <c r="AQ665" s="390"/>
      <c r="AR665" s="390"/>
      <c r="AS665" s="390"/>
      <c r="AT665" s="390"/>
      <c r="AU665" s="390"/>
      <c r="AV665" s="390"/>
      <c r="AW665" s="390"/>
      <c r="AX665" s="390"/>
    </row>
    <row r="666" spans="1:50" s="73" customFormat="1" x14ac:dyDescent="0.45">
      <c r="A666" s="809" t="s">
        <v>389</v>
      </c>
      <c r="B666" s="390"/>
      <c r="C666" s="555"/>
      <c r="D666" s="555"/>
      <c r="E666" s="390"/>
      <c r="F666" s="390"/>
      <c r="G666" s="390"/>
      <c r="H666" s="390"/>
      <c r="I666" s="390"/>
      <c r="J666" s="390"/>
      <c r="K666" s="390"/>
      <c r="L666" s="390"/>
      <c r="M666" s="390"/>
      <c r="N666" s="390"/>
      <c r="O666" s="390"/>
      <c r="P666" s="390"/>
      <c r="Q666" s="390"/>
      <c r="R666" s="390"/>
      <c r="S666" s="390"/>
      <c r="T666" s="390"/>
      <c r="U666" s="390"/>
      <c r="V666" s="390"/>
      <c r="W666" s="390"/>
      <c r="X666" s="390"/>
      <c r="Y666" s="390"/>
      <c r="Z666" s="390"/>
      <c r="AA666" s="390"/>
      <c r="AB666" s="390"/>
      <c r="AC666" s="390"/>
      <c r="AD666" s="390"/>
      <c r="AE666" s="390"/>
      <c r="AF666" s="390"/>
      <c r="AG666" s="390"/>
      <c r="AH666" s="390"/>
      <c r="AI666" s="390"/>
      <c r="AJ666" s="390"/>
      <c r="AK666" s="390"/>
      <c r="AL666" s="390"/>
      <c r="AM666" s="560"/>
      <c r="AN666" s="390"/>
      <c r="AO666" s="390"/>
      <c r="AP666" s="390"/>
      <c r="AQ666" s="390"/>
      <c r="AR666" s="390"/>
      <c r="AS666" s="390"/>
      <c r="AT666" s="390"/>
      <c r="AU666" s="390"/>
      <c r="AV666" s="390"/>
      <c r="AW666" s="390"/>
      <c r="AX666" s="390"/>
    </row>
    <row r="667" spans="1:50" s="73" customFormat="1" x14ac:dyDescent="0.45">
      <c r="A667" s="810" t="str">
        <f>MO_RIS_REV</f>
        <v>Net Revenue</v>
      </c>
      <c r="B667" s="390"/>
      <c r="C667" s="555"/>
      <c r="D667" s="555"/>
      <c r="E667" s="390"/>
      <c r="F667" s="390"/>
      <c r="G667" s="390"/>
      <c r="H667" s="390"/>
      <c r="I667" s="390"/>
      <c r="J667" s="390"/>
      <c r="K667" s="390"/>
      <c r="L667" s="390"/>
      <c r="M667" s="390"/>
      <c r="N667" s="390"/>
      <c r="O667" s="390"/>
      <c r="P667" s="390"/>
      <c r="Q667" s="390"/>
      <c r="R667" s="390"/>
      <c r="S667" s="390"/>
      <c r="T667" s="390"/>
      <c r="U667" s="390"/>
      <c r="V667" s="390"/>
      <c r="W667" s="390"/>
      <c r="X667" s="390"/>
      <c r="Y667" s="390"/>
      <c r="Z667" s="390"/>
      <c r="AA667" s="390"/>
      <c r="AB667" s="390"/>
      <c r="AC667" s="390"/>
      <c r="AD667" s="390"/>
      <c r="AE667" s="390"/>
      <c r="AF667" s="390"/>
      <c r="AG667" s="390"/>
      <c r="AH667" s="390"/>
      <c r="AI667" s="390"/>
      <c r="AJ667" s="390"/>
      <c r="AK667" s="390"/>
      <c r="AL667" s="390"/>
      <c r="AM667" s="560"/>
      <c r="AN667" s="390"/>
      <c r="AO667" s="390"/>
      <c r="AP667" s="390"/>
      <c r="AQ667" s="390"/>
      <c r="AR667" s="390"/>
      <c r="AS667" s="390"/>
      <c r="AT667" s="390"/>
      <c r="AU667" s="390"/>
      <c r="AV667" s="390"/>
      <c r="AW667" s="390"/>
      <c r="AX667" s="390"/>
    </row>
    <row r="668" spans="1:50" s="73" customFormat="1" x14ac:dyDescent="0.45">
      <c r="A668" s="810" t="str">
        <f>MO_RIS_EBITDA_Adj</f>
        <v>Adjusted EBITDA (No Adjustments)</v>
      </c>
      <c r="B668" s="390"/>
      <c r="C668" s="555"/>
      <c r="D668" s="555"/>
      <c r="E668" s="390"/>
      <c r="F668" s="390"/>
      <c r="G668" s="390"/>
      <c r="H668" s="390"/>
      <c r="I668" s="390"/>
      <c r="J668" s="390"/>
      <c r="K668" s="390"/>
      <c r="L668" s="390"/>
      <c r="M668" s="390"/>
      <c r="N668" s="390"/>
      <c r="O668" s="390"/>
      <c r="P668" s="390"/>
      <c r="Q668" s="390"/>
      <c r="R668" s="390"/>
      <c r="S668" s="390"/>
      <c r="T668" s="390"/>
      <c r="U668" s="390"/>
      <c r="V668" s="390"/>
      <c r="W668" s="390"/>
      <c r="X668" s="390"/>
      <c r="Y668" s="390"/>
      <c r="Z668" s="390"/>
      <c r="AA668" s="390"/>
      <c r="AB668" s="390"/>
      <c r="AC668" s="390"/>
      <c r="AD668" s="390"/>
      <c r="AE668" s="390"/>
      <c r="AF668" s="390"/>
      <c r="AG668" s="390"/>
      <c r="AH668" s="390"/>
      <c r="AI668" s="390"/>
      <c r="AJ668" s="390"/>
      <c r="AK668" s="390"/>
      <c r="AL668" s="390"/>
      <c r="AM668" s="560"/>
      <c r="AN668" s="390"/>
      <c r="AO668" s="390"/>
      <c r="AP668" s="390"/>
      <c r="AQ668" s="390"/>
      <c r="AR668" s="390"/>
      <c r="AS668" s="390"/>
      <c r="AT668" s="390"/>
      <c r="AU668" s="390"/>
      <c r="AV668" s="390"/>
      <c r="AW668" s="390"/>
      <c r="AX668" s="390"/>
    </row>
    <row r="669" spans="1:50" s="73" customFormat="1" x14ac:dyDescent="0.45">
      <c r="A669" s="810" t="str">
        <f>MO_RIS_EPS_WAD_Adj</f>
        <v>Adjusted Earnings Per Share - WAD</v>
      </c>
      <c r="B669" s="390"/>
      <c r="C669" s="555"/>
      <c r="D669" s="555"/>
      <c r="E669" s="390"/>
      <c r="F669" s="390"/>
      <c r="G669" s="390"/>
      <c r="H669" s="390"/>
      <c r="I669" s="390"/>
      <c r="J669" s="390"/>
      <c r="K669" s="390"/>
      <c r="L669" s="390"/>
      <c r="M669" s="390"/>
      <c r="N669" s="390"/>
      <c r="O669" s="390"/>
      <c r="P669" s="390"/>
      <c r="Q669" s="390"/>
      <c r="R669" s="390"/>
      <c r="S669" s="390"/>
      <c r="T669" s="390"/>
      <c r="U669" s="390"/>
      <c r="V669" s="390"/>
      <c r="W669" s="390"/>
      <c r="X669" s="390"/>
      <c r="Y669" s="390"/>
      <c r="Z669" s="390"/>
      <c r="AA669" s="390"/>
      <c r="AB669" s="390"/>
      <c r="AC669" s="390"/>
      <c r="AD669" s="390"/>
      <c r="AE669" s="390"/>
      <c r="AF669" s="390"/>
      <c r="AG669" s="390"/>
      <c r="AH669" s="390"/>
      <c r="AI669" s="390"/>
      <c r="AJ669" s="390"/>
      <c r="AK669" s="390"/>
      <c r="AL669" s="390"/>
      <c r="AM669" s="560"/>
      <c r="AN669" s="390"/>
      <c r="AO669" s="390"/>
      <c r="AP669" s="390"/>
      <c r="AQ669" s="390"/>
      <c r="AR669" s="390"/>
      <c r="AS669" s="390"/>
      <c r="AT669" s="390"/>
      <c r="AU669" s="390"/>
      <c r="AV669" s="390"/>
      <c r="AW669" s="390"/>
      <c r="AX669" s="390"/>
    </row>
    <row r="670" spans="1:50" s="73" customFormat="1" x14ac:dyDescent="0.45">
      <c r="A670" s="810" t="str">
        <f>MO_VA_EV_ToSales</f>
        <v>EV/Sales - Avg</v>
      </c>
      <c r="B670" s="390"/>
      <c r="C670" s="555"/>
      <c r="D670" s="555"/>
      <c r="E670" s="390"/>
      <c r="F670" s="390"/>
      <c r="G670" s="390"/>
      <c r="H670" s="390"/>
      <c r="I670" s="390"/>
      <c r="J670" s="390"/>
      <c r="K670" s="390"/>
      <c r="L670" s="390"/>
      <c r="M670" s="390"/>
      <c r="N670" s="390"/>
      <c r="O670" s="390"/>
      <c r="P670" s="390"/>
      <c r="Q670" s="390"/>
      <c r="R670" s="390"/>
      <c r="S670" s="390"/>
      <c r="T670" s="390"/>
      <c r="U670" s="390"/>
      <c r="V670" s="390"/>
      <c r="W670" s="390"/>
      <c r="X670" s="390"/>
      <c r="Y670" s="390"/>
      <c r="Z670" s="390"/>
      <c r="AA670" s="390"/>
      <c r="AB670" s="390"/>
      <c r="AC670" s="390"/>
      <c r="AD670" s="390"/>
      <c r="AE670" s="390"/>
      <c r="AF670" s="390"/>
      <c r="AG670" s="390"/>
      <c r="AH670" s="390"/>
      <c r="AI670" s="390"/>
      <c r="AJ670" s="390"/>
      <c r="AK670" s="390"/>
      <c r="AL670" s="390"/>
      <c r="AM670" s="560"/>
      <c r="AN670" s="390"/>
      <c r="AO670" s="390"/>
      <c r="AP670" s="390"/>
      <c r="AQ670" s="390"/>
      <c r="AR670" s="390"/>
      <c r="AS670" s="390"/>
      <c r="AT670" s="390"/>
      <c r="AU670" s="390"/>
      <c r="AV670" s="390"/>
      <c r="AW670" s="390"/>
      <c r="AX670" s="390"/>
    </row>
    <row r="671" spans="1:50" s="73" customFormat="1" x14ac:dyDescent="0.45">
      <c r="A671" s="810" t="str">
        <f>MO_VA_EV_ToEBITDA</f>
        <v>EV/EBITDA - Avg</v>
      </c>
      <c r="B671" s="390"/>
      <c r="C671" s="555"/>
      <c r="D671" s="555"/>
      <c r="E671" s="390"/>
      <c r="F671" s="390"/>
      <c r="G671" s="390"/>
      <c r="H671" s="390"/>
      <c r="I671" s="390"/>
      <c r="J671" s="390"/>
      <c r="K671" s="390"/>
      <c r="L671" s="390"/>
      <c r="M671" s="390"/>
      <c r="N671" s="390"/>
      <c r="O671" s="390"/>
      <c r="P671" s="390"/>
      <c r="Q671" s="390"/>
      <c r="R671" s="390"/>
      <c r="S671" s="390"/>
      <c r="T671" s="390"/>
      <c r="U671" s="390"/>
      <c r="V671" s="390"/>
      <c r="W671" s="390"/>
      <c r="X671" s="390"/>
      <c r="Y671" s="390"/>
      <c r="Z671" s="390"/>
      <c r="AA671" s="390"/>
      <c r="AB671" s="390"/>
      <c r="AC671" s="390"/>
      <c r="AD671" s="390"/>
      <c r="AE671" s="390"/>
      <c r="AF671" s="390"/>
      <c r="AG671" s="390"/>
      <c r="AH671" s="390"/>
      <c r="AI671" s="390"/>
      <c r="AJ671" s="390"/>
      <c r="AK671" s="390"/>
      <c r="AL671" s="390"/>
      <c r="AM671" s="560"/>
      <c r="AN671" s="390"/>
      <c r="AO671" s="390"/>
      <c r="AP671" s="390"/>
      <c r="AQ671" s="390"/>
      <c r="AR671" s="390"/>
      <c r="AS671" s="390"/>
      <c r="AT671" s="390"/>
      <c r="AU671" s="390"/>
      <c r="AV671" s="390"/>
      <c r="AW671" s="390"/>
      <c r="AX671" s="390"/>
    </row>
    <row r="672" spans="1:50" s="73" customFormat="1" x14ac:dyDescent="0.45">
      <c r="A672" s="811" t="str">
        <f>MO_VA_P_ToE</f>
        <v>P/E - Avg</v>
      </c>
      <c r="B672" s="390"/>
      <c r="C672" s="555"/>
      <c r="D672" s="555"/>
      <c r="E672" s="390"/>
      <c r="F672" s="390"/>
      <c r="G672" s="390"/>
      <c r="H672" s="390"/>
      <c r="I672" s="390"/>
      <c r="J672" s="390"/>
      <c r="K672" s="390"/>
      <c r="L672" s="390"/>
      <c r="M672" s="390"/>
      <c r="N672" s="390"/>
      <c r="O672" s="390"/>
      <c r="P672" s="390"/>
      <c r="Q672" s="390"/>
      <c r="R672" s="390"/>
      <c r="S672" s="390"/>
      <c r="T672" s="390"/>
      <c r="U672" s="390"/>
      <c r="V672" s="390"/>
      <c r="W672" s="390"/>
      <c r="X672" s="390"/>
      <c r="Y672" s="390"/>
      <c r="Z672" s="390"/>
      <c r="AA672" s="390"/>
      <c r="AB672" s="390"/>
      <c r="AC672" s="390"/>
      <c r="AD672" s="390"/>
      <c r="AE672" s="390"/>
      <c r="AF672" s="390"/>
      <c r="AG672" s="390"/>
      <c r="AH672" s="390"/>
      <c r="AI672" s="390"/>
      <c r="AJ672" s="390"/>
      <c r="AK672" s="390"/>
      <c r="AL672" s="390"/>
      <c r="AM672" s="560"/>
      <c r="AN672" s="390"/>
      <c r="AO672" s="390"/>
      <c r="AP672" s="390"/>
      <c r="AQ672" s="390"/>
      <c r="AR672" s="390"/>
      <c r="AS672" s="390"/>
      <c r="AT672" s="390"/>
      <c r="AU672" s="390"/>
      <c r="AV672" s="390"/>
      <c r="AW672" s="390"/>
      <c r="AX672" s="390"/>
    </row>
    <row r="673" spans="1:50" s="73" customFormat="1" x14ac:dyDescent="0.45">
      <c r="A673" s="505"/>
      <c r="B673" s="485"/>
      <c r="C673" s="509"/>
      <c r="D673" s="509"/>
      <c r="E673" s="485"/>
      <c r="F673" s="485"/>
      <c r="G673" s="485"/>
      <c r="H673" s="485"/>
      <c r="I673" s="485"/>
      <c r="J673" s="485"/>
      <c r="K673" s="485"/>
      <c r="L673" s="485"/>
      <c r="M673" s="485"/>
      <c r="N673" s="485"/>
      <c r="O673" s="485"/>
      <c r="P673" s="485"/>
      <c r="Q673" s="485"/>
      <c r="R673" s="485"/>
      <c r="S673" s="485"/>
      <c r="T673" s="485"/>
      <c r="U673" s="485"/>
      <c r="V673" s="485"/>
      <c r="W673" s="485"/>
      <c r="X673" s="485"/>
      <c r="Y673" s="485"/>
      <c r="Z673" s="485"/>
      <c r="AA673" s="485"/>
      <c r="AB673" s="485"/>
      <c r="AC673" s="485"/>
      <c r="AD673" s="485"/>
      <c r="AE673" s="485"/>
      <c r="AF673" s="485"/>
      <c r="AG673" s="485"/>
      <c r="AH673" s="485"/>
      <c r="AI673" s="485"/>
      <c r="AJ673" s="485"/>
      <c r="AK673" s="485"/>
      <c r="AL673" s="485"/>
      <c r="AM673" s="562"/>
      <c r="AN673" s="485"/>
      <c r="AO673" s="485"/>
      <c r="AP673" s="485"/>
      <c r="AQ673" s="485"/>
      <c r="AR673" s="485"/>
      <c r="AS673" s="485"/>
      <c r="AT673" s="485"/>
      <c r="AU673" s="485"/>
      <c r="AV673" s="485"/>
      <c r="AW673" s="485"/>
      <c r="AX673" s="390"/>
    </row>
    <row r="674" spans="1:50" s="7" customFormat="1" x14ac:dyDescent="0.45">
      <c r="A674" s="945" t="s">
        <v>232</v>
      </c>
      <c r="B674" s="859"/>
      <c r="C674" s="859"/>
      <c r="D674" s="859"/>
      <c r="E674" s="859"/>
      <c r="F674" s="859"/>
      <c r="G674" s="859"/>
      <c r="H674" s="859"/>
      <c r="I674" s="859"/>
      <c r="J674" s="859"/>
      <c r="K674" s="859"/>
      <c r="L674" s="859"/>
      <c r="M674" s="859"/>
      <c r="N674" s="859"/>
      <c r="O674" s="859"/>
      <c r="P674" s="859"/>
      <c r="Q674" s="859"/>
      <c r="R674" s="859"/>
      <c r="S674" s="859"/>
      <c r="T674" s="859"/>
      <c r="U674" s="859"/>
      <c r="V674" s="859"/>
      <c r="W674" s="859"/>
      <c r="X674" s="859"/>
      <c r="Y674" s="859"/>
      <c r="Z674" s="859"/>
      <c r="AA674" s="859"/>
      <c r="AB674" s="859"/>
      <c r="AC674" s="859"/>
      <c r="AD674" s="859"/>
      <c r="AE674" s="859"/>
      <c r="AF674" s="859"/>
      <c r="AG674" s="859"/>
      <c r="AH674" s="859"/>
      <c r="AI674" s="859"/>
      <c r="AJ674" s="859"/>
      <c r="AK674" s="859"/>
      <c r="AL674" s="859"/>
      <c r="AM674" s="946"/>
      <c r="AN674" s="859" t="str">
        <f t="shared" ref="AN674:AW674" si="751">AN5</f>
        <v>Q4-2020</v>
      </c>
      <c r="AO674" s="859" t="str">
        <f t="shared" si="751"/>
        <v>FY2020</v>
      </c>
      <c r="AP674" s="859" t="str">
        <f t="shared" si="751"/>
        <v>Q1-2021</v>
      </c>
      <c r="AQ674" s="859" t="str">
        <f t="shared" si="751"/>
        <v>Q2-2021</v>
      </c>
      <c r="AR674" s="859" t="str">
        <f t="shared" si="751"/>
        <v>Q3-2021</v>
      </c>
      <c r="AS674" s="859" t="str">
        <f t="shared" si="751"/>
        <v>Q4-2021</v>
      </c>
      <c r="AT674" s="859" t="str">
        <f t="shared" si="751"/>
        <v>FY2021</v>
      </c>
      <c r="AU674" s="859" t="str">
        <f t="shared" si="751"/>
        <v>FY2022</v>
      </c>
      <c r="AV674" s="859" t="str">
        <f t="shared" si="751"/>
        <v>FY2023</v>
      </c>
      <c r="AW674" s="947" t="str">
        <f t="shared" si="751"/>
        <v>FY2024</v>
      </c>
      <c r="AX674" s="510"/>
    </row>
    <row r="675" spans="1:50" s="7" customFormat="1" x14ac:dyDescent="0.45">
      <c r="A675" s="948" t="s">
        <v>233</v>
      </c>
      <c r="B675" s="866"/>
      <c r="C675" s="866"/>
      <c r="D675" s="866"/>
      <c r="E675" s="866"/>
      <c r="F675" s="866"/>
      <c r="G675" s="866"/>
      <c r="H675" s="866"/>
      <c r="I675" s="866"/>
      <c r="J675" s="866"/>
      <c r="K675" s="866"/>
      <c r="L675" s="866"/>
      <c r="M675" s="866"/>
      <c r="N675" s="866"/>
      <c r="O675" s="866"/>
      <c r="P675" s="866"/>
      <c r="Q675" s="866"/>
      <c r="R675" s="866"/>
      <c r="S675" s="866"/>
      <c r="T675" s="866"/>
      <c r="U675" s="866"/>
      <c r="V675" s="866"/>
      <c r="W675" s="866"/>
      <c r="X675" s="866"/>
      <c r="Y675" s="866"/>
      <c r="Z675" s="866"/>
      <c r="AA675" s="866"/>
      <c r="AB675" s="866"/>
      <c r="AC675" s="866"/>
      <c r="AD675" s="866"/>
      <c r="AE675" s="866"/>
      <c r="AF675" s="866"/>
      <c r="AG675" s="866"/>
      <c r="AH675" s="866"/>
      <c r="AI675" s="866"/>
      <c r="AJ675" s="866"/>
      <c r="AK675" s="866"/>
      <c r="AL675" s="866"/>
      <c r="AM675" s="949"/>
      <c r="AN675" s="866" t="str">
        <f t="shared" ref="AN675:AW675" si="752">IF(MO.DataSourceIndex=3,IF(LEFT(AN674,2)="FY","ANNUAL",IF(LEFT(AN674,1)="Q","QUARTERLY","")),IF(LEFT(AN674,2)="FY","FY",IF(LEFT(AN674,1)="Q","FQ","")))</f>
        <v>FQ</v>
      </c>
      <c r="AO675" s="866" t="str">
        <f t="shared" si="752"/>
        <v>FY</v>
      </c>
      <c r="AP675" s="866" t="str">
        <f t="shared" si="752"/>
        <v>FQ</v>
      </c>
      <c r="AQ675" s="866" t="str">
        <f t="shared" si="752"/>
        <v>FQ</v>
      </c>
      <c r="AR675" s="866" t="str">
        <f t="shared" si="752"/>
        <v>FQ</v>
      </c>
      <c r="AS675" s="866" t="str">
        <f t="shared" si="752"/>
        <v>FQ</v>
      </c>
      <c r="AT675" s="866" t="str">
        <f t="shared" si="752"/>
        <v>FY</v>
      </c>
      <c r="AU675" s="866" t="str">
        <f t="shared" si="752"/>
        <v>FY</v>
      </c>
      <c r="AV675" s="866" t="str">
        <f t="shared" si="752"/>
        <v>FY</v>
      </c>
      <c r="AW675" s="950" t="str">
        <f t="shared" si="752"/>
        <v>FY</v>
      </c>
      <c r="AX675" s="510"/>
    </row>
    <row r="676" spans="1:50" s="7" customFormat="1" x14ac:dyDescent="0.45">
      <c r="A676" s="948" t="s">
        <v>234</v>
      </c>
      <c r="B676" s="866"/>
      <c r="C676" s="866"/>
      <c r="D676" s="866"/>
      <c r="E676" s="866"/>
      <c r="F676" s="866"/>
      <c r="G676" s="866"/>
      <c r="H676" s="866"/>
      <c r="I676" s="866"/>
      <c r="J676" s="866"/>
      <c r="K676" s="866"/>
      <c r="L676" s="866"/>
      <c r="M676" s="866"/>
      <c r="N676" s="866"/>
      <c r="O676" s="866"/>
      <c r="P676" s="866"/>
      <c r="Q676" s="866"/>
      <c r="R676" s="866"/>
      <c r="S676" s="866"/>
      <c r="T676" s="866"/>
      <c r="U676" s="866"/>
      <c r="V676" s="866"/>
      <c r="W676" s="866"/>
      <c r="X676" s="866"/>
      <c r="Y676" s="866"/>
      <c r="Z676" s="866"/>
      <c r="AA676" s="866"/>
      <c r="AB676" s="866"/>
      <c r="AC676" s="866"/>
      <c r="AD676" s="866"/>
      <c r="AE676" s="866"/>
      <c r="AF676" s="866"/>
      <c r="AG676" s="866"/>
      <c r="AH676" s="866"/>
      <c r="AI676" s="866"/>
      <c r="AJ676" s="866"/>
      <c r="AK676" s="866"/>
      <c r="AL676" s="866"/>
      <c r="AM676" s="949"/>
      <c r="AN676" s="866">
        <f t="shared" ref="AN676:AW676" ca="1" si="753">IF(MO.DataSourceIndex=3,IF(AN675="ANNUAL",COUNTIF(OFFSET($A$675,,,,COLUMN()),"ANNUAL"),IF(AN675="QUARTERLY",COUNTIF(OFFSET($A$675,,,,COLUMN()),"QUARTERLY"),"")),IF(AN675="FY",COUNTIF(OFFSET($A$675,,,,COLUMN()),"FY"),IF(AN675="FQ",COUNTIF(OFFSET($A$675,,,,COLUMN()),"FQ"),"")))</f>
        <v>1</v>
      </c>
      <c r="AO676" s="866">
        <f t="shared" ca="1" si="753"/>
        <v>1</v>
      </c>
      <c r="AP676" s="866">
        <f t="shared" ca="1" si="753"/>
        <v>2</v>
      </c>
      <c r="AQ676" s="866">
        <f t="shared" ca="1" si="753"/>
        <v>3</v>
      </c>
      <c r="AR676" s="866">
        <f t="shared" ca="1" si="753"/>
        <v>4</v>
      </c>
      <c r="AS676" s="866">
        <f t="shared" ca="1" si="753"/>
        <v>5</v>
      </c>
      <c r="AT676" s="866">
        <f t="shared" ca="1" si="753"/>
        <v>2</v>
      </c>
      <c r="AU676" s="866">
        <f t="shared" ca="1" si="753"/>
        <v>3</v>
      </c>
      <c r="AV676" s="866">
        <f t="shared" ca="1" si="753"/>
        <v>4</v>
      </c>
      <c r="AW676" s="950">
        <f t="shared" ca="1" si="753"/>
        <v>5</v>
      </c>
      <c r="AX676" s="510"/>
    </row>
    <row r="677" spans="1:50" s="29" customFormat="1" x14ac:dyDescent="0.45">
      <c r="A677" s="531" t="str">
        <f>$A$212</f>
        <v>Consensus Estimates - Gross Margin, %</v>
      </c>
      <c r="B677" s="796"/>
      <c r="C677" s="473"/>
      <c r="D677" s="473"/>
      <c r="E677" s="473"/>
      <c r="F677" s="473"/>
      <c r="G677" s="473"/>
      <c r="H677" s="429"/>
      <c r="I677" s="429"/>
      <c r="J677" s="429"/>
      <c r="K677" s="429"/>
      <c r="L677" s="429"/>
      <c r="M677" s="429"/>
      <c r="N677" s="429"/>
      <c r="O677" s="429"/>
      <c r="P677" s="796"/>
      <c r="Q677" s="796"/>
      <c r="R677" s="796"/>
      <c r="S677" s="796"/>
      <c r="T677" s="796"/>
      <c r="U677" s="796"/>
      <c r="V677" s="796"/>
      <c r="W677" s="796"/>
      <c r="X677" s="796"/>
      <c r="Y677" s="796"/>
      <c r="Z677" s="796"/>
      <c r="AA677" s="796"/>
      <c r="AB677" s="796"/>
      <c r="AC677" s="796"/>
      <c r="AD677" s="796"/>
      <c r="AE677" s="796"/>
      <c r="AF677" s="796"/>
      <c r="AG677" s="796"/>
      <c r="AH677" s="796"/>
      <c r="AI677" s="796"/>
      <c r="AJ677" s="796"/>
      <c r="AK677" s="796"/>
      <c r="AL677" s="796"/>
      <c r="AM677" s="622"/>
      <c r="AN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O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P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Q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R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S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T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U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V677" s="429"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W677" s="528" t="str">
        <f ca="1">IFERROR(CHOOSE(MO.DataSourceIndex,BDP(MO.Ticker.Bloomberg&amp;" EQUITY","BEST_GROSS_MARGIN","BEST_FPERIOD_OVERRIDE="&amp;INDEX(tb_ConsensusEstimate,3,COLUMN())&amp;INDEX(tb_ConsensusEstimate,2,COLUMN())),CIQ(MO.Ticker.CapIQ,"IQ_GROSS_MARGIN_EST","IQ_"&amp;INDEX(tb_ConsensusEstimate,2,COLUMN())&amp;"+"&amp;INDEX(tb_ConsensusEstimate,3,COLUMN())),FDS(MO.Ticker.FactSet,"FE_ESTIMATE(GROSSINCOME,MEAN,"&amp;INDEX(tb_ConsensusEstimate,2,COLUMN())&amp;",+"&amp;INDEX(tb_ConsensusEstimate,3,COLUMN())&amp;",NOW,,,'')")/FDS(MO.Ticker.FactSet,"FE_ESTIMATE(SALES,MEAN,"&amp;INDEX(tb_ConsensusEstimate,2,COLUMN())&amp;",+"&amp;INDEX(tb_ConsensusEstimate,3,COLUMN())&amp;",NOW,,,'')"),_xll.TR(MO.Ticker.Thomson,"ZAV(TR.GPMMean)","Period="&amp;INDEX(tb_ConsensusEstimate,2,COLUMN())&amp;INDEX(tb_ConsensusEstimate,3,COLUMN())))/100,"N/A")</f>
        <v>N/A</v>
      </c>
      <c r="AX677" s="511"/>
    </row>
    <row r="678" spans="1:50" s="29" customFormat="1" x14ac:dyDescent="0.45">
      <c r="A678" s="531" t="str">
        <f>$A$303</f>
        <v>Consensus Estimates - Net Revenue</v>
      </c>
      <c r="B678" s="796"/>
      <c r="C678" s="474"/>
      <c r="D678" s="474"/>
      <c r="E678" s="474"/>
      <c r="F678" s="474"/>
      <c r="G678" s="474"/>
      <c r="H678" s="796"/>
      <c r="I678" s="796"/>
      <c r="J678" s="796"/>
      <c r="K678" s="796"/>
      <c r="L678" s="796"/>
      <c r="M678" s="796"/>
      <c r="N678" s="796"/>
      <c r="O678" s="796"/>
      <c r="P678" s="796"/>
      <c r="Q678" s="796"/>
      <c r="R678" s="796"/>
      <c r="S678" s="796"/>
      <c r="T678" s="796"/>
      <c r="U678" s="796"/>
      <c r="V678" s="796"/>
      <c r="W678" s="796"/>
      <c r="X678" s="796"/>
      <c r="Y678" s="796"/>
      <c r="Z678" s="796"/>
      <c r="AA678" s="796"/>
      <c r="AB678" s="796"/>
      <c r="AC678" s="796"/>
      <c r="AD678" s="796"/>
      <c r="AE678" s="796"/>
      <c r="AF678" s="796"/>
      <c r="AG678" s="796"/>
      <c r="AH678" s="796"/>
      <c r="AI678" s="796"/>
      <c r="AJ678" s="796"/>
      <c r="AK678" s="796"/>
      <c r="AL678" s="796"/>
      <c r="AM678" s="622"/>
      <c r="AN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O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P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Q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R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S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T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U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V678" s="796"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W678" s="529" t="str">
        <f ca="1">IFERROR(CHOOSE(MO.DataSourceIndex,BDP(MO.Ticker.Bloomberg&amp;" EQUITY","BEST_SALES","BEST_FPERIOD_OVERRIDE="&amp;INDEX(tb_ConsensusEstimate,3,COLUMN())&amp;INDEX(tb_ConsensusEstimate,2,COLUMN())),CIQ(MO.Ticker.CapIQ,"IQ_REVENUE_EST","IQ_"&amp;INDEX(tb_ConsensusEstimate,2,COLUMN())&amp;"+"&amp;INDEX(tb_ConsensusEstimate,3,COLUMN())),FDS(MO.Ticker.FactSet,"FE_ESTIMATE(SALES,MEAN,"&amp;INDEX(tb_ConsensusEstimate,2,COLUMN())&amp;",+"&amp;INDEX(tb_ConsensusEstimate,3,COLUMN())&amp;",NOW,,,'')"),_xll.TR(MO.Ticker.Thomson,"ZAV(TR.RevenueMean(Scale=6))","Period="&amp;INDEX(tb_ConsensusEstimate,2,COLUMN())&amp;INDEX(tb_ConsensusEstimate,3,COLUMN()))),"N/A")</f>
        <v>N/A</v>
      </c>
      <c r="AX678" s="511"/>
    </row>
    <row r="679" spans="1:50" s="29" customFormat="1" x14ac:dyDescent="0.45">
      <c r="A679" s="531" t="str">
        <f>$A$312</f>
        <v xml:space="preserve">Consensus Estimates - Adjusted EBITDA </v>
      </c>
      <c r="B679" s="796"/>
      <c r="C679" s="474"/>
      <c r="D679" s="474"/>
      <c r="E679" s="474"/>
      <c r="F679" s="474"/>
      <c r="G679" s="474"/>
      <c r="H679" s="796"/>
      <c r="I679" s="796"/>
      <c r="J679" s="796"/>
      <c r="K679" s="796"/>
      <c r="L679" s="796"/>
      <c r="M679" s="796"/>
      <c r="N679" s="796"/>
      <c r="O679" s="796"/>
      <c r="P679" s="796"/>
      <c r="Q679" s="796"/>
      <c r="R679" s="796"/>
      <c r="S679" s="796"/>
      <c r="T679" s="796"/>
      <c r="U679" s="796"/>
      <c r="V679" s="796"/>
      <c r="W679" s="796"/>
      <c r="X679" s="796"/>
      <c r="Y679" s="796"/>
      <c r="Z679" s="796"/>
      <c r="AA679" s="796"/>
      <c r="AB679" s="796"/>
      <c r="AC679" s="796"/>
      <c r="AD679" s="796"/>
      <c r="AE679" s="796"/>
      <c r="AF679" s="796"/>
      <c r="AG679" s="796"/>
      <c r="AH679" s="796"/>
      <c r="AI679" s="796"/>
      <c r="AJ679" s="796"/>
      <c r="AK679" s="796"/>
      <c r="AL679" s="796"/>
      <c r="AM679" s="622"/>
      <c r="AN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O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P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Q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R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S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T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U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V679" s="796"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W679" s="529" t="str">
        <f ca="1">IFERROR(CHOOSE(MO.DataSourceIndex,BDP(MO.Ticker.Bloomberg&amp;" EQUITY","BEST_EBITDA","BEST_FPERIOD_OVERRIDE="&amp;INDEX(tb_ConsensusEstimate,3,COLUMN())&amp;INDEX(tb_ConsensusEstimate,2,COLUMN())),CIQ(MO.Ticker.CapIQ,"IQ_EBITDA_EST","IQ_"&amp;INDEX(tb_ConsensusEstimate,2,COLUMN())&amp;"+"&amp;INDEX(tb_ConsensusEstimate,3,COLUMN())),FDS(MO.Ticker.FactSet,"FE_ESTIMATE(EBITDA,MEAN,"&amp;INDEX(tb_ConsensusEstimate,2,COLUMN())&amp;",+"&amp;INDEX(tb_ConsensusEstimate,3,COLUMN())&amp;",NOW,,,'')"),_xll.TR(MO.Ticker.Thomson,"ZAV(TR.EBITDAMean(Scale=6))","Period="&amp;INDEX(tb_ConsensusEstimate,2,COLUMN())&amp;INDEX(tb_ConsensusEstimate,3,COLUMN()))),"N/A")</f>
        <v>N/A</v>
      </c>
      <c r="AX679" s="511"/>
    </row>
    <row r="680" spans="1:50" s="29" customFormat="1" x14ac:dyDescent="0.45">
      <c r="A680" s="531" t="str">
        <f>$A$322</f>
        <v>Consensus Estimates - Adjusted EBIT</v>
      </c>
      <c r="B680" s="796"/>
      <c r="C680" s="474"/>
      <c r="D680" s="474"/>
      <c r="E680" s="474"/>
      <c r="F680" s="474"/>
      <c r="G680" s="474"/>
      <c r="H680" s="796"/>
      <c r="I680" s="796"/>
      <c r="J680" s="796"/>
      <c r="K680" s="796"/>
      <c r="L680" s="796"/>
      <c r="M680" s="796"/>
      <c r="N680" s="796"/>
      <c r="O680" s="796"/>
      <c r="P680" s="796"/>
      <c r="Q680" s="796"/>
      <c r="R680" s="796"/>
      <c r="S680" s="796"/>
      <c r="T680" s="796"/>
      <c r="U680" s="796"/>
      <c r="V680" s="796"/>
      <c r="W680" s="796"/>
      <c r="X680" s="796"/>
      <c r="Y680" s="796"/>
      <c r="Z680" s="796"/>
      <c r="AA680" s="796"/>
      <c r="AB680" s="796"/>
      <c r="AC680" s="796"/>
      <c r="AD680" s="796"/>
      <c r="AE680" s="796"/>
      <c r="AF680" s="796"/>
      <c r="AG680" s="796"/>
      <c r="AH680" s="796"/>
      <c r="AI680" s="796"/>
      <c r="AJ680" s="796"/>
      <c r="AK680" s="796"/>
      <c r="AL680" s="796"/>
      <c r="AM680" s="622"/>
      <c r="AN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O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P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Q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R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S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T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U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V680" s="796"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W680" s="529" t="str">
        <f ca="1">IFERROR(CHOOSE(MO.DataSourceIndex,BDP(MO.Ticker.Bloomberg&amp;" EQUITY","BEST_EBIT","BEST_FPERIOD_OVERRIDE="&amp;INDEX(tb_ConsensusEstimate,3,COLUMN())&amp;INDEX(tb_ConsensusEstimate,2,COLUMN())),CIQ(MO.Ticker.CapIQ,"IQ_EBIT_EST","IQ_"&amp;INDEX(tb_ConsensusEstimate,2,COLUMN())&amp;"+"&amp;INDEX(tb_ConsensusEstimate,3,COLUMN())),FDS(MO.Ticker.FactSet,"FE_ESTIMATE(EBIT,MEAN,"&amp;INDEX(tb_ConsensusEstimate,2,COLUMN())&amp;",+"&amp;INDEX(tb_ConsensusEstimate,3,COLUMN())&amp;",NOW,,,'')"),_xll.TR(MO.Ticker.Thomson,"ZAV(TR.EBITMean(Scale=6))","Period="&amp;INDEX(tb_ConsensusEstimate,2,COLUMN())&amp;INDEX(tb_ConsensusEstimate,3,COLUMN()))),"N/A")</f>
        <v>N/A</v>
      </c>
      <c r="AX680" s="511"/>
    </row>
    <row r="681" spans="1:50" s="618" customFormat="1" x14ac:dyDescent="0.45">
      <c r="A681" s="613" t="str">
        <f>$A$349</f>
        <v>Consensus Estimates - Adjusted Earnings Per Share - WAD</v>
      </c>
      <c r="B681" s="614"/>
      <c r="C681" s="615"/>
      <c r="D681" s="615"/>
      <c r="E681" s="615"/>
      <c r="F681" s="615"/>
      <c r="G681" s="615"/>
      <c r="H681" s="614"/>
      <c r="I681" s="614"/>
      <c r="J681" s="614"/>
      <c r="K681" s="614"/>
      <c r="L681" s="614"/>
      <c r="M681" s="614"/>
      <c r="N681" s="614"/>
      <c r="O681" s="614"/>
      <c r="P681" s="614"/>
      <c r="Q681" s="614"/>
      <c r="R681" s="614"/>
      <c r="S681" s="614"/>
      <c r="T681" s="614"/>
      <c r="U681" s="614"/>
      <c r="V681" s="614"/>
      <c r="W681" s="614"/>
      <c r="X681" s="614"/>
      <c r="Y681" s="614"/>
      <c r="Z681" s="614"/>
      <c r="AA681" s="614"/>
      <c r="AB681" s="614"/>
      <c r="AC681" s="614"/>
      <c r="AD681" s="614"/>
      <c r="AE681" s="614"/>
      <c r="AF681" s="614"/>
      <c r="AG681" s="614"/>
      <c r="AH681" s="614"/>
      <c r="AI681" s="614"/>
      <c r="AJ681" s="614"/>
      <c r="AK681" s="614"/>
      <c r="AL681" s="614"/>
      <c r="AM681" s="623"/>
      <c r="AN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O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P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Q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R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S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T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U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V681" s="614"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W681" s="616" t="str">
        <f ca="1">IFERROR(CHOOSE(MO.DataSourceIndex,BDP(MO.Ticker.Bloomberg&amp;" EQUITY","BEST_EPS","BEST_FPERIOD_OVERRIDE="&amp;INDEX(tb_ConsensusEstimate,3,COLUMN())&amp;INDEX(tb_ConsensusEstimate,2,COLUMN())),CIQ(MO.Ticker.CapIQ,"IQ_EPS_NORM_EST","IQ_"&amp;INDEX(tb_ConsensusEstimate,2,COLUMN())&amp;"+"&amp;INDEX(tb_ConsensusEstimate,3,COLUMN())),FDS(MO.Ticker.FactSet,"FE_ESTIMATE(EPS,MEAN,"&amp;INDEX(tb_ConsensusEstimate,2,COLUMN())&amp;",+"&amp;INDEX(tb_ConsensusEstimate,3,COLUMN())&amp;",NOW,,,'')"),_xll.TR(MO.Ticker.Thomson,"ZAV(TR.EPSMean)","Period="&amp;INDEX(tb_ConsensusEstimate,2,COLUMN())&amp;INDEX(tb_ConsensusEstimate,3,COLUMN()))),"N/A")</f>
        <v>N/A</v>
      </c>
      <c r="AX681" s="617"/>
    </row>
    <row r="682" spans="1:50" s="618" customFormat="1" x14ac:dyDescent="0.45">
      <c r="A682" s="613" t="str">
        <f>$A$358</f>
        <v>Consensus Estimates - Cash Flow Per Diluted Share</v>
      </c>
      <c r="B682" s="614"/>
      <c r="C682" s="615"/>
      <c r="D682" s="615"/>
      <c r="E682" s="615"/>
      <c r="F682" s="615"/>
      <c r="G682" s="615"/>
      <c r="H682" s="614"/>
      <c r="I682" s="614"/>
      <c r="J682" s="614"/>
      <c r="K682" s="614"/>
      <c r="L682" s="614"/>
      <c r="M682" s="614"/>
      <c r="N682" s="614"/>
      <c r="O682" s="614"/>
      <c r="P682" s="614"/>
      <c r="Q682" s="614"/>
      <c r="R682" s="614"/>
      <c r="S682" s="614"/>
      <c r="T682" s="614"/>
      <c r="U682" s="614"/>
      <c r="V682" s="614"/>
      <c r="W682" s="614"/>
      <c r="X682" s="614"/>
      <c r="Y682" s="614"/>
      <c r="Z682" s="614"/>
      <c r="AA682" s="614"/>
      <c r="AB682" s="614"/>
      <c r="AC682" s="614"/>
      <c r="AD682" s="614"/>
      <c r="AE682" s="614"/>
      <c r="AF682" s="614"/>
      <c r="AG682" s="614"/>
      <c r="AH682" s="614"/>
      <c r="AI682" s="614"/>
      <c r="AJ682" s="614"/>
      <c r="AK682" s="614"/>
      <c r="AL682" s="614"/>
      <c r="AM682" s="623"/>
      <c r="AN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O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P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Q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R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S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T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U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V682" s="614"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W682" s="616" t="str">
        <f ca="1">IFERROR(CHOOSE(MO.DataSourceIndex,BDP(MO.Ticker.Bloomberg&amp;" EQUITY","BEST_CPS","BEST_FPERIOD_OVERRIDE="&amp;INDEX(tb_ConsensusEstimate,3,COLUMN())&amp;INDEX(tb_ConsensusEstimate,2,COLUMN())),CIQ(MO.Ticker.CapIQ,"IQ_CFPS_EST","IQ_"&amp;INDEX(tb_ConsensusEstimate,2,COLUMN())&amp;"+"&amp;INDEX(tb_ConsensusEstimate,3,COLUMN())),FDS(MO.Ticker.FactSet,"FE_ESTIMATE(CFPS,MEAN,"&amp;INDEX(tb_ConsensusEstimate,2,COLUMN())&amp;",+"&amp;INDEX(tb_ConsensusEstimate,3,COLUMN())&amp;",NOW,,,'')"),_xll.TR(MO.Ticker.Thomson,"ZAV(TR.CFPSMean)","Period="&amp;INDEX(tb_ConsensusEstimate,2,COLUMN())&amp;INDEX(tb_ConsensusEstimate,3,COLUMN()))),"N/A")</f>
        <v>N/A</v>
      </c>
      <c r="AX682" s="617"/>
    </row>
    <row r="683" spans="1:50" s="29" customFormat="1" x14ac:dyDescent="0.45">
      <c r="A683" s="531" t="str">
        <f>A360</f>
        <v>Consensus Estimates - Capex</v>
      </c>
      <c r="B683" s="796"/>
      <c r="C683" s="474"/>
      <c r="D683" s="474"/>
      <c r="E683" s="474"/>
      <c r="F683" s="474"/>
      <c r="G683" s="474"/>
      <c r="H683" s="796"/>
      <c r="I683" s="796"/>
      <c r="J683" s="796"/>
      <c r="K683" s="796"/>
      <c r="L683" s="796"/>
      <c r="M683" s="796"/>
      <c r="N683" s="796"/>
      <c r="O683" s="796"/>
      <c r="P683" s="796"/>
      <c r="Q683" s="796"/>
      <c r="R683" s="796"/>
      <c r="S683" s="796"/>
      <c r="T683" s="796"/>
      <c r="U683" s="796"/>
      <c r="V683" s="796"/>
      <c r="W683" s="796"/>
      <c r="X683" s="796"/>
      <c r="Y683" s="796"/>
      <c r="Z683" s="796"/>
      <c r="AA683" s="796"/>
      <c r="AB683" s="796"/>
      <c r="AC683" s="796"/>
      <c r="AD683" s="796"/>
      <c r="AE683" s="796"/>
      <c r="AF683" s="796"/>
      <c r="AG683" s="796"/>
      <c r="AH683" s="796"/>
      <c r="AI683" s="796"/>
      <c r="AJ683" s="796"/>
      <c r="AK683" s="796"/>
      <c r="AL683" s="796"/>
      <c r="AM683" s="622"/>
      <c r="AN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O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P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Q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R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S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T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U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V683" s="796"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W683" s="529" t="str">
        <f ca="1">IFERROR(CHOOSE(MO.DataSourceIndex,BDP(MO.Ticker.Bloomberg&amp;" EQUITY","BEST_CAPEX","BEST_FPERIOD_OVERRIDE="&amp;INDEX(tb_ConsensusEstimate,3,COLUMN())&amp;INDEX(tb_ConsensusEstimate,2,COLUMN())),CIQ(MO.Ticker.CapIQ,"IQ_CAPEX_EST","IQ_"&amp;INDEX(tb_ConsensusEstimate,2,COLUMN())&amp;"+"&amp;INDEX(tb_ConsensusEstimate,3,COLUMN())),-FDS(MO.Ticker.FactSet,"FE_ESTIMATE(CAPEX,MEAN,"&amp;INDEX(tb_ConsensusEstimate,2,COLUMN())&amp;",+"&amp;INDEX(tb_ConsensusEstimate,3,COLUMN())&amp;",NOW,,,'')"),-_xll.TR(MO.Ticker.Thomson,"ZAV(TR.CAPEXMean(Scale=6))","Period="&amp;INDEX(tb_ConsensusEstimate,2,COLUMN())&amp;INDEX(tb_ConsensusEstimate,3,COLUMN()))),"N/A")</f>
        <v>N/A</v>
      </c>
      <c r="AX683" s="511"/>
    </row>
    <row r="684" spans="1:50" s="3" customFormat="1" x14ac:dyDescent="0.45">
      <c r="A684" s="532"/>
      <c r="B684" s="798"/>
      <c r="C684" s="527"/>
      <c r="D684" s="527"/>
      <c r="E684" s="798"/>
      <c r="F684" s="798"/>
      <c r="G684" s="798"/>
      <c r="H684" s="798"/>
      <c r="I684" s="798"/>
      <c r="J684" s="798"/>
      <c r="K684" s="798"/>
      <c r="L684" s="798"/>
      <c r="M684" s="798"/>
      <c r="N684" s="798"/>
      <c r="O684" s="798"/>
      <c r="P684" s="798"/>
      <c r="Q684" s="798"/>
      <c r="R684" s="798"/>
      <c r="S684" s="798"/>
      <c r="T684" s="798"/>
      <c r="U684" s="798"/>
      <c r="V684" s="798"/>
      <c r="W684" s="798"/>
      <c r="X684" s="798"/>
      <c r="Y684" s="798"/>
      <c r="Z684" s="798"/>
      <c r="AA684" s="798"/>
      <c r="AB684" s="798"/>
      <c r="AC684" s="798"/>
      <c r="AD684" s="798"/>
      <c r="AE684" s="798"/>
      <c r="AF684" s="798"/>
      <c r="AG684" s="798"/>
      <c r="AH684" s="798"/>
      <c r="AI684" s="798"/>
      <c r="AJ684" s="798"/>
      <c r="AK684" s="798"/>
      <c r="AL684" s="798"/>
      <c r="AM684" s="624"/>
      <c r="AN684" s="798"/>
      <c r="AO684" s="798"/>
      <c r="AP684" s="798"/>
      <c r="AQ684" s="798"/>
      <c r="AR684" s="798"/>
      <c r="AS684" s="798"/>
      <c r="AT684" s="798"/>
      <c r="AU684" s="798"/>
      <c r="AV684" s="798"/>
      <c r="AW684" s="530"/>
      <c r="AX684" s="512"/>
    </row>
    <row r="685" spans="1:50" s="3" customFormat="1" x14ac:dyDescent="0.45">
      <c r="A685" s="513"/>
      <c r="B685" s="486"/>
      <c r="C685" s="514"/>
      <c r="D685" s="514"/>
      <c r="E685" s="486"/>
      <c r="F685" s="486"/>
      <c r="G685" s="486"/>
      <c r="H685" s="486"/>
      <c r="I685" s="486"/>
      <c r="J685" s="486"/>
      <c r="K685" s="486"/>
      <c r="L685" s="486"/>
      <c r="M685" s="486"/>
      <c r="N685" s="486"/>
      <c r="O685" s="486"/>
      <c r="P685" s="486"/>
      <c r="Q685" s="486"/>
      <c r="R685" s="486"/>
      <c r="S685" s="486"/>
      <c r="T685" s="486"/>
      <c r="U685" s="486"/>
      <c r="V685" s="486"/>
      <c r="W685" s="486"/>
      <c r="X685" s="486"/>
      <c r="Y685" s="486"/>
      <c r="Z685" s="486"/>
      <c r="AA685" s="486"/>
      <c r="AB685" s="486"/>
      <c r="AC685" s="486"/>
      <c r="AD685" s="486"/>
      <c r="AE685" s="486"/>
      <c r="AF685" s="486"/>
      <c r="AG685" s="486"/>
      <c r="AH685" s="486"/>
      <c r="AI685" s="486"/>
      <c r="AJ685" s="486"/>
      <c r="AK685" s="486"/>
      <c r="AL685" s="486"/>
      <c r="AM685" s="606"/>
      <c r="AN685" s="486"/>
      <c r="AO685" s="486"/>
      <c r="AP685" s="486"/>
      <c r="AQ685" s="486"/>
      <c r="AR685" s="486"/>
      <c r="AS685" s="486"/>
      <c r="AT685" s="486"/>
      <c r="AU685" s="486"/>
      <c r="AV685" s="486"/>
      <c r="AW685" s="486"/>
      <c r="AX685" s="287"/>
    </row>
    <row r="686" spans="1:50" s="3" customFormat="1" x14ac:dyDescent="0.45">
      <c r="A686" s="331" t="s">
        <v>235</v>
      </c>
      <c r="B686" s="328"/>
      <c r="C686" s="329"/>
      <c r="D686" s="329"/>
      <c r="E686" s="328"/>
      <c r="F686" s="328"/>
      <c r="G686" s="328"/>
      <c r="H686" s="328"/>
      <c r="I686" s="328"/>
      <c r="J686" s="328"/>
      <c r="K686" s="328"/>
      <c r="L686" s="328"/>
      <c r="M686" s="328"/>
      <c r="N686" s="328"/>
      <c r="O686" s="328"/>
      <c r="P686" s="328"/>
      <c r="Q686" s="328"/>
      <c r="R686" s="328"/>
      <c r="S686" s="328"/>
      <c r="T686" s="328"/>
      <c r="U686" s="328"/>
      <c r="V686" s="328"/>
      <c r="W686" s="328"/>
      <c r="X686" s="328"/>
      <c r="Y686" s="328"/>
      <c r="Z686" s="328"/>
      <c r="AA686" s="328"/>
      <c r="AB686" s="328"/>
      <c r="AC686" s="328"/>
      <c r="AD686" s="328"/>
      <c r="AE686" s="328"/>
      <c r="AF686" s="328"/>
      <c r="AG686" s="328"/>
      <c r="AH686" s="328"/>
      <c r="AI686" s="328"/>
      <c r="AJ686" s="328"/>
      <c r="AK686" s="328"/>
      <c r="AL686" s="328"/>
      <c r="AM686" s="607"/>
      <c r="AN686" s="328"/>
      <c r="AO686" s="328"/>
      <c r="AP686" s="328"/>
      <c r="AQ686" s="328"/>
      <c r="AR686" s="328"/>
      <c r="AS686" s="328"/>
      <c r="AT686" s="328"/>
      <c r="AU686" s="328"/>
      <c r="AV686" s="328"/>
      <c r="AW686" s="330"/>
      <c r="AX686" s="512"/>
    </row>
    <row r="687" spans="1:50" s="3" customFormat="1" x14ac:dyDescent="0.45">
      <c r="A687" s="332" t="s">
        <v>236</v>
      </c>
      <c r="B687" s="797"/>
      <c r="C687" s="556">
        <f t="shared" ref="C687:AW687" si="754">INDEX(MO_Common_QEndDate,0,COLUMN())-INDEX(MO_Common_FPDays,0,COLUMN())+1</f>
        <v>39904</v>
      </c>
      <c r="D687" s="556">
        <f t="shared" si="754"/>
        <v>40269</v>
      </c>
      <c r="E687" s="392">
        <f t="shared" si="754"/>
        <v>40634</v>
      </c>
      <c r="F687" s="392">
        <f t="shared" si="754"/>
        <v>41000</v>
      </c>
      <c r="G687" s="392">
        <f t="shared" si="754"/>
        <v>41365</v>
      </c>
      <c r="H687" s="392">
        <f t="shared" si="754"/>
        <v>41456</v>
      </c>
      <c r="I687" s="392">
        <f t="shared" si="754"/>
        <v>41548</v>
      </c>
      <c r="J687" s="392">
        <f t="shared" si="754"/>
        <v>41640</v>
      </c>
      <c r="K687" s="392">
        <f t="shared" si="754"/>
        <v>41365</v>
      </c>
      <c r="L687" s="392">
        <f t="shared" si="754"/>
        <v>41730</v>
      </c>
      <c r="M687" s="392">
        <f t="shared" si="754"/>
        <v>41821</v>
      </c>
      <c r="N687" s="392">
        <f t="shared" si="754"/>
        <v>41913</v>
      </c>
      <c r="O687" s="392">
        <f t="shared" si="754"/>
        <v>42005</v>
      </c>
      <c r="P687" s="392">
        <f t="shared" si="754"/>
        <v>41730</v>
      </c>
      <c r="Q687" s="392">
        <f t="shared" si="754"/>
        <v>42095</v>
      </c>
      <c r="R687" s="392">
        <f t="shared" si="754"/>
        <v>42186</v>
      </c>
      <c r="S687" s="392">
        <f t="shared" si="754"/>
        <v>42278</v>
      </c>
      <c r="T687" s="392">
        <f t="shared" si="754"/>
        <v>42370</v>
      </c>
      <c r="U687" s="392">
        <f t="shared" si="754"/>
        <v>42095</v>
      </c>
      <c r="V687" s="392">
        <f t="shared" si="754"/>
        <v>42461</v>
      </c>
      <c r="W687" s="392">
        <f t="shared" si="754"/>
        <v>42552</v>
      </c>
      <c r="X687" s="392">
        <f t="shared" si="754"/>
        <v>42644</v>
      </c>
      <c r="Y687" s="392">
        <f t="shared" si="754"/>
        <v>42736</v>
      </c>
      <c r="Z687" s="392">
        <f t="shared" si="754"/>
        <v>42461</v>
      </c>
      <c r="AA687" s="392">
        <f t="shared" si="754"/>
        <v>42826</v>
      </c>
      <c r="AB687" s="392">
        <f t="shared" si="754"/>
        <v>42917</v>
      </c>
      <c r="AC687" s="392">
        <f t="shared" si="754"/>
        <v>43009</v>
      </c>
      <c r="AD687" s="392">
        <f t="shared" si="754"/>
        <v>43101</v>
      </c>
      <c r="AE687" s="392">
        <f t="shared" si="754"/>
        <v>42826</v>
      </c>
      <c r="AF687" s="392">
        <f t="shared" si="754"/>
        <v>43191</v>
      </c>
      <c r="AG687" s="392">
        <f t="shared" si="754"/>
        <v>43282</v>
      </c>
      <c r="AH687" s="392">
        <f t="shared" si="754"/>
        <v>43374</v>
      </c>
      <c r="AI687" s="392">
        <f t="shared" si="754"/>
        <v>43466</v>
      </c>
      <c r="AJ687" s="392">
        <f t="shared" si="754"/>
        <v>43191</v>
      </c>
      <c r="AK687" s="392">
        <f t="shared" si="754"/>
        <v>43556</v>
      </c>
      <c r="AL687" s="392">
        <f t="shared" si="754"/>
        <v>43647</v>
      </c>
      <c r="AM687" s="608">
        <f t="shared" si="754"/>
        <v>43739</v>
      </c>
      <c r="AN687" s="333">
        <f t="shared" si="754"/>
        <v>43831</v>
      </c>
      <c r="AO687" s="333">
        <f t="shared" si="754"/>
        <v>43556</v>
      </c>
      <c r="AP687" s="333">
        <f t="shared" si="754"/>
        <v>43922</v>
      </c>
      <c r="AQ687" s="333">
        <f t="shared" si="754"/>
        <v>44013</v>
      </c>
      <c r="AR687" s="333">
        <f t="shared" si="754"/>
        <v>44105</v>
      </c>
      <c r="AS687" s="333">
        <f t="shared" si="754"/>
        <v>44197</v>
      </c>
      <c r="AT687" s="333">
        <f t="shared" si="754"/>
        <v>43922</v>
      </c>
      <c r="AU687" s="333">
        <f t="shared" si="754"/>
        <v>44287</v>
      </c>
      <c r="AV687" s="333">
        <f t="shared" si="754"/>
        <v>44652</v>
      </c>
      <c r="AW687" s="334">
        <f t="shared" si="754"/>
        <v>45017</v>
      </c>
      <c r="AX687" s="512"/>
    </row>
    <row r="688" spans="1:50" s="3" customFormat="1" x14ac:dyDescent="0.45">
      <c r="A688" s="332" t="s">
        <v>353</v>
      </c>
      <c r="B688" s="797"/>
      <c r="C688" s="556" t="b">
        <f>TRUE</f>
        <v>1</v>
      </c>
      <c r="D688" s="556" t="b">
        <f>TRUE</f>
        <v>1</v>
      </c>
      <c r="E688" s="392" t="b">
        <f>TRUE</f>
        <v>1</v>
      </c>
      <c r="F688" s="392" t="b">
        <f>TRUE</f>
        <v>1</v>
      </c>
      <c r="G688" s="392" t="b">
        <f>TRUE</f>
        <v>1</v>
      </c>
      <c r="H688" s="392" t="b">
        <f>TRUE</f>
        <v>1</v>
      </c>
      <c r="I688" s="392" t="b">
        <f>TRUE</f>
        <v>1</v>
      </c>
      <c r="J688" s="392" t="b">
        <f>TRUE</f>
        <v>1</v>
      </c>
      <c r="K688" s="392" t="b">
        <f>TRUE</f>
        <v>1</v>
      </c>
      <c r="L688" s="392" t="b">
        <f>TRUE</f>
        <v>1</v>
      </c>
      <c r="M688" s="392" t="b">
        <f>TRUE</f>
        <v>1</v>
      </c>
      <c r="N688" s="392" t="b">
        <f>TRUE</f>
        <v>1</v>
      </c>
      <c r="O688" s="392" t="b">
        <f>TRUE</f>
        <v>1</v>
      </c>
      <c r="P688" s="392" t="b">
        <f>TRUE</f>
        <v>1</v>
      </c>
      <c r="Q688" s="392" t="b">
        <f>TRUE</f>
        <v>1</v>
      </c>
      <c r="R688" s="392" t="b">
        <f>TRUE</f>
        <v>1</v>
      </c>
      <c r="S688" s="392" t="b">
        <f>TRUE</f>
        <v>1</v>
      </c>
      <c r="T688" s="392" t="b">
        <f>TRUE</f>
        <v>1</v>
      </c>
      <c r="U688" s="392" t="b">
        <f>TRUE</f>
        <v>1</v>
      </c>
      <c r="V688" s="392" t="b">
        <f>TRUE</f>
        <v>1</v>
      </c>
      <c r="W688" s="392" t="b">
        <f>TRUE</f>
        <v>1</v>
      </c>
      <c r="X688" s="392" t="b">
        <f>TRUE</f>
        <v>1</v>
      </c>
      <c r="Y688" s="392" t="b">
        <f>TRUE</f>
        <v>1</v>
      </c>
      <c r="Z688" s="392" t="b">
        <f>TRUE</f>
        <v>1</v>
      </c>
      <c r="AA688" s="392" t="b">
        <f>TRUE</f>
        <v>1</v>
      </c>
      <c r="AB688" s="392" t="b">
        <f>TRUE</f>
        <v>1</v>
      </c>
      <c r="AC688" s="392" t="b">
        <f>TRUE</f>
        <v>1</v>
      </c>
      <c r="AD688" s="392" t="b">
        <f>TRUE</f>
        <v>1</v>
      </c>
      <c r="AE688" s="392" t="b">
        <f>TRUE</f>
        <v>1</v>
      </c>
      <c r="AF688" s="392" t="b">
        <f>TRUE</f>
        <v>1</v>
      </c>
      <c r="AG688" s="392" t="b">
        <f>TRUE</f>
        <v>1</v>
      </c>
      <c r="AH688" s="392" t="b">
        <f>TRUE</f>
        <v>1</v>
      </c>
      <c r="AI688" s="392" t="b">
        <f>TRUE</f>
        <v>1</v>
      </c>
      <c r="AJ688" s="392" t="b">
        <f>TRUE</f>
        <v>1</v>
      </c>
      <c r="AK688" s="392" t="b">
        <f>TRUE</f>
        <v>1</v>
      </c>
      <c r="AL688" s="392" t="b">
        <f>TRUE</f>
        <v>1</v>
      </c>
      <c r="AM688" s="608" t="b">
        <f>TRUE</f>
        <v>1</v>
      </c>
      <c r="AN688" s="333" t="b">
        <f>FALSE</f>
        <v>0</v>
      </c>
      <c r="AO688" s="333" t="b">
        <f>FALSE</f>
        <v>0</v>
      </c>
      <c r="AP688" s="333" t="b">
        <f>FALSE</f>
        <v>0</v>
      </c>
      <c r="AQ688" s="333" t="b">
        <f>FALSE</f>
        <v>0</v>
      </c>
      <c r="AR688" s="333" t="b">
        <f>FALSE</f>
        <v>0</v>
      </c>
      <c r="AS688" s="333" t="b">
        <f>FALSE</f>
        <v>0</v>
      </c>
      <c r="AT688" s="333" t="b">
        <f>FALSE</f>
        <v>0</v>
      </c>
      <c r="AU688" s="333" t="b">
        <f>FALSE</f>
        <v>0</v>
      </c>
      <c r="AV688" s="333" t="b">
        <f>FALSE</f>
        <v>0</v>
      </c>
      <c r="AW688" s="334" t="b">
        <f>FALSE</f>
        <v>0</v>
      </c>
      <c r="AX688" s="512"/>
    </row>
    <row r="689" spans="1:50" s="338" customFormat="1" x14ac:dyDescent="0.45">
      <c r="A689" s="335" t="str">
        <f ca="1">"Stock High: "&amp;IF(OR(MO.RealTimeStockPriceToggle=FALSE,VLOOKUP(MO.DataSourceName,MO_SPT_StockHigh_Sources,COLUMN()+2,FALSE)="N/A"),"Real-Time Off Source",MO.DataSourceName)</f>
        <v>Stock High: Real-Time Off Source</v>
      </c>
      <c r="B689" s="336"/>
      <c r="C689" s="557">
        <f t="shared" ref="C689:AW689" ca="1" si="755">IF(OR(MO.RealTimeStockPriceToggle=FALSE,VLOOKUP(MO.DataSourceName,MO_SPT_StockHigh_Sources,COLUMN(),FALSE)="N/A"),VLOOKUP("Real-Time Off Source",MO_SPT_StockHigh_Sources,COLUMN(),FALSE),VLOOKUP(MO.DataSourceName,MO_SPT_StockHigh_Sources,COLUMN(),FALSE))</f>
        <v>34.295000000000002</v>
      </c>
      <c r="D689" s="557">
        <f t="shared" ca="1" si="755"/>
        <v>41.84</v>
      </c>
      <c r="E689" s="393">
        <f t="shared" ca="1" si="755"/>
        <v>50.7</v>
      </c>
      <c r="F689" s="393">
        <f t="shared" ca="1" si="755"/>
        <v>44.19</v>
      </c>
      <c r="G689" s="393">
        <f t="shared" ca="1" si="755"/>
        <v>19.47</v>
      </c>
      <c r="H689" s="393">
        <f t="shared" ca="1" si="755"/>
        <v>23.58</v>
      </c>
      <c r="I689" s="393">
        <f t="shared" ca="1" si="755"/>
        <v>24.15</v>
      </c>
      <c r="J689" s="393">
        <f t="shared" ca="1" si="755"/>
        <v>21.07</v>
      </c>
      <c r="K689" s="393">
        <f t="shared" ca="1" si="755"/>
        <v>24.15</v>
      </c>
      <c r="L689" s="393">
        <f t="shared" ca="1" si="755"/>
        <v>18.89</v>
      </c>
      <c r="M689" s="393">
        <f t="shared" ca="1" si="755"/>
        <v>16.63</v>
      </c>
      <c r="N689" s="393">
        <f t="shared" ca="1" si="755"/>
        <v>15.99</v>
      </c>
      <c r="O689" s="393">
        <f t="shared" ca="1" si="755"/>
        <v>18.75</v>
      </c>
      <c r="P689" s="393">
        <f t="shared" ca="1" si="755"/>
        <v>18.89</v>
      </c>
      <c r="Q689" s="393">
        <f t="shared" ca="1" si="755"/>
        <v>17.95</v>
      </c>
      <c r="R689" s="393">
        <f t="shared" ca="1" si="755"/>
        <v>17.059999999999999</v>
      </c>
      <c r="S689" s="393">
        <f t="shared" ca="1" si="755"/>
        <v>16.739999999999998</v>
      </c>
      <c r="T689" s="393">
        <f t="shared" ca="1" si="755"/>
        <v>17.5</v>
      </c>
      <c r="U689" s="393">
        <f t="shared" ca="1" si="755"/>
        <v>17.95</v>
      </c>
      <c r="V689" s="393">
        <f t="shared" ca="1" si="755"/>
        <v>15.31</v>
      </c>
      <c r="W689" s="393">
        <f t="shared" ca="1" si="755"/>
        <v>13.04</v>
      </c>
      <c r="X689" s="393">
        <f t="shared" ca="1" si="755"/>
        <v>14.18</v>
      </c>
      <c r="Y689" s="393">
        <f t="shared" ca="1" si="755"/>
        <v>15.9</v>
      </c>
      <c r="Z689" s="393">
        <f t="shared" ca="1" si="755"/>
        <v>15.9</v>
      </c>
      <c r="AA689" s="393">
        <f t="shared" ca="1" si="755"/>
        <v>17.55</v>
      </c>
      <c r="AB689" s="393">
        <f t="shared" ca="1" si="755"/>
        <v>17.739999999999998</v>
      </c>
      <c r="AC689" s="393">
        <f t="shared" ca="1" si="755"/>
        <v>16.190000000000001</v>
      </c>
      <c r="AD689" s="393">
        <f t="shared" ca="1" si="755"/>
        <v>14.35</v>
      </c>
      <c r="AE689" s="393">
        <f t="shared" ca="1" si="755"/>
        <v>17.739999999999998</v>
      </c>
      <c r="AF689" s="393">
        <f t="shared" ca="1" si="755"/>
        <v>20.25</v>
      </c>
      <c r="AG689" s="393">
        <f t="shared" ca="1" si="755"/>
        <v>22.96</v>
      </c>
      <c r="AH689" s="393">
        <f t="shared" ca="1" si="755"/>
        <v>20.260000000000002</v>
      </c>
      <c r="AI689" s="393">
        <f t="shared" ca="1" si="755"/>
        <v>18.93</v>
      </c>
      <c r="AJ689" s="393">
        <f t="shared" ca="1" si="755"/>
        <v>22.96</v>
      </c>
      <c r="AK689" s="393">
        <f t="shared" ca="1" si="755"/>
        <v>20.13</v>
      </c>
      <c r="AL689" s="393">
        <f t="shared" ca="1" si="755"/>
        <v>20.53</v>
      </c>
      <c r="AM689" s="609">
        <f t="shared" ca="1" si="755"/>
        <v>18.420000000000002</v>
      </c>
      <c r="AN689" s="336">
        <f t="shared" ca="1" si="755"/>
        <v>0</v>
      </c>
      <c r="AO689" s="336">
        <f t="shared" ca="1" si="755"/>
        <v>0</v>
      </c>
      <c r="AP689" s="336">
        <f t="shared" ca="1" si="755"/>
        <v>0</v>
      </c>
      <c r="AQ689" s="336">
        <f t="shared" ca="1" si="755"/>
        <v>0</v>
      </c>
      <c r="AR689" s="336">
        <f t="shared" ca="1" si="755"/>
        <v>0</v>
      </c>
      <c r="AS689" s="336">
        <f t="shared" ca="1" si="755"/>
        <v>0</v>
      </c>
      <c r="AT689" s="336">
        <f t="shared" ca="1" si="755"/>
        <v>0</v>
      </c>
      <c r="AU689" s="336">
        <f t="shared" ca="1" si="755"/>
        <v>0</v>
      </c>
      <c r="AV689" s="336">
        <f t="shared" ca="1" si="755"/>
        <v>0</v>
      </c>
      <c r="AW689" s="337">
        <f t="shared" ca="1" si="755"/>
        <v>0</v>
      </c>
      <c r="AX689" s="515"/>
    </row>
    <row r="690" spans="1:50" s="338" customFormat="1" hidden="1" outlineLevel="1" x14ac:dyDescent="0.45">
      <c r="A690" s="339" t="s">
        <v>237</v>
      </c>
      <c r="B690" s="336"/>
      <c r="C690" s="557">
        <v>34.295000000000002</v>
      </c>
      <c r="D690" s="557">
        <v>41.84</v>
      </c>
      <c r="E690" s="393">
        <v>50.7</v>
      </c>
      <c r="F690" s="393">
        <v>44.19</v>
      </c>
      <c r="G690" s="393">
        <v>19.47</v>
      </c>
      <c r="H690" s="393">
        <v>23.58</v>
      </c>
      <c r="I690" s="393">
        <v>24.15</v>
      </c>
      <c r="J690" s="393">
        <v>21.07</v>
      </c>
      <c r="K690" s="393">
        <v>24.15</v>
      </c>
      <c r="L690" s="393">
        <v>18.89</v>
      </c>
      <c r="M690" s="393">
        <v>16.63</v>
      </c>
      <c r="N690" s="393">
        <v>15.99</v>
      </c>
      <c r="O690" s="393">
        <v>18.75</v>
      </c>
      <c r="P690" s="393">
        <v>18.89</v>
      </c>
      <c r="Q690" s="393">
        <v>17.95</v>
      </c>
      <c r="R690" s="393">
        <v>17.059999999999999</v>
      </c>
      <c r="S690" s="393">
        <v>16.739999999999998</v>
      </c>
      <c r="T690" s="393">
        <v>17.5</v>
      </c>
      <c r="U690" s="393">
        <v>17.95</v>
      </c>
      <c r="V690" s="393">
        <v>15.31</v>
      </c>
      <c r="W690" s="393">
        <v>13.04</v>
      </c>
      <c r="X690" s="393">
        <v>14.18</v>
      </c>
      <c r="Y690" s="393">
        <v>15.9</v>
      </c>
      <c r="Z690" s="393">
        <v>15.9</v>
      </c>
      <c r="AA690" s="393">
        <v>17.55</v>
      </c>
      <c r="AB690" s="393">
        <v>17.739999999999998</v>
      </c>
      <c r="AC690" s="393">
        <v>16.190000000000001</v>
      </c>
      <c r="AD690" s="393">
        <v>14.35</v>
      </c>
      <c r="AE690" s="393">
        <v>17.739999999999998</v>
      </c>
      <c r="AF690" s="393">
        <v>20.25</v>
      </c>
      <c r="AG690" s="393">
        <v>22.96</v>
      </c>
      <c r="AH690" s="393">
        <v>20.260000000000002</v>
      </c>
      <c r="AI690" s="393">
        <v>18.93</v>
      </c>
      <c r="AJ690" s="393">
        <v>22.96</v>
      </c>
      <c r="AK690" s="393">
        <v>20.13</v>
      </c>
      <c r="AL690" s="393">
        <v>20.53</v>
      </c>
      <c r="AM690" s="609">
        <v>18.420000000000002</v>
      </c>
      <c r="AN690" s="336"/>
      <c r="AO690" s="336"/>
      <c r="AP690" s="336"/>
      <c r="AQ690" s="336"/>
      <c r="AR690" s="336"/>
      <c r="AS690" s="336"/>
      <c r="AT690" s="336"/>
      <c r="AU690" s="336"/>
      <c r="AV690" s="336"/>
      <c r="AW690" s="337"/>
      <c r="AX690" s="515"/>
    </row>
    <row r="691" spans="1:50" s="338" customFormat="1" hidden="1" outlineLevel="1" x14ac:dyDescent="0.45">
      <c r="A691" s="339" t="s">
        <v>7</v>
      </c>
      <c r="B691" s="336"/>
      <c r="C691" s="557" t="str">
        <f ca="1">IFERROR(BDP(MO.Ticker.Bloomberg&amp;" Equity","INTERVAL_HIGH","MARKET_DATA_OVERRIDE=PX_LAST","START_DATE_OVERRIDE",TEXT(INDEX(MO_SNA_FPStartDate,0,COLUMN()),"YYYYMMDD"),"END_DATE_OVERRIDE",TEXT(INDEX(MO_Common_QEndDate,0,COLUMN()),"YYYYMMDD")),"N/A")</f>
        <v>N/A</v>
      </c>
      <c r="D691" s="557" t="str">
        <f ca="1">IFERROR(BDP(MO.Ticker.Bloomberg&amp;" Equity","INTERVAL_HIGH","MARKET_DATA_OVERRIDE=PX_LAST","START_DATE_OVERRIDE",TEXT(INDEX(MO_SNA_FPStartDate,0,COLUMN()),"YYYYMMDD"),"END_DATE_OVERRIDE",TEXT(INDEX(MO_Common_QEndDate,0,COLUMN()),"YYYYMMDD")),"N/A")</f>
        <v>N/A</v>
      </c>
      <c r="E691" s="393" t="str">
        <f ca="1">IFERROR(BDP(MO.Ticker.Bloomberg&amp;" Equity","INTERVAL_HIGH","MARKET_DATA_OVERRIDE=PX_LAST","START_DATE_OVERRIDE",TEXT(INDEX(MO_SNA_FPStartDate,0,COLUMN()),"YYYYMMDD"),"END_DATE_OVERRIDE",TEXT(INDEX(MO_Common_QEndDate,0,COLUMN()),"YYYYMMDD")),"N/A")</f>
        <v>N/A</v>
      </c>
      <c r="F691" s="393" t="str">
        <f ca="1">IFERROR(BDP(MO.Ticker.Bloomberg&amp;" Equity","INTERVAL_HIGH","MARKET_DATA_OVERRIDE=PX_LAST","START_DATE_OVERRIDE",TEXT(INDEX(MO_SNA_FPStartDate,0,COLUMN()),"YYYYMMDD"),"END_DATE_OVERRIDE",TEXT(INDEX(MO_Common_QEndDate,0,COLUMN()),"YYYYMMDD")),"N/A")</f>
        <v>N/A</v>
      </c>
      <c r="G691" s="393" t="str">
        <f ca="1">IFERROR(BDP(MO.Ticker.Bloomberg&amp;" Equity","INTERVAL_HIGH","MARKET_DATA_OVERRIDE=PX_LAST","START_DATE_OVERRIDE",TEXT(INDEX(MO_SNA_FPStartDate,0,COLUMN()),"YYYYMMDD"),"END_DATE_OVERRIDE",TEXT(INDEX(MO_Common_QEndDate,0,COLUMN()),"YYYYMMDD")),"N/A")</f>
        <v>N/A</v>
      </c>
      <c r="H691" s="393" t="str">
        <f ca="1">IFERROR(BDP(MO.Ticker.Bloomberg&amp;" Equity","INTERVAL_HIGH","MARKET_DATA_OVERRIDE=PX_LAST","START_DATE_OVERRIDE",TEXT(INDEX(MO_SNA_FPStartDate,0,COLUMN()),"YYYYMMDD"),"END_DATE_OVERRIDE",TEXT(INDEX(MO_Common_QEndDate,0,COLUMN()),"YYYYMMDD")),"N/A")</f>
        <v>N/A</v>
      </c>
      <c r="I691" s="393" t="str">
        <f ca="1">IFERROR(BDP(MO.Ticker.Bloomberg&amp;" Equity","INTERVAL_HIGH","MARKET_DATA_OVERRIDE=PX_LAST","START_DATE_OVERRIDE",TEXT(INDEX(MO_SNA_FPStartDate,0,COLUMN()),"YYYYMMDD"),"END_DATE_OVERRIDE",TEXT(INDEX(MO_Common_QEndDate,0,COLUMN()),"YYYYMMDD")),"N/A")</f>
        <v>N/A</v>
      </c>
      <c r="J691" s="393" t="str">
        <f ca="1">IFERROR(BDP(MO.Ticker.Bloomberg&amp;" Equity","INTERVAL_HIGH","MARKET_DATA_OVERRIDE=PX_LAST","START_DATE_OVERRIDE",TEXT(INDEX(MO_SNA_FPStartDate,0,COLUMN()),"YYYYMMDD"),"END_DATE_OVERRIDE",TEXT(INDEX(MO_Common_QEndDate,0,COLUMN()),"YYYYMMDD")),"N/A")</f>
        <v>N/A</v>
      </c>
      <c r="K691" s="393" t="str">
        <f ca="1">IFERROR(BDP(MO.Ticker.Bloomberg&amp;" Equity","INTERVAL_HIGH","MARKET_DATA_OVERRIDE=PX_LAST","START_DATE_OVERRIDE",TEXT(INDEX(MO_SNA_FPStartDate,0,COLUMN()),"YYYYMMDD"),"END_DATE_OVERRIDE",TEXT(INDEX(MO_Common_QEndDate,0,COLUMN()),"YYYYMMDD")),"N/A")</f>
        <v>N/A</v>
      </c>
      <c r="L691" s="393" t="str">
        <f ca="1">IFERROR(BDP(MO.Ticker.Bloomberg&amp;" Equity","INTERVAL_HIGH","MARKET_DATA_OVERRIDE=PX_LAST","START_DATE_OVERRIDE",TEXT(INDEX(MO_SNA_FPStartDate,0,COLUMN()),"YYYYMMDD"),"END_DATE_OVERRIDE",TEXT(INDEX(MO_Common_QEndDate,0,COLUMN()),"YYYYMMDD")),"N/A")</f>
        <v>N/A</v>
      </c>
      <c r="M691" s="393" t="str">
        <f ca="1">IFERROR(BDP(MO.Ticker.Bloomberg&amp;" Equity","INTERVAL_HIGH","MARKET_DATA_OVERRIDE=PX_LAST","START_DATE_OVERRIDE",TEXT(INDEX(MO_SNA_FPStartDate,0,COLUMN()),"YYYYMMDD"),"END_DATE_OVERRIDE",TEXT(INDEX(MO_Common_QEndDate,0,COLUMN()),"YYYYMMDD")),"N/A")</f>
        <v>N/A</v>
      </c>
      <c r="N691" s="393" t="str">
        <f ca="1">IFERROR(BDP(MO.Ticker.Bloomberg&amp;" Equity","INTERVAL_HIGH","MARKET_DATA_OVERRIDE=PX_LAST","START_DATE_OVERRIDE",TEXT(INDEX(MO_SNA_FPStartDate,0,COLUMN()),"YYYYMMDD"),"END_DATE_OVERRIDE",TEXT(INDEX(MO_Common_QEndDate,0,COLUMN()),"YYYYMMDD")),"N/A")</f>
        <v>N/A</v>
      </c>
      <c r="O691" s="393" t="str">
        <f ca="1">IFERROR(BDP(MO.Ticker.Bloomberg&amp;" Equity","INTERVAL_HIGH","MARKET_DATA_OVERRIDE=PX_LAST","START_DATE_OVERRIDE",TEXT(INDEX(MO_SNA_FPStartDate,0,COLUMN()),"YYYYMMDD"),"END_DATE_OVERRIDE",TEXT(INDEX(MO_Common_QEndDate,0,COLUMN()),"YYYYMMDD")),"N/A")</f>
        <v>N/A</v>
      </c>
      <c r="P691" s="393" t="str">
        <f ca="1">IFERROR(BDP(MO.Ticker.Bloomberg&amp;" Equity","INTERVAL_HIGH","MARKET_DATA_OVERRIDE=PX_LAST","START_DATE_OVERRIDE",TEXT(INDEX(MO_SNA_FPStartDate,0,COLUMN()),"YYYYMMDD"),"END_DATE_OVERRIDE",TEXT(INDEX(MO_Common_QEndDate,0,COLUMN()),"YYYYMMDD")),"N/A")</f>
        <v>N/A</v>
      </c>
      <c r="Q691" s="393" t="str">
        <f ca="1">IFERROR(BDP(MO.Ticker.Bloomberg&amp;" Equity","INTERVAL_HIGH","MARKET_DATA_OVERRIDE=PX_LAST","START_DATE_OVERRIDE",TEXT(INDEX(MO_SNA_FPStartDate,0,COLUMN()),"YYYYMMDD"),"END_DATE_OVERRIDE",TEXT(INDEX(MO_Common_QEndDate,0,COLUMN()),"YYYYMMDD")),"N/A")</f>
        <v>N/A</v>
      </c>
      <c r="R691" s="393" t="str">
        <f ca="1">IFERROR(BDP(MO.Ticker.Bloomberg&amp;" Equity","INTERVAL_HIGH","MARKET_DATA_OVERRIDE=PX_LAST","START_DATE_OVERRIDE",TEXT(INDEX(MO_SNA_FPStartDate,0,COLUMN()),"YYYYMMDD"),"END_DATE_OVERRIDE",TEXT(INDEX(MO_Common_QEndDate,0,COLUMN()),"YYYYMMDD")),"N/A")</f>
        <v>N/A</v>
      </c>
      <c r="S691" s="393" t="str">
        <f ca="1">IFERROR(BDP(MO.Ticker.Bloomberg&amp;" Equity","INTERVAL_HIGH","MARKET_DATA_OVERRIDE=PX_LAST","START_DATE_OVERRIDE",TEXT(INDEX(MO_SNA_FPStartDate,0,COLUMN()),"YYYYMMDD"),"END_DATE_OVERRIDE",TEXT(INDEX(MO_Common_QEndDate,0,COLUMN()),"YYYYMMDD")),"N/A")</f>
        <v>N/A</v>
      </c>
      <c r="T691" s="393" t="str">
        <f ca="1">IFERROR(BDP(MO.Ticker.Bloomberg&amp;" Equity","INTERVAL_HIGH","MARKET_DATA_OVERRIDE=PX_LAST","START_DATE_OVERRIDE",TEXT(INDEX(MO_SNA_FPStartDate,0,COLUMN()),"YYYYMMDD"),"END_DATE_OVERRIDE",TEXT(INDEX(MO_Common_QEndDate,0,COLUMN()),"YYYYMMDD")),"N/A")</f>
        <v>N/A</v>
      </c>
      <c r="U691" s="393" t="str">
        <f ca="1">IFERROR(BDP(MO.Ticker.Bloomberg&amp;" Equity","INTERVAL_HIGH","MARKET_DATA_OVERRIDE=PX_LAST","START_DATE_OVERRIDE",TEXT(INDEX(MO_SNA_FPStartDate,0,COLUMN()),"YYYYMMDD"),"END_DATE_OVERRIDE",TEXT(INDEX(MO_Common_QEndDate,0,COLUMN()),"YYYYMMDD")),"N/A")</f>
        <v>N/A</v>
      </c>
      <c r="V691" s="393" t="str">
        <f ca="1">IFERROR(BDP(MO.Ticker.Bloomberg&amp;" Equity","INTERVAL_HIGH","MARKET_DATA_OVERRIDE=PX_LAST","START_DATE_OVERRIDE",TEXT(INDEX(MO_SNA_FPStartDate,0,COLUMN()),"YYYYMMDD"),"END_DATE_OVERRIDE",TEXT(INDEX(MO_Common_QEndDate,0,COLUMN()),"YYYYMMDD")),"N/A")</f>
        <v>N/A</v>
      </c>
      <c r="W691" s="393" t="str">
        <f ca="1">IFERROR(BDP(MO.Ticker.Bloomberg&amp;" Equity","INTERVAL_HIGH","MARKET_DATA_OVERRIDE=PX_LAST","START_DATE_OVERRIDE",TEXT(INDEX(MO_SNA_FPStartDate,0,COLUMN()),"YYYYMMDD"),"END_DATE_OVERRIDE",TEXT(INDEX(MO_Common_QEndDate,0,COLUMN()),"YYYYMMDD")),"N/A")</f>
        <v>N/A</v>
      </c>
      <c r="X691" s="393" t="str">
        <f ca="1">IFERROR(BDP(MO.Ticker.Bloomberg&amp;" Equity","INTERVAL_HIGH","MARKET_DATA_OVERRIDE=PX_LAST","START_DATE_OVERRIDE",TEXT(INDEX(MO_SNA_FPStartDate,0,COLUMN()),"YYYYMMDD"),"END_DATE_OVERRIDE",TEXT(INDEX(MO_Common_QEndDate,0,COLUMN()),"YYYYMMDD")),"N/A")</f>
        <v>N/A</v>
      </c>
      <c r="Y691" s="393" t="str">
        <f ca="1">IFERROR(BDP(MO.Ticker.Bloomberg&amp;" Equity","INTERVAL_HIGH","MARKET_DATA_OVERRIDE=PX_LAST","START_DATE_OVERRIDE",TEXT(INDEX(MO_SNA_FPStartDate,0,COLUMN()),"YYYYMMDD"),"END_DATE_OVERRIDE",TEXT(INDEX(MO_Common_QEndDate,0,COLUMN()),"YYYYMMDD")),"N/A")</f>
        <v>N/A</v>
      </c>
      <c r="Z691" s="393" t="str">
        <f ca="1">IFERROR(BDP(MO.Ticker.Bloomberg&amp;" Equity","INTERVAL_HIGH","MARKET_DATA_OVERRIDE=PX_LAST","START_DATE_OVERRIDE",TEXT(INDEX(MO_SNA_FPStartDate,0,COLUMN()),"YYYYMMDD"),"END_DATE_OVERRIDE",TEXT(INDEX(MO_Common_QEndDate,0,COLUMN()),"YYYYMMDD")),"N/A")</f>
        <v>N/A</v>
      </c>
      <c r="AA691" s="393" t="str">
        <f ca="1">IFERROR(BDP(MO.Ticker.Bloomberg&amp;" Equity","INTERVAL_HIGH","MARKET_DATA_OVERRIDE=PX_LAST","START_DATE_OVERRIDE",TEXT(INDEX(MO_SNA_FPStartDate,0,COLUMN()),"YYYYMMDD"),"END_DATE_OVERRIDE",TEXT(INDEX(MO_Common_QEndDate,0,COLUMN()),"YYYYMMDD")),"N/A")</f>
        <v>N/A</v>
      </c>
      <c r="AB691" s="393" t="str">
        <f ca="1">IFERROR(BDP(MO.Ticker.Bloomberg&amp;" Equity","INTERVAL_HIGH","MARKET_DATA_OVERRIDE=PX_LAST","START_DATE_OVERRIDE",TEXT(INDEX(MO_SNA_FPStartDate,0,COLUMN()),"YYYYMMDD"),"END_DATE_OVERRIDE",TEXT(INDEX(MO_Common_QEndDate,0,COLUMN()),"YYYYMMDD")),"N/A")</f>
        <v>N/A</v>
      </c>
      <c r="AC691" s="393" t="str">
        <f ca="1">IFERROR(BDP(MO.Ticker.Bloomberg&amp;" Equity","INTERVAL_HIGH","MARKET_DATA_OVERRIDE=PX_LAST","START_DATE_OVERRIDE",TEXT(INDEX(MO_SNA_FPStartDate,0,COLUMN()),"YYYYMMDD"),"END_DATE_OVERRIDE",TEXT(INDEX(MO_Common_QEndDate,0,COLUMN()),"YYYYMMDD")),"N/A")</f>
        <v>N/A</v>
      </c>
      <c r="AD691" s="393" t="str">
        <f ca="1">IFERROR(BDP(MO.Ticker.Bloomberg&amp;" Equity","INTERVAL_HIGH","MARKET_DATA_OVERRIDE=PX_LAST","START_DATE_OVERRIDE",TEXT(INDEX(MO_SNA_FPStartDate,0,COLUMN()),"YYYYMMDD"),"END_DATE_OVERRIDE",TEXT(INDEX(MO_Common_QEndDate,0,COLUMN()),"YYYYMMDD")),"N/A")</f>
        <v>N/A</v>
      </c>
      <c r="AE691" s="393" t="str">
        <f ca="1">IFERROR(BDP(MO.Ticker.Bloomberg&amp;" Equity","INTERVAL_HIGH","MARKET_DATA_OVERRIDE=PX_LAST","START_DATE_OVERRIDE",TEXT(INDEX(MO_SNA_FPStartDate,0,COLUMN()),"YYYYMMDD"),"END_DATE_OVERRIDE",TEXT(INDEX(MO_Common_QEndDate,0,COLUMN()),"YYYYMMDD")),"N/A")</f>
        <v>N/A</v>
      </c>
      <c r="AF691" s="393" t="str">
        <f ca="1">IFERROR(BDP(MO.Ticker.Bloomberg&amp;" Equity","INTERVAL_HIGH","MARKET_DATA_OVERRIDE=PX_LAST","START_DATE_OVERRIDE",TEXT(INDEX(MO_SNA_FPStartDate,0,COLUMN()),"YYYYMMDD"),"END_DATE_OVERRIDE",TEXT(INDEX(MO_Common_QEndDate,0,COLUMN()),"YYYYMMDD")),"N/A")</f>
        <v>N/A</v>
      </c>
      <c r="AG691" s="393" t="str">
        <f ca="1">IFERROR(BDP(MO.Ticker.Bloomberg&amp;" Equity","INTERVAL_HIGH","MARKET_DATA_OVERRIDE=PX_LAST","START_DATE_OVERRIDE",TEXT(INDEX(MO_SNA_FPStartDate,0,COLUMN()),"YYYYMMDD"),"END_DATE_OVERRIDE",TEXT(INDEX(MO_Common_QEndDate,0,COLUMN()),"YYYYMMDD")),"N/A")</f>
        <v>N/A</v>
      </c>
      <c r="AH691" s="393" t="str">
        <f ca="1">IFERROR(BDP(MO.Ticker.Bloomberg&amp;" Equity","INTERVAL_HIGH","MARKET_DATA_OVERRIDE=PX_LAST","START_DATE_OVERRIDE",TEXT(INDEX(MO_SNA_FPStartDate,0,COLUMN()),"YYYYMMDD"),"END_DATE_OVERRIDE",TEXT(INDEX(MO_Common_QEndDate,0,COLUMN()),"YYYYMMDD")),"N/A")</f>
        <v>N/A</v>
      </c>
      <c r="AI691" s="393" t="str">
        <f ca="1">IFERROR(BDP(MO.Ticker.Bloomberg&amp;" Equity","INTERVAL_HIGH","MARKET_DATA_OVERRIDE=PX_LAST","START_DATE_OVERRIDE",TEXT(INDEX(MO_SNA_FPStartDate,0,COLUMN()),"YYYYMMDD"),"END_DATE_OVERRIDE",TEXT(INDEX(MO_Common_QEndDate,0,COLUMN()),"YYYYMMDD")),"N/A")</f>
        <v>N/A</v>
      </c>
      <c r="AJ691" s="393" t="str">
        <f ca="1">IFERROR(BDP(MO.Ticker.Bloomberg&amp;" Equity","INTERVAL_HIGH","MARKET_DATA_OVERRIDE=PX_LAST","START_DATE_OVERRIDE",TEXT(INDEX(MO_SNA_FPStartDate,0,COLUMN()),"YYYYMMDD"),"END_DATE_OVERRIDE",TEXT(INDEX(MO_Common_QEndDate,0,COLUMN()),"YYYYMMDD")),"N/A")</f>
        <v>N/A</v>
      </c>
      <c r="AK691" s="393" t="str">
        <f ca="1">IFERROR(BDP(MO.Ticker.Bloomberg&amp;" Equity","INTERVAL_HIGH","MARKET_DATA_OVERRIDE=PX_LAST","START_DATE_OVERRIDE",TEXT(INDEX(MO_SNA_FPStartDate,0,COLUMN()),"YYYYMMDD"),"END_DATE_OVERRIDE",TEXT(INDEX(MO_Common_QEndDate,0,COLUMN()),"YYYYMMDD")),"N/A")</f>
        <v>N/A</v>
      </c>
      <c r="AL691" s="393" t="str">
        <f ca="1">IFERROR(BDP(MO.Ticker.Bloomberg&amp;" Equity","INTERVAL_HIGH","MARKET_DATA_OVERRIDE=PX_LAST","START_DATE_OVERRIDE",TEXT(INDEX(MO_SNA_FPStartDate,0,COLUMN()),"YYYYMMDD"),"END_DATE_OVERRIDE",TEXT(INDEX(MO_Common_QEndDate,0,COLUMN()),"YYYYMMDD")),"N/A")</f>
        <v>N/A</v>
      </c>
      <c r="AM691" s="609" t="str">
        <f ca="1">IFERROR(BDP(MO.Ticker.Bloomberg&amp;" Equity","INTERVAL_HIGH","MARKET_DATA_OVERRIDE=PX_LAST","START_DATE_OVERRIDE",TEXT(INDEX(MO_SNA_FPStartDate,0,COLUMN()),"YYYYMMDD"),"END_DATE_OVERRIDE",TEXT(INDEX(MO_Common_QEndDate,0,COLUMN()),"YYYYMMDD")),"N/A")</f>
        <v>N/A</v>
      </c>
      <c r="AN691" s="336" t="str">
        <f ca="1">IFERROR(BDP(MO.Ticker.Bloomberg&amp;" Equity","INTERVAL_HIGH","MARKET_DATA_OVERRIDE=PX_LAST","START_DATE_OVERRIDE",TEXT(INDEX(MO_SNA_FPStartDate,0,COLUMN()),"YYYYMMDD"),"END_DATE_OVERRIDE",TEXT(INDEX(MO_Common_QEndDate,0,COLUMN()),"YYYYMMDD")),"N/A")</f>
        <v>N/A</v>
      </c>
      <c r="AO691" s="336" t="str">
        <f ca="1">IFERROR(BDP(MO.Ticker.Bloomberg&amp;" Equity","INTERVAL_HIGH","MARKET_DATA_OVERRIDE=PX_LAST","START_DATE_OVERRIDE",TEXT(INDEX(MO_SNA_FPStartDate,0,COLUMN()),"YYYYMMDD"),"END_DATE_OVERRIDE",TEXT(INDEX(MO_Common_QEndDate,0,COLUMN()),"YYYYMMDD")),"N/A")</f>
        <v>N/A</v>
      </c>
      <c r="AP691" s="336" t="str">
        <f ca="1">IFERROR(BDP(MO.Ticker.Bloomberg&amp;" Equity","INTERVAL_HIGH","MARKET_DATA_OVERRIDE=PX_LAST","START_DATE_OVERRIDE",TEXT(INDEX(MO_SNA_FPStartDate,0,COLUMN()),"YYYYMMDD"),"END_DATE_OVERRIDE",TEXT(INDEX(MO_Common_QEndDate,0,COLUMN()),"YYYYMMDD")),"N/A")</f>
        <v>N/A</v>
      </c>
      <c r="AQ691" s="336" t="str">
        <f ca="1">IFERROR(BDP(MO.Ticker.Bloomberg&amp;" Equity","INTERVAL_HIGH","MARKET_DATA_OVERRIDE=PX_LAST","START_DATE_OVERRIDE",TEXT(INDEX(MO_SNA_FPStartDate,0,COLUMN()),"YYYYMMDD"),"END_DATE_OVERRIDE",TEXT(INDEX(MO_Common_QEndDate,0,COLUMN()),"YYYYMMDD")),"N/A")</f>
        <v>N/A</v>
      </c>
      <c r="AR691" s="336" t="str">
        <f ca="1">IFERROR(BDP(MO.Ticker.Bloomberg&amp;" Equity","INTERVAL_HIGH","MARKET_DATA_OVERRIDE=PX_LAST","START_DATE_OVERRIDE",TEXT(INDEX(MO_SNA_FPStartDate,0,COLUMN()),"YYYYMMDD"),"END_DATE_OVERRIDE",TEXT(INDEX(MO_Common_QEndDate,0,COLUMN()),"YYYYMMDD")),"N/A")</f>
        <v>N/A</v>
      </c>
      <c r="AS691" s="336" t="str">
        <f ca="1">IFERROR(BDP(MO.Ticker.Bloomberg&amp;" Equity","INTERVAL_HIGH","MARKET_DATA_OVERRIDE=PX_LAST","START_DATE_OVERRIDE",TEXT(INDEX(MO_SNA_FPStartDate,0,COLUMN()),"YYYYMMDD"),"END_DATE_OVERRIDE",TEXT(INDEX(MO_Common_QEndDate,0,COLUMN()),"YYYYMMDD")),"N/A")</f>
        <v>N/A</v>
      </c>
      <c r="AT691" s="336" t="str">
        <f ca="1">IFERROR(BDP(MO.Ticker.Bloomberg&amp;" Equity","INTERVAL_HIGH","MARKET_DATA_OVERRIDE=PX_LAST","START_DATE_OVERRIDE",TEXT(INDEX(MO_SNA_FPStartDate,0,COLUMN()),"YYYYMMDD"),"END_DATE_OVERRIDE",TEXT(INDEX(MO_Common_QEndDate,0,COLUMN()),"YYYYMMDD")),"N/A")</f>
        <v>N/A</v>
      </c>
      <c r="AU691" s="336" t="str">
        <f ca="1">IFERROR(BDP(MO.Ticker.Bloomberg&amp;" Equity","INTERVAL_HIGH","MARKET_DATA_OVERRIDE=PX_LAST","START_DATE_OVERRIDE",TEXT(INDEX(MO_SNA_FPStartDate,0,COLUMN()),"YYYYMMDD"),"END_DATE_OVERRIDE",TEXT(INDEX(MO_Common_QEndDate,0,COLUMN()),"YYYYMMDD")),"N/A")</f>
        <v>N/A</v>
      </c>
      <c r="AV691" s="336" t="str">
        <f ca="1">IFERROR(BDP(MO.Ticker.Bloomberg&amp;" Equity","INTERVAL_HIGH","MARKET_DATA_OVERRIDE=PX_LAST","START_DATE_OVERRIDE",TEXT(INDEX(MO_SNA_FPStartDate,0,COLUMN()),"YYYYMMDD"),"END_DATE_OVERRIDE",TEXT(INDEX(MO_Common_QEndDate,0,COLUMN()),"YYYYMMDD")),"N/A")</f>
        <v>N/A</v>
      </c>
      <c r="AW691" s="337" t="str">
        <f ca="1">IFERROR(BDP(MO.Ticker.Bloomberg&amp;" Equity","INTERVAL_HIGH","MARKET_DATA_OVERRIDE=PX_LAST","START_DATE_OVERRIDE",TEXT(INDEX(MO_SNA_FPStartDate,0,COLUMN()),"YYYYMMDD"),"END_DATE_OVERRIDE",TEXT(INDEX(MO_Common_QEndDate,0,COLUMN()),"YYYYMMDD")),"N/A")</f>
        <v>N/A</v>
      </c>
      <c r="AX691" s="515"/>
    </row>
    <row r="692" spans="1:50" s="338" customFormat="1" hidden="1" outlineLevel="1" x14ac:dyDescent="0.45">
      <c r="A692" s="339" t="s">
        <v>238</v>
      </c>
      <c r="B692" s="336"/>
      <c r="C692" s="557" t="str">
        <f ca="1">IFERROR(CIQHI(MO.Ticker.CapIQ,"IQ_LASTSALEPRICE",INDEX(MO_SNA_FPStartDate,0,COLUMN()),INDEX(MO_Common_QEndDate,0,COLUMN())),"N/A")</f>
        <v>N/A</v>
      </c>
      <c r="D692" s="557" t="str">
        <f ca="1">IFERROR(CIQHI(MO.Ticker.CapIQ,"IQ_LASTSALEPRICE",INDEX(MO_SNA_FPStartDate,0,COLUMN()),INDEX(MO_Common_QEndDate,0,COLUMN())),"N/A")</f>
        <v>N/A</v>
      </c>
      <c r="E692" s="393" t="str">
        <f ca="1">IFERROR(CIQHI(MO.Ticker.CapIQ,"IQ_LASTSALEPRICE",INDEX(MO_SNA_FPStartDate,0,COLUMN()),INDEX(MO_Common_QEndDate,0,COLUMN())),"N/A")</f>
        <v>N/A</v>
      </c>
      <c r="F692" s="393" t="str">
        <f ca="1">IFERROR(CIQHI(MO.Ticker.CapIQ,"IQ_LASTSALEPRICE",INDEX(MO_SNA_FPStartDate,0,COLUMN()),INDEX(MO_Common_QEndDate,0,COLUMN())),"N/A")</f>
        <v>N/A</v>
      </c>
      <c r="G692" s="393" t="str">
        <f ca="1">IFERROR(CIQHI(MO.Ticker.CapIQ,"IQ_LASTSALEPRICE",INDEX(MO_SNA_FPStartDate,0,COLUMN()),INDEX(MO_Common_QEndDate,0,COLUMN())),"N/A")</f>
        <v>N/A</v>
      </c>
      <c r="H692" s="393" t="str">
        <f ca="1">IFERROR(CIQHI(MO.Ticker.CapIQ,"IQ_LASTSALEPRICE",INDEX(MO_SNA_FPStartDate,0,COLUMN()),INDEX(MO_Common_QEndDate,0,COLUMN())),"N/A")</f>
        <v>N/A</v>
      </c>
      <c r="I692" s="393" t="str">
        <f ca="1">IFERROR(CIQHI(MO.Ticker.CapIQ,"IQ_LASTSALEPRICE",INDEX(MO_SNA_FPStartDate,0,COLUMN()),INDEX(MO_Common_QEndDate,0,COLUMN())),"N/A")</f>
        <v>N/A</v>
      </c>
      <c r="J692" s="393" t="str">
        <f ca="1">IFERROR(CIQHI(MO.Ticker.CapIQ,"IQ_LASTSALEPRICE",INDEX(MO_SNA_FPStartDate,0,COLUMN()),INDEX(MO_Common_QEndDate,0,COLUMN())),"N/A")</f>
        <v>N/A</v>
      </c>
      <c r="K692" s="393" t="str">
        <f ca="1">IFERROR(CIQHI(MO.Ticker.CapIQ,"IQ_LASTSALEPRICE",INDEX(MO_SNA_FPStartDate,0,COLUMN()),INDEX(MO_Common_QEndDate,0,COLUMN())),"N/A")</f>
        <v>N/A</v>
      </c>
      <c r="L692" s="393" t="str">
        <f ca="1">IFERROR(CIQHI(MO.Ticker.CapIQ,"IQ_LASTSALEPRICE",INDEX(MO_SNA_FPStartDate,0,COLUMN()),INDEX(MO_Common_QEndDate,0,COLUMN())),"N/A")</f>
        <v>N/A</v>
      </c>
      <c r="M692" s="393" t="str">
        <f ca="1">IFERROR(CIQHI(MO.Ticker.CapIQ,"IQ_LASTSALEPRICE",INDEX(MO_SNA_FPStartDate,0,COLUMN()),INDEX(MO_Common_QEndDate,0,COLUMN())),"N/A")</f>
        <v>N/A</v>
      </c>
      <c r="N692" s="393" t="str">
        <f ca="1">IFERROR(CIQHI(MO.Ticker.CapIQ,"IQ_LASTSALEPRICE",INDEX(MO_SNA_FPStartDate,0,COLUMN()),INDEX(MO_Common_QEndDate,0,COLUMN())),"N/A")</f>
        <v>N/A</v>
      </c>
      <c r="O692" s="393" t="str">
        <f ca="1">IFERROR(CIQHI(MO.Ticker.CapIQ,"IQ_LASTSALEPRICE",INDEX(MO_SNA_FPStartDate,0,COLUMN()),INDEX(MO_Common_QEndDate,0,COLUMN())),"N/A")</f>
        <v>N/A</v>
      </c>
      <c r="P692" s="393" t="str">
        <f ca="1">IFERROR(CIQHI(MO.Ticker.CapIQ,"IQ_LASTSALEPRICE",INDEX(MO_SNA_FPStartDate,0,COLUMN()),INDEX(MO_Common_QEndDate,0,COLUMN())),"N/A")</f>
        <v>N/A</v>
      </c>
      <c r="Q692" s="393" t="str">
        <f ca="1">IFERROR(CIQHI(MO.Ticker.CapIQ,"IQ_LASTSALEPRICE",INDEX(MO_SNA_FPStartDate,0,COLUMN()),INDEX(MO_Common_QEndDate,0,COLUMN())),"N/A")</f>
        <v>N/A</v>
      </c>
      <c r="R692" s="393" t="str">
        <f ca="1">IFERROR(CIQHI(MO.Ticker.CapIQ,"IQ_LASTSALEPRICE",INDEX(MO_SNA_FPStartDate,0,COLUMN()),INDEX(MO_Common_QEndDate,0,COLUMN())),"N/A")</f>
        <v>N/A</v>
      </c>
      <c r="S692" s="393" t="str">
        <f ca="1">IFERROR(CIQHI(MO.Ticker.CapIQ,"IQ_LASTSALEPRICE",INDEX(MO_SNA_FPStartDate,0,COLUMN()),INDEX(MO_Common_QEndDate,0,COLUMN())),"N/A")</f>
        <v>N/A</v>
      </c>
      <c r="T692" s="393" t="str">
        <f ca="1">IFERROR(CIQHI(MO.Ticker.CapIQ,"IQ_LASTSALEPRICE",INDEX(MO_SNA_FPStartDate,0,COLUMN()),INDEX(MO_Common_QEndDate,0,COLUMN())),"N/A")</f>
        <v>N/A</v>
      </c>
      <c r="U692" s="393" t="str">
        <f ca="1">IFERROR(CIQHI(MO.Ticker.CapIQ,"IQ_LASTSALEPRICE",INDEX(MO_SNA_FPStartDate,0,COLUMN()),INDEX(MO_Common_QEndDate,0,COLUMN())),"N/A")</f>
        <v>N/A</v>
      </c>
      <c r="V692" s="393" t="str">
        <f ca="1">IFERROR(CIQHI(MO.Ticker.CapIQ,"IQ_LASTSALEPRICE",INDEX(MO_SNA_FPStartDate,0,COLUMN()),INDEX(MO_Common_QEndDate,0,COLUMN())),"N/A")</f>
        <v>N/A</v>
      </c>
      <c r="W692" s="393" t="str">
        <f ca="1">IFERROR(CIQHI(MO.Ticker.CapIQ,"IQ_LASTSALEPRICE",INDEX(MO_SNA_FPStartDate,0,COLUMN()),INDEX(MO_Common_QEndDate,0,COLUMN())),"N/A")</f>
        <v>N/A</v>
      </c>
      <c r="X692" s="393" t="str">
        <f ca="1">IFERROR(CIQHI(MO.Ticker.CapIQ,"IQ_LASTSALEPRICE",INDEX(MO_SNA_FPStartDate,0,COLUMN()),INDEX(MO_Common_QEndDate,0,COLUMN())),"N/A")</f>
        <v>N/A</v>
      </c>
      <c r="Y692" s="393" t="str">
        <f ca="1">IFERROR(CIQHI(MO.Ticker.CapIQ,"IQ_LASTSALEPRICE",INDEX(MO_SNA_FPStartDate,0,COLUMN()),INDEX(MO_Common_QEndDate,0,COLUMN())),"N/A")</f>
        <v>N/A</v>
      </c>
      <c r="Z692" s="393" t="str">
        <f ca="1">IFERROR(CIQHI(MO.Ticker.CapIQ,"IQ_LASTSALEPRICE",INDEX(MO_SNA_FPStartDate,0,COLUMN()),INDEX(MO_Common_QEndDate,0,COLUMN())),"N/A")</f>
        <v>N/A</v>
      </c>
      <c r="AA692" s="393" t="str">
        <f ca="1">IFERROR(CIQHI(MO.Ticker.CapIQ,"IQ_LASTSALEPRICE",INDEX(MO_SNA_FPStartDate,0,COLUMN()),INDEX(MO_Common_QEndDate,0,COLUMN())),"N/A")</f>
        <v>N/A</v>
      </c>
      <c r="AB692" s="393" t="str">
        <f ca="1">IFERROR(CIQHI(MO.Ticker.CapIQ,"IQ_LASTSALEPRICE",INDEX(MO_SNA_FPStartDate,0,COLUMN()),INDEX(MO_Common_QEndDate,0,COLUMN())),"N/A")</f>
        <v>N/A</v>
      </c>
      <c r="AC692" s="393" t="str">
        <f ca="1">IFERROR(CIQHI(MO.Ticker.CapIQ,"IQ_LASTSALEPRICE",INDEX(MO_SNA_FPStartDate,0,COLUMN()),INDEX(MO_Common_QEndDate,0,COLUMN())),"N/A")</f>
        <v>N/A</v>
      </c>
      <c r="AD692" s="393" t="str">
        <f ca="1">IFERROR(CIQHI(MO.Ticker.CapIQ,"IQ_LASTSALEPRICE",INDEX(MO_SNA_FPStartDate,0,COLUMN()),INDEX(MO_Common_QEndDate,0,COLUMN())),"N/A")</f>
        <v>N/A</v>
      </c>
      <c r="AE692" s="393" t="str">
        <f ca="1">IFERROR(CIQHI(MO.Ticker.CapIQ,"IQ_LASTSALEPRICE",INDEX(MO_SNA_FPStartDate,0,COLUMN()),INDEX(MO_Common_QEndDate,0,COLUMN())),"N/A")</f>
        <v>N/A</v>
      </c>
      <c r="AF692" s="393" t="str">
        <f ca="1">IFERROR(CIQHI(MO.Ticker.CapIQ,"IQ_LASTSALEPRICE",INDEX(MO_SNA_FPStartDate,0,COLUMN()),INDEX(MO_Common_QEndDate,0,COLUMN())),"N/A")</f>
        <v>N/A</v>
      </c>
      <c r="AG692" s="393" t="str">
        <f ca="1">IFERROR(CIQHI(MO.Ticker.CapIQ,"IQ_LASTSALEPRICE",INDEX(MO_SNA_FPStartDate,0,COLUMN()),INDEX(MO_Common_QEndDate,0,COLUMN())),"N/A")</f>
        <v>N/A</v>
      </c>
      <c r="AH692" s="393" t="str">
        <f ca="1">IFERROR(CIQHI(MO.Ticker.CapIQ,"IQ_LASTSALEPRICE",INDEX(MO_SNA_FPStartDate,0,COLUMN()),INDEX(MO_Common_QEndDate,0,COLUMN())),"N/A")</f>
        <v>N/A</v>
      </c>
      <c r="AI692" s="393" t="str">
        <f ca="1">IFERROR(CIQHI(MO.Ticker.CapIQ,"IQ_LASTSALEPRICE",INDEX(MO_SNA_FPStartDate,0,COLUMN()),INDEX(MO_Common_QEndDate,0,COLUMN())),"N/A")</f>
        <v>N/A</v>
      </c>
      <c r="AJ692" s="393" t="str">
        <f ca="1">IFERROR(CIQHI(MO.Ticker.CapIQ,"IQ_LASTSALEPRICE",INDEX(MO_SNA_FPStartDate,0,COLUMN()),INDEX(MO_Common_QEndDate,0,COLUMN())),"N/A")</f>
        <v>N/A</v>
      </c>
      <c r="AK692" s="393" t="str">
        <f ca="1">IFERROR(CIQHI(MO.Ticker.CapIQ,"IQ_LASTSALEPRICE",INDEX(MO_SNA_FPStartDate,0,COLUMN()),INDEX(MO_Common_QEndDate,0,COLUMN())),"N/A")</f>
        <v>N/A</v>
      </c>
      <c r="AL692" s="393" t="str">
        <f ca="1">IFERROR(CIQHI(MO.Ticker.CapIQ,"IQ_LASTSALEPRICE",INDEX(MO_SNA_FPStartDate,0,COLUMN()),INDEX(MO_Common_QEndDate,0,COLUMN())),"N/A")</f>
        <v>N/A</v>
      </c>
      <c r="AM692" s="609" t="str">
        <f ca="1">IFERROR(CIQHI(MO.Ticker.CapIQ,"IQ_LASTSALEPRICE",INDEX(MO_SNA_FPStartDate,0,COLUMN()),INDEX(MO_Common_QEndDate,0,COLUMN())),"N/A")</f>
        <v>N/A</v>
      </c>
      <c r="AN692" s="336" t="str">
        <f ca="1">IFERROR(CIQHI(MO.Ticker.CapIQ,"IQ_LASTSALEPRICE",INDEX(MO_SNA_FPStartDate,0,COLUMN()),INDEX(MO_Common_QEndDate,0,COLUMN())),"N/A")</f>
        <v>N/A</v>
      </c>
      <c r="AO692" s="336" t="str">
        <f ca="1">IFERROR(CIQHI(MO.Ticker.CapIQ,"IQ_LASTSALEPRICE",INDEX(MO_SNA_FPStartDate,0,COLUMN()),INDEX(MO_Common_QEndDate,0,COLUMN())),"N/A")</f>
        <v>N/A</v>
      </c>
      <c r="AP692" s="336" t="str">
        <f ca="1">IFERROR(CIQHI(MO.Ticker.CapIQ,"IQ_LASTSALEPRICE",INDEX(MO_SNA_FPStartDate,0,COLUMN()),INDEX(MO_Common_QEndDate,0,COLUMN())),"N/A")</f>
        <v>N/A</v>
      </c>
      <c r="AQ692" s="336" t="str">
        <f ca="1">IFERROR(CIQHI(MO.Ticker.CapIQ,"IQ_LASTSALEPRICE",INDEX(MO_SNA_FPStartDate,0,COLUMN()),INDEX(MO_Common_QEndDate,0,COLUMN())),"N/A")</f>
        <v>N/A</v>
      </c>
      <c r="AR692" s="336" t="str">
        <f ca="1">IFERROR(CIQHI(MO.Ticker.CapIQ,"IQ_LASTSALEPRICE",INDEX(MO_SNA_FPStartDate,0,COLUMN()),INDEX(MO_Common_QEndDate,0,COLUMN())),"N/A")</f>
        <v>N/A</v>
      </c>
      <c r="AS692" s="336" t="str">
        <f ca="1">IFERROR(CIQHI(MO.Ticker.CapIQ,"IQ_LASTSALEPRICE",INDEX(MO_SNA_FPStartDate,0,COLUMN()),INDEX(MO_Common_QEndDate,0,COLUMN())),"N/A")</f>
        <v>N/A</v>
      </c>
      <c r="AT692" s="336" t="str">
        <f ca="1">IFERROR(CIQHI(MO.Ticker.CapIQ,"IQ_LASTSALEPRICE",INDEX(MO_SNA_FPStartDate,0,COLUMN()),INDEX(MO_Common_QEndDate,0,COLUMN())),"N/A")</f>
        <v>N/A</v>
      </c>
      <c r="AU692" s="336" t="str">
        <f ca="1">IFERROR(CIQHI(MO.Ticker.CapIQ,"IQ_LASTSALEPRICE",INDEX(MO_SNA_FPStartDate,0,COLUMN()),INDEX(MO_Common_QEndDate,0,COLUMN())),"N/A")</f>
        <v>N/A</v>
      </c>
      <c r="AV692" s="336" t="str">
        <f ca="1">IFERROR(CIQHI(MO.Ticker.CapIQ,"IQ_LASTSALEPRICE",INDEX(MO_SNA_FPStartDate,0,COLUMN()),INDEX(MO_Common_QEndDate,0,COLUMN())),"N/A")</f>
        <v>N/A</v>
      </c>
      <c r="AW692" s="337" t="str">
        <f ca="1">IFERROR(CIQHI(MO.Ticker.CapIQ,"IQ_LASTSALEPRICE",INDEX(MO_SNA_FPStartDate,0,COLUMN()),INDEX(MO_Common_QEndDate,0,COLUMN())),"N/A")</f>
        <v>N/A</v>
      </c>
      <c r="AX692" s="515"/>
    </row>
    <row r="693" spans="1:50" s="338" customFormat="1" hidden="1" outlineLevel="1" x14ac:dyDescent="0.45">
      <c r="A693" s="339" t="s">
        <v>239</v>
      </c>
      <c r="B693" s="336"/>
      <c r="C693" s="557" t="str">
        <f ca="1">IFERROR(FDS(MO.Ticker.FactSet,"P_PRICE_HIGH"&amp;"("&amp;INDEX(MO_SNA_FPStartDate,0,COLUMN())&amp;","&amp;INDEX(MO_Common_QEndDate,0,COLUMN())&amp;",,,,""PRICE"",""CLOSE"")"),"N/A")</f>
        <v>N/A</v>
      </c>
      <c r="D693" s="557" t="str">
        <f ca="1">IFERROR(FDS(MO.Ticker.FactSet,"P_PRICE_HIGH"&amp;"("&amp;INDEX(MO_SNA_FPStartDate,0,COLUMN())&amp;","&amp;INDEX(MO_Common_QEndDate,0,COLUMN())&amp;",,,,""PRICE"",""CLOSE"")"),"N/A")</f>
        <v>N/A</v>
      </c>
      <c r="E693" s="393" t="str">
        <f ca="1">IFERROR(FDS(MO.Ticker.FactSet,"P_PRICE_HIGH"&amp;"("&amp;INDEX(MO_SNA_FPStartDate,0,COLUMN())&amp;","&amp;INDEX(MO_Common_QEndDate,0,COLUMN())&amp;",,,,""PRICE"",""CLOSE"")"),"N/A")</f>
        <v>N/A</v>
      </c>
      <c r="F693" s="393" t="str">
        <f ca="1">IFERROR(FDS(MO.Ticker.FactSet,"P_PRICE_HIGH"&amp;"("&amp;INDEX(MO_SNA_FPStartDate,0,COLUMN())&amp;","&amp;INDEX(MO_Common_QEndDate,0,COLUMN())&amp;",,,,""PRICE"",""CLOSE"")"),"N/A")</f>
        <v>N/A</v>
      </c>
      <c r="G693" s="393" t="str">
        <f ca="1">IFERROR(FDS(MO.Ticker.FactSet,"P_PRICE_HIGH"&amp;"("&amp;INDEX(MO_SNA_FPStartDate,0,COLUMN())&amp;","&amp;INDEX(MO_Common_QEndDate,0,COLUMN())&amp;",,,,""PRICE"",""CLOSE"")"),"N/A")</f>
        <v>N/A</v>
      </c>
      <c r="H693" s="393" t="str">
        <f ca="1">IFERROR(FDS(MO.Ticker.FactSet,"P_PRICE_HIGH"&amp;"("&amp;INDEX(MO_SNA_FPStartDate,0,COLUMN())&amp;","&amp;INDEX(MO_Common_QEndDate,0,COLUMN())&amp;",,,,""PRICE"",""CLOSE"")"),"N/A")</f>
        <v>N/A</v>
      </c>
      <c r="I693" s="393" t="str">
        <f ca="1">IFERROR(FDS(MO.Ticker.FactSet,"P_PRICE_HIGH"&amp;"("&amp;INDEX(MO_SNA_FPStartDate,0,COLUMN())&amp;","&amp;INDEX(MO_Common_QEndDate,0,COLUMN())&amp;",,,,""PRICE"",""CLOSE"")"),"N/A")</f>
        <v>N/A</v>
      </c>
      <c r="J693" s="393" t="str">
        <f ca="1">IFERROR(FDS(MO.Ticker.FactSet,"P_PRICE_HIGH"&amp;"("&amp;INDEX(MO_SNA_FPStartDate,0,COLUMN())&amp;","&amp;INDEX(MO_Common_QEndDate,0,COLUMN())&amp;",,,,""PRICE"",""CLOSE"")"),"N/A")</f>
        <v>N/A</v>
      </c>
      <c r="K693" s="393" t="str">
        <f ca="1">IFERROR(FDS(MO.Ticker.FactSet,"P_PRICE_HIGH"&amp;"("&amp;INDEX(MO_SNA_FPStartDate,0,COLUMN())&amp;","&amp;INDEX(MO_Common_QEndDate,0,COLUMN())&amp;",,,,""PRICE"",""CLOSE"")"),"N/A")</f>
        <v>N/A</v>
      </c>
      <c r="L693" s="393" t="str">
        <f ca="1">IFERROR(FDS(MO.Ticker.FactSet,"P_PRICE_HIGH"&amp;"("&amp;INDEX(MO_SNA_FPStartDate,0,COLUMN())&amp;","&amp;INDEX(MO_Common_QEndDate,0,COLUMN())&amp;",,,,""PRICE"",""CLOSE"")"),"N/A")</f>
        <v>N/A</v>
      </c>
      <c r="M693" s="393" t="str">
        <f ca="1">IFERROR(FDS(MO.Ticker.FactSet,"P_PRICE_HIGH"&amp;"("&amp;INDEX(MO_SNA_FPStartDate,0,COLUMN())&amp;","&amp;INDEX(MO_Common_QEndDate,0,COLUMN())&amp;",,,,""PRICE"",""CLOSE"")"),"N/A")</f>
        <v>N/A</v>
      </c>
      <c r="N693" s="393" t="str">
        <f ca="1">IFERROR(FDS(MO.Ticker.FactSet,"P_PRICE_HIGH"&amp;"("&amp;INDEX(MO_SNA_FPStartDate,0,COLUMN())&amp;","&amp;INDEX(MO_Common_QEndDate,0,COLUMN())&amp;",,,,""PRICE"",""CLOSE"")"),"N/A")</f>
        <v>N/A</v>
      </c>
      <c r="O693" s="393" t="str">
        <f ca="1">IFERROR(FDS(MO.Ticker.FactSet,"P_PRICE_HIGH"&amp;"("&amp;INDEX(MO_SNA_FPStartDate,0,COLUMN())&amp;","&amp;INDEX(MO_Common_QEndDate,0,COLUMN())&amp;",,,,""PRICE"",""CLOSE"")"),"N/A")</f>
        <v>N/A</v>
      </c>
      <c r="P693" s="393" t="str">
        <f ca="1">IFERROR(FDS(MO.Ticker.FactSet,"P_PRICE_HIGH"&amp;"("&amp;INDEX(MO_SNA_FPStartDate,0,COLUMN())&amp;","&amp;INDEX(MO_Common_QEndDate,0,COLUMN())&amp;",,,,""PRICE"",""CLOSE"")"),"N/A")</f>
        <v>N/A</v>
      </c>
      <c r="Q693" s="393" t="str">
        <f ca="1">IFERROR(FDS(MO.Ticker.FactSet,"P_PRICE_HIGH"&amp;"("&amp;INDEX(MO_SNA_FPStartDate,0,COLUMN())&amp;","&amp;INDEX(MO_Common_QEndDate,0,COLUMN())&amp;",,,,""PRICE"",""CLOSE"")"),"N/A")</f>
        <v>N/A</v>
      </c>
      <c r="R693" s="393" t="str">
        <f ca="1">IFERROR(FDS(MO.Ticker.FactSet,"P_PRICE_HIGH"&amp;"("&amp;INDEX(MO_SNA_FPStartDate,0,COLUMN())&amp;","&amp;INDEX(MO_Common_QEndDate,0,COLUMN())&amp;",,,,""PRICE"",""CLOSE"")"),"N/A")</f>
        <v>N/A</v>
      </c>
      <c r="S693" s="393" t="str">
        <f ca="1">IFERROR(FDS(MO.Ticker.FactSet,"P_PRICE_HIGH"&amp;"("&amp;INDEX(MO_SNA_FPStartDate,0,COLUMN())&amp;","&amp;INDEX(MO_Common_QEndDate,0,COLUMN())&amp;",,,,""PRICE"",""CLOSE"")"),"N/A")</f>
        <v>N/A</v>
      </c>
      <c r="T693" s="393" t="str">
        <f ca="1">IFERROR(FDS(MO.Ticker.FactSet,"P_PRICE_HIGH"&amp;"("&amp;INDEX(MO_SNA_FPStartDate,0,COLUMN())&amp;","&amp;INDEX(MO_Common_QEndDate,0,COLUMN())&amp;",,,,""PRICE"",""CLOSE"")"),"N/A")</f>
        <v>N/A</v>
      </c>
      <c r="U693" s="393" t="str">
        <f ca="1">IFERROR(FDS(MO.Ticker.FactSet,"P_PRICE_HIGH"&amp;"("&amp;INDEX(MO_SNA_FPStartDate,0,COLUMN())&amp;","&amp;INDEX(MO_Common_QEndDate,0,COLUMN())&amp;",,,,""PRICE"",""CLOSE"")"),"N/A")</f>
        <v>N/A</v>
      </c>
      <c r="V693" s="393" t="str">
        <f ca="1">IFERROR(FDS(MO.Ticker.FactSet,"P_PRICE_HIGH"&amp;"("&amp;INDEX(MO_SNA_FPStartDate,0,COLUMN())&amp;","&amp;INDEX(MO_Common_QEndDate,0,COLUMN())&amp;",,,,""PRICE"",""CLOSE"")"),"N/A")</f>
        <v>N/A</v>
      </c>
      <c r="W693" s="393" t="str">
        <f ca="1">IFERROR(FDS(MO.Ticker.FactSet,"P_PRICE_HIGH"&amp;"("&amp;INDEX(MO_SNA_FPStartDate,0,COLUMN())&amp;","&amp;INDEX(MO_Common_QEndDate,0,COLUMN())&amp;",,,,""PRICE"",""CLOSE"")"),"N/A")</f>
        <v>N/A</v>
      </c>
      <c r="X693" s="393" t="str">
        <f ca="1">IFERROR(FDS(MO.Ticker.FactSet,"P_PRICE_HIGH"&amp;"("&amp;INDEX(MO_SNA_FPStartDate,0,COLUMN())&amp;","&amp;INDEX(MO_Common_QEndDate,0,COLUMN())&amp;",,,,""PRICE"",""CLOSE"")"),"N/A")</f>
        <v>N/A</v>
      </c>
      <c r="Y693" s="393" t="str">
        <f ca="1">IFERROR(FDS(MO.Ticker.FactSet,"P_PRICE_HIGH"&amp;"("&amp;INDEX(MO_SNA_FPStartDate,0,COLUMN())&amp;","&amp;INDEX(MO_Common_QEndDate,0,COLUMN())&amp;",,,,""PRICE"",""CLOSE"")"),"N/A")</f>
        <v>N/A</v>
      </c>
      <c r="Z693" s="393" t="str">
        <f ca="1">IFERROR(FDS(MO.Ticker.FactSet,"P_PRICE_HIGH"&amp;"("&amp;INDEX(MO_SNA_FPStartDate,0,COLUMN())&amp;","&amp;INDEX(MO_Common_QEndDate,0,COLUMN())&amp;",,,,""PRICE"",""CLOSE"")"),"N/A")</f>
        <v>N/A</v>
      </c>
      <c r="AA693" s="393" t="str">
        <f ca="1">IFERROR(FDS(MO.Ticker.FactSet,"P_PRICE_HIGH"&amp;"("&amp;INDEX(MO_SNA_FPStartDate,0,COLUMN())&amp;","&amp;INDEX(MO_Common_QEndDate,0,COLUMN())&amp;",,,,""PRICE"",""CLOSE"")"),"N/A")</f>
        <v>N/A</v>
      </c>
      <c r="AB693" s="393" t="str">
        <f ca="1">IFERROR(FDS(MO.Ticker.FactSet,"P_PRICE_HIGH"&amp;"("&amp;INDEX(MO_SNA_FPStartDate,0,COLUMN())&amp;","&amp;INDEX(MO_Common_QEndDate,0,COLUMN())&amp;",,,,""PRICE"",""CLOSE"")"),"N/A")</f>
        <v>N/A</v>
      </c>
      <c r="AC693" s="393" t="str">
        <f ca="1">IFERROR(FDS(MO.Ticker.FactSet,"P_PRICE_HIGH"&amp;"("&amp;INDEX(MO_SNA_FPStartDate,0,COLUMN())&amp;","&amp;INDEX(MO_Common_QEndDate,0,COLUMN())&amp;",,,,""PRICE"",""CLOSE"")"),"N/A")</f>
        <v>N/A</v>
      </c>
      <c r="AD693" s="393" t="str">
        <f ca="1">IFERROR(FDS(MO.Ticker.FactSet,"P_PRICE_HIGH"&amp;"("&amp;INDEX(MO_SNA_FPStartDate,0,COLUMN())&amp;","&amp;INDEX(MO_Common_QEndDate,0,COLUMN())&amp;",,,,""PRICE"",""CLOSE"")"),"N/A")</f>
        <v>N/A</v>
      </c>
      <c r="AE693" s="393" t="str">
        <f ca="1">IFERROR(FDS(MO.Ticker.FactSet,"P_PRICE_HIGH"&amp;"("&amp;INDEX(MO_SNA_FPStartDate,0,COLUMN())&amp;","&amp;INDEX(MO_Common_QEndDate,0,COLUMN())&amp;",,,,""PRICE"",""CLOSE"")"),"N/A")</f>
        <v>N/A</v>
      </c>
      <c r="AF693" s="393" t="str">
        <f ca="1">IFERROR(FDS(MO.Ticker.FactSet,"P_PRICE_HIGH"&amp;"("&amp;INDEX(MO_SNA_FPStartDate,0,COLUMN())&amp;","&amp;INDEX(MO_Common_QEndDate,0,COLUMN())&amp;",,,,""PRICE"",""CLOSE"")"),"N/A")</f>
        <v>N/A</v>
      </c>
      <c r="AG693" s="393" t="str">
        <f ca="1">IFERROR(FDS(MO.Ticker.FactSet,"P_PRICE_HIGH"&amp;"("&amp;INDEX(MO_SNA_FPStartDate,0,COLUMN())&amp;","&amp;INDEX(MO_Common_QEndDate,0,COLUMN())&amp;",,,,""PRICE"",""CLOSE"")"),"N/A")</f>
        <v>N/A</v>
      </c>
      <c r="AH693" s="393" t="str">
        <f ca="1">IFERROR(FDS(MO.Ticker.FactSet,"P_PRICE_HIGH"&amp;"("&amp;INDEX(MO_SNA_FPStartDate,0,COLUMN())&amp;","&amp;INDEX(MO_Common_QEndDate,0,COLUMN())&amp;",,,,""PRICE"",""CLOSE"")"),"N/A")</f>
        <v>N/A</v>
      </c>
      <c r="AI693" s="393" t="str">
        <f ca="1">IFERROR(FDS(MO.Ticker.FactSet,"P_PRICE_HIGH"&amp;"("&amp;INDEX(MO_SNA_FPStartDate,0,COLUMN())&amp;","&amp;INDEX(MO_Common_QEndDate,0,COLUMN())&amp;",,,,""PRICE"",""CLOSE"")"),"N/A")</f>
        <v>N/A</v>
      </c>
      <c r="AJ693" s="393" t="str">
        <f ca="1">IFERROR(FDS(MO.Ticker.FactSet,"P_PRICE_HIGH"&amp;"("&amp;INDEX(MO_SNA_FPStartDate,0,COLUMN())&amp;","&amp;INDEX(MO_Common_QEndDate,0,COLUMN())&amp;",,,,""PRICE"",""CLOSE"")"),"N/A")</f>
        <v>N/A</v>
      </c>
      <c r="AK693" s="393" t="str">
        <f ca="1">IFERROR(FDS(MO.Ticker.FactSet,"P_PRICE_HIGH"&amp;"("&amp;INDEX(MO_SNA_FPStartDate,0,COLUMN())&amp;","&amp;INDEX(MO_Common_QEndDate,0,COLUMN())&amp;",,,,""PRICE"",""CLOSE"")"),"N/A")</f>
        <v>N/A</v>
      </c>
      <c r="AL693" s="393" t="str">
        <f ca="1">IFERROR(FDS(MO.Ticker.FactSet,"P_PRICE_HIGH"&amp;"("&amp;INDEX(MO_SNA_FPStartDate,0,COLUMN())&amp;","&amp;INDEX(MO_Common_QEndDate,0,COLUMN())&amp;",,,,""PRICE"",""CLOSE"")"),"N/A")</f>
        <v>N/A</v>
      </c>
      <c r="AM693" s="609" t="str">
        <f ca="1">IFERROR(FDS(MO.Ticker.FactSet,"P_PRICE_HIGH"&amp;"("&amp;INDEX(MO_SNA_FPStartDate,0,COLUMN())&amp;","&amp;INDEX(MO_Common_QEndDate,0,COLUMN())&amp;",,,,""PRICE"",""CLOSE"")"),"N/A")</f>
        <v>N/A</v>
      </c>
      <c r="AN693" s="336" t="str">
        <f ca="1">IFERROR(FDS(MO.Ticker.FactSet,"P_PRICE_HIGH"&amp;"("&amp;INDEX(MO_SNA_FPStartDate,0,COLUMN())&amp;","&amp;INDEX(MO_Common_QEndDate,0,COLUMN())&amp;",,,,""PRICE"",""CLOSE"")"),"N/A")</f>
        <v>N/A</v>
      </c>
      <c r="AO693" s="336" t="str">
        <f ca="1">IFERROR(FDS(MO.Ticker.FactSet,"P_PRICE_HIGH"&amp;"("&amp;INDEX(MO_SNA_FPStartDate,0,COLUMN())&amp;","&amp;INDEX(MO_Common_QEndDate,0,COLUMN())&amp;",,,,""PRICE"",""CLOSE"")"),"N/A")</f>
        <v>N/A</v>
      </c>
      <c r="AP693" s="336" t="str">
        <f ca="1">IFERROR(FDS(MO.Ticker.FactSet,"P_PRICE_HIGH"&amp;"("&amp;INDEX(MO_SNA_FPStartDate,0,COLUMN())&amp;","&amp;INDEX(MO_Common_QEndDate,0,COLUMN())&amp;",,,,""PRICE"",""CLOSE"")"),"N/A")</f>
        <v>N/A</v>
      </c>
      <c r="AQ693" s="336" t="str">
        <f ca="1">IFERROR(FDS(MO.Ticker.FactSet,"P_PRICE_HIGH"&amp;"("&amp;INDEX(MO_SNA_FPStartDate,0,COLUMN())&amp;","&amp;INDEX(MO_Common_QEndDate,0,COLUMN())&amp;",,,,""PRICE"",""CLOSE"")"),"N/A")</f>
        <v>N/A</v>
      </c>
      <c r="AR693" s="336" t="str">
        <f ca="1">IFERROR(FDS(MO.Ticker.FactSet,"P_PRICE_HIGH"&amp;"("&amp;INDEX(MO_SNA_FPStartDate,0,COLUMN())&amp;","&amp;INDEX(MO_Common_QEndDate,0,COLUMN())&amp;",,,,""PRICE"",""CLOSE"")"),"N/A")</f>
        <v>N/A</v>
      </c>
      <c r="AS693" s="336" t="str">
        <f ca="1">IFERROR(FDS(MO.Ticker.FactSet,"P_PRICE_HIGH"&amp;"("&amp;INDEX(MO_SNA_FPStartDate,0,COLUMN())&amp;","&amp;INDEX(MO_Common_QEndDate,0,COLUMN())&amp;",,,,""PRICE"",""CLOSE"")"),"N/A")</f>
        <v>N/A</v>
      </c>
      <c r="AT693" s="336" t="str">
        <f ca="1">IFERROR(FDS(MO.Ticker.FactSet,"P_PRICE_HIGH"&amp;"("&amp;INDEX(MO_SNA_FPStartDate,0,COLUMN())&amp;","&amp;INDEX(MO_Common_QEndDate,0,COLUMN())&amp;",,,,""PRICE"",""CLOSE"")"),"N/A")</f>
        <v>N/A</v>
      </c>
      <c r="AU693" s="336" t="str">
        <f ca="1">IFERROR(FDS(MO.Ticker.FactSet,"P_PRICE_HIGH"&amp;"("&amp;INDEX(MO_SNA_FPStartDate,0,COLUMN())&amp;","&amp;INDEX(MO_Common_QEndDate,0,COLUMN())&amp;",,,,""PRICE"",""CLOSE"")"),"N/A")</f>
        <v>N/A</v>
      </c>
      <c r="AV693" s="336" t="str">
        <f ca="1">IFERROR(FDS(MO.Ticker.FactSet,"P_PRICE_HIGH"&amp;"("&amp;INDEX(MO_SNA_FPStartDate,0,COLUMN())&amp;","&amp;INDEX(MO_Common_QEndDate,0,COLUMN())&amp;",,,,""PRICE"",""CLOSE"")"),"N/A")</f>
        <v>N/A</v>
      </c>
      <c r="AW693" s="337" t="str">
        <f ca="1">IFERROR(FDS(MO.Ticker.FactSet,"P_PRICE_HIGH"&amp;"("&amp;INDEX(MO_SNA_FPStartDate,0,COLUMN())&amp;","&amp;INDEX(MO_Common_QEndDate,0,COLUMN())&amp;",,,,""PRICE"",""CLOSE"")"),"N/A")</f>
        <v>N/A</v>
      </c>
      <c r="AX693" s="515"/>
    </row>
    <row r="694" spans="1:50" s="338" customFormat="1" hidden="1" outlineLevel="1" x14ac:dyDescent="0.45">
      <c r="A694" s="339" t="s">
        <v>240</v>
      </c>
      <c r="B694" s="336"/>
      <c r="C694" s="557" t="str">
        <f ca="1">IFERROR(_xll.TR(MO.Ticker.Thomson,"MAX(TR.Pricehigh)","sdate:#1 edate:#2",,INDEX(MO_SNA_FPStartDate,0,COLUMN()),INDEX(MO_Common_QEndDate,0,COLUMN())),"N/A")</f>
        <v>N/A</v>
      </c>
      <c r="D694" s="557" t="str">
        <f ca="1">IFERROR(_xll.TR(MO.Ticker.Thomson,"MAX(TR.Pricehigh)","sdate:#1 edate:#2",,INDEX(MO_SNA_FPStartDate,0,COLUMN()),INDEX(MO_Common_QEndDate,0,COLUMN())),"N/A")</f>
        <v>N/A</v>
      </c>
      <c r="E694" s="393" t="str">
        <f ca="1">IFERROR(_xll.TR(MO.Ticker.Thomson,"MAX(TR.Pricehigh)","sdate:#1 edate:#2",,INDEX(MO_SNA_FPStartDate,0,COLUMN()),INDEX(MO_Common_QEndDate,0,COLUMN())),"N/A")</f>
        <v>N/A</v>
      </c>
      <c r="F694" s="393" t="str">
        <f ca="1">IFERROR(_xll.TR(MO.Ticker.Thomson,"MAX(TR.Pricehigh)","sdate:#1 edate:#2",,INDEX(MO_SNA_FPStartDate,0,COLUMN()),INDEX(MO_Common_QEndDate,0,COLUMN())),"N/A")</f>
        <v>N/A</v>
      </c>
      <c r="G694" s="393" t="str">
        <f ca="1">IFERROR(_xll.TR(MO.Ticker.Thomson,"MAX(TR.Pricehigh)","sdate:#1 edate:#2",,INDEX(MO_SNA_FPStartDate,0,COLUMN()),INDEX(MO_Common_QEndDate,0,COLUMN())),"N/A")</f>
        <v>N/A</v>
      </c>
      <c r="H694" s="393" t="str">
        <f ca="1">IFERROR(_xll.TR(MO.Ticker.Thomson,"MAX(TR.Pricehigh)","sdate:#1 edate:#2",,INDEX(MO_SNA_FPStartDate,0,COLUMN()),INDEX(MO_Common_QEndDate,0,COLUMN())),"N/A")</f>
        <v>N/A</v>
      </c>
      <c r="I694" s="393" t="str">
        <f ca="1">IFERROR(_xll.TR(MO.Ticker.Thomson,"MAX(TR.Pricehigh)","sdate:#1 edate:#2",,INDEX(MO_SNA_FPStartDate,0,COLUMN()),INDEX(MO_Common_QEndDate,0,COLUMN())),"N/A")</f>
        <v>N/A</v>
      </c>
      <c r="J694" s="393" t="str">
        <f ca="1">IFERROR(_xll.TR(MO.Ticker.Thomson,"MAX(TR.Pricehigh)","sdate:#1 edate:#2",,INDEX(MO_SNA_FPStartDate,0,COLUMN()),INDEX(MO_Common_QEndDate,0,COLUMN())),"N/A")</f>
        <v>N/A</v>
      </c>
      <c r="K694" s="393" t="str">
        <f ca="1">IFERROR(_xll.TR(MO.Ticker.Thomson,"MAX(TR.Pricehigh)","sdate:#1 edate:#2",,INDEX(MO_SNA_FPStartDate,0,COLUMN()),INDEX(MO_Common_QEndDate,0,COLUMN())),"N/A")</f>
        <v>N/A</v>
      </c>
      <c r="L694" s="393" t="str">
        <f ca="1">IFERROR(_xll.TR(MO.Ticker.Thomson,"MAX(TR.Pricehigh)","sdate:#1 edate:#2",,INDEX(MO_SNA_FPStartDate,0,COLUMN()),INDEX(MO_Common_QEndDate,0,COLUMN())),"N/A")</f>
        <v>N/A</v>
      </c>
      <c r="M694" s="393" t="str">
        <f ca="1">IFERROR(_xll.TR(MO.Ticker.Thomson,"MAX(TR.Pricehigh)","sdate:#1 edate:#2",,INDEX(MO_SNA_FPStartDate,0,COLUMN()),INDEX(MO_Common_QEndDate,0,COLUMN())),"N/A")</f>
        <v>N/A</v>
      </c>
      <c r="N694" s="393" t="str">
        <f ca="1">IFERROR(_xll.TR(MO.Ticker.Thomson,"MAX(TR.Pricehigh)","sdate:#1 edate:#2",,INDEX(MO_SNA_FPStartDate,0,COLUMN()),INDEX(MO_Common_QEndDate,0,COLUMN())),"N/A")</f>
        <v>N/A</v>
      </c>
      <c r="O694" s="393" t="str">
        <f ca="1">IFERROR(_xll.TR(MO.Ticker.Thomson,"MAX(TR.Pricehigh)","sdate:#1 edate:#2",,INDEX(MO_SNA_FPStartDate,0,COLUMN()),INDEX(MO_Common_QEndDate,0,COLUMN())),"N/A")</f>
        <v>N/A</v>
      </c>
      <c r="P694" s="393" t="str">
        <f ca="1">IFERROR(_xll.TR(MO.Ticker.Thomson,"MAX(TR.Pricehigh)","sdate:#1 edate:#2",,INDEX(MO_SNA_FPStartDate,0,COLUMN()),INDEX(MO_Common_QEndDate,0,COLUMN())),"N/A")</f>
        <v>N/A</v>
      </c>
      <c r="Q694" s="393" t="str">
        <f ca="1">IFERROR(_xll.TR(MO.Ticker.Thomson,"MAX(TR.Pricehigh)","sdate:#1 edate:#2",,INDEX(MO_SNA_FPStartDate,0,COLUMN()),INDEX(MO_Common_QEndDate,0,COLUMN())),"N/A")</f>
        <v>N/A</v>
      </c>
      <c r="R694" s="393" t="str">
        <f ca="1">IFERROR(_xll.TR(MO.Ticker.Thomson,"MAX(TR.Pricehigh)","sdate:#1 edate:#2",,INDEX(MO_SNA_FPStartDate,0,COLUMN()),INDEX(MO_Common_QEndDate,0,COLUMN())),"N/A")</f>
        <v>N/A</v>
      </c>
      <c r="S694" s="393" t="str">
        <f ca="1">IFERROR(_xll.TR(MO.Ticker.Thomson,"MAX(TR.Pricehigh)","sdate:#1 edate:#2",,INDEX(MO_SNA_FPStartDate,0,COLUMN()),INDEX(MO_Common_QEndDate,0,COLUMN())),"N/A")</f>
        <v>N/A</v>
      </c>
      <c r="T694" s="393" t="str">
        <f ca="1">IFERROR(_xll.TR(MO.Ticker.Thomson,"MAX(TR.Pricehigh)","sdate:#1 edate:#2",,INDEX(MO_SNA_FPStartDate,0,COLUMN()),INDEX(MO_Common_QEndDate,0,COLUMN())),"N/A")</f>
        <v>N/A</v>
      </c>
      <c r="U694" s="393" t="str">
        <f ca="1">IFERROR(_xll.TR(MO.Ticker.Thomson,"MAX(TR.Pricehigh)","sdate:#1 edate:#2",,INDEX(MO_SNA_FPStartDate,0,COLUMN()),INDEX(MO_Common_QEndDate,0,COLUMN())),"N/A")</f>
        <v>N/A</v>
      </c>
      <c r="V694" s="393" t="str">
        <f ca="1">IFERROR(_xll.TR(MO.Ticker.Thomson,"MAX(TR.Pricehigh)","sdate:#1 edate:#2",,INDEX(MO_SNA_FPStartDate,0,COLUMN()),INDEX(MO_Common_QEndDate,0,COLUMN())),"N/A")</f>
        <v>N/A</v>
      </c>
      <c r="W694" s="393" t="str">
        <f ca="1">IFERROR(_xll.TR(MO.Ticker.Thomson,"MAX(TR.Pricehigh)","sdate:#1 edate:#2",,INDEX(MO_SNA_FPStartDate,0,COLUMN()),INDEX(MO_Common_QEndDate,0,COLUMN())),"N/A")</f>
        <v>N/A</v>
      </c>
      <c r="X694" s="393" t="str">
        <f ca="1">IFERROR(_xll.TR(MO.Ticker.Thomson,"MAX(TR.Pricehigh)","sdate:#1 edate:#2",,INDEX(MO_SNA_FPStartDate,0,COLUMN()),INDEX(MO_Common_QEndDate,0,COLUMN())),"N/A")</f>
        <v>N/A</v>
      </c>
      <c r="Y694" s="393" t="str">
        <f ca="1">IFERROR(_xll.TR(MO.Ticker.Thomson,"MAX(TR.Pricehigh)","sdate:#1 edate:#2",,INDEX(MO_SNA_FPStartDate,0,COLUMN()),INDEX(MO_Common_QEndDate,0,COLUMN())),"N/A")</f>
        <v>N/A</v>
      </c>
      <c r="Z694" s="393" t="str">
        <f ca="1">IFERROR(_xll.TR(MO.Ticker.Thomson,"MAX(TR.Pricehigh)","sdate:#1 edate:#2",,INDEX(MO_SNA_FPStartDate,0,COLUMN()),INDEX(MO_Common_QEndDate,0,COLUMN())),"N/A")</f>
        <v>N/A</v>
      </c>
      <c r="AA694" s="393" t="str">
        <f ca="1">IFERROR(_xll.TR(MO.Ticker.Thomson,"MAX(TR.Pricehigh)","sdate:#1 edate:#2",,INDEX(MO_SNA_FPStartDate,0,COLUMN()),INDEX(MO_Common_QEndDate,0,COLUMN())),"N/A")</f>
        <v>N/A</v>
      </c>
      <c r="AB694" s="393" t="str">
        <f ca="1">IFERROR(_xll.TR(MO.Ticker.Thomson,"MAX(TR.Pricehigh)","sdate:#1 edate:#2",,INDEX(MO_SNA_FPStartDate,0,COLUMN()),INDEX(MO_Common_QEndDate,0,COLUMN())),"N/A")</f>
        <v>N/A</v>
      </c>
      <c r="AC694" s="393" t="str">
        <f ca="1">IFERROR(_xll.TR(MO.Ticker.Thomson,"MAX(TR.Pricehigh)","sdate:#1 edate:#2",,INDEX(MO_SNA_FPStartDate,0,COLUMN()),INDEX(MO_Common_QEndDate,0,COLUMN())),"N/A")</f>
        <v>N/A</v>
      </c>
      <c r="AD694" s="393" t="str">
        <f ca="1">IFERROR(_xll.TR(MO.Ticker.Thomson,"MAX(TR.Pricehigh)","sdate:#1 edate:#2",,INDEX(MO_SNA_FPStartDate,0,COLUMN()),INDEX(MO_Common_QEndDate,0,COLUMN())),"N/A")</f>
        <v>N/A</v>
      </c>
      <c r="AE694" s="393" t="str">
        <f ca="1">IFERROR(_xll.TR(MO.Ticker.Thomson,"MAX(TR.Pricehigh)","sdate:#1 edate:#2",,INDEX(MO_SNA_FPStartDate,0,COLUMN()),INDEX(MO_Common_QEndDate,0,COLUMN())),"N/A")</f>
        <v>N/A</v>
      </c>
      <c r="AF694" s="393" t="str">
        <f ca="1">IFERROR(_xll.TR(MO.Ticker.Thomson,"MAX(TR.Pricehigh)","sdate:#1 edate:#2",,INDEX(MO_SNA_FPStartDate,0,COLUMN()),INDEX(MO_Common_QEndDate,0,COLUMN())),"N/A")</f>
        <v>N/A</v>
      </c>
      <c r="AG694" s="393" t="str">
        <f ca="1">IFERROR(_xll.TR(MO.Ticker.Thomson,"MAX(TR.Pricehigh)","sdate:#1 edate:#2",,INDEX(MO_SNA_FPStartDate,0,COLUMN()),INDEX(MO_Common_QEndDate,0,COLUMN())),"N/A")</f>
        <v>N/A</v>
      </c>
      <c r="AH694" s="393" t="str">
        <f ca="1">IFERROR(_xll.TR(MO.Ticker.Thomson,"MAX(TR.Pricehigh)","sdate:#1 edate:#2",,INDEX(MO_SNA_FPStartDate,0,COLUMN()),INDEX(MO_Common_QEndDate,0,COLUMN())),"N/A")</f>
        <v>N/A</v>
      </c>
      <c r="AI694" s="393" t="str">
        <f ca="1">IFERROR(_xll.TR(MO.Ticker.Thomson,"MAX(TR.Pricehigh)","sdate:#1 edate:#2",,INDEX(MO_SNA_FPStartDate,0,COLUMN()),INDEX(MO_Common_QEndDate,0,COLUMN())),"N/A")</f>
        <v>N/A</v>
      </c>
      <c r="AJ694" s="393" t="str">
        <f ca="1">IFERROR(_xll.TR(MO.Ticker.Thomson,"MAX(TR.Pricehigh)","sdate:#1 edate:#2",,INDEX(MO_SNA_FPStartDate,0,COLUMN()),INDEX(MO_Common_QEndDate,0,COLUMN())),"N/A")</f>
        <v>N/A</v>
      </c>
      <c r="AK694" s="393" t="str">
        <f ca="1">IFERROR(_xll.TR(MO.Ticker.Thomson,"MAX(TR.Pricehigh)","sdate:#1 edate:#2",,INDEX(MO_SNA_FPStartDate,0,COLUMN()),INDEX(MO_Common_QEndDate,0,COLUMN())),"N/A")</f>
        <v>N/A</v>
      </c>
      <c r="AL694" s="393" t="str">
        <f ca="1">IFERROR(_xll.TR(MO.Ticker.Thomson,"MAX(TR.Pricehigh)","sdate:#1 edate:#2",,INDEX(MO_SNA_FPStartDate,0,COLUMN()),INDEX(MO_Common_QEndDate,0,COLUMN())),"N/A")</f>
        <v>N/A</v>
      </c>
      <c r="AM694" s="609" t="str">
        <f ca="1">IFERROR(_xll.TR(MO.Ticker.Thomson,"MAX(TR.Pricehigh)","sdate:#1 edate:#2",,INDEX(MO_SNA_FPStartDate,0,COLUMN()),INDEX(MO_Common_QEndDate,0,COLUMN())),"N/A")</f>
        <v>N/A</v>
      </c>
      <c r="AN694" s="336" t="str">
        <f ca="1">IFERROR(_xll.TR(MO.Ticker.Thomson,"MAX(TR.Pricehigh)","sdate:#1 edate:#2",,INDEX(MO_SNA_FPStartDate,0,COLUMN()),INDEX(MO_Common_QEndDate,0,COLUMN())),"N/A")</f>
        <v>N/A</v>
      </c>
      <c r="AO694" s="336" t="str">
        <f ca="1">IFERROR(_xll.TR(MO.Ticker.Thomson,"MAX(TR.Pricehigh)","sdate:#1 edate:#2",,INDEX(MO_SNA_FPStartDate,0,COLUMN()),INDEX(MO_Common_QEndDate,0,COLUMN())),"N/A")</f>
        <v>N/A</v>
      </c>
      <c r="AP694" s="336" t="str">
        <f ca="1">IFERROR(_xll.TR(MO.Ticker.Thomson,"MAX(TR.Pricehigh)","sdate:#1 edate:#2",,INDEX(MO_SNA_FPStartDate,0,COLUMN()),INDEX(MO_Common_QEndDate,0,COLUMN())),"N/A")</f>
        <v>N/A</v>
      </c>
      <c r="AQ694" s="336" t="str">
        <f ca="1">IFERROR(_xll.TR(MO.Ticker.Thomson,"MAX(TR.Pricehigh)","sdate:#1 edate:#2",,INDEX(MO_SNA_FPStartDate,0,COLUMN()),INDEX(MO_Common_QEndDate,0,COLUMN())),"N/A")</f>
        <v>N/A</v>
      </c>
      <c r="AR694" s="336" t="str">
        <f ca="1">IFERROR(_xll.TR(MO.Ticker.Thomson,"MAX(TR.Pricehigh)","sdate:#1 edate:#2",,INDEX(MO_SNA_FPStartDate,0,COLUMN()),INDEX(MO_Common_QEndDate,0,COLUMN())),"N/A")</f>
        <v>N/A</v>
      </c>
      <c r="AS694" s="336" t="str">
        <f ca="1">IFERROR(_xll.TR(MO.Ticker.Thomson,"MAX(TR.Pricehigh)","sdate:#1 edate:#2",,INDEX(MO_SNA_FPStartDate,0,COLUMN()),INDEX(MO_Common_QEndDate,0,COLUMN())),"N/A")</f>
        <v>N/A</v>
      </c>
      <c r="AT694" s="336" t="str">
        <f ca="1">IFERROR(_xll.TR(MO.Ticker.Thomson,"MAX(TR.Pricehigh)","sdate:#1 edate:#2",,INDEX(MO_SNA_FPStartDate,0,COLUMN()),INDEX(MO_Common_QEndDate,0,COLUMN())),"N/A")</f>
        <v>N/A</v>
      </c>
      <c r="AU694" s="336" t="str">
        <f ca="1">IFERROR(_xll.TR(MO.Ticker.Thomson,"MAX(TR.Pricehigh)","sdate:#1 edate:#2",,INDEX(MO_SNA_FPStartDate,0,COLUMN()),INDEX(MO_Common_QEndDate,0,COLUMN())),"N/A")</f>
        <v>N/A</v>
      </c>
      <c r="AV694" s="336" t="str">
        <f ca="1">IFERROR(_xll.TR(MO.Ticker.Thomson,"MAX(TR.Pricehigh)","sdate:#1 edate:#2",,INDEX(MO_SNA_FPStartDate,0,COLUMN()),INDEX(MO_Common_QEndDate,0,COLUMN())),"N/A")</f>
        <v>N/A</v>
      </c>
      <c r="AW694" s="337" t="str">
        <f ca="1">IFERROR(_xll.TR(MO.Ticker.Thomson,"MAX(TR.Pricehigh)","sdate:#1 edate:#2",,INDEX(MO_SNA_FPStartDate,0,COLUMN()),INDEX(MO_Common_QEndDate,0,COLUMN())),"N/A")</f>
        <v>N/A</v>
      </c>
      <c r="AX694" s="515"/>
    </row>
    <row r="695" spans="1:50" s="3" customFormat="1" hidden="1" outlineLevel="1" x14ac:dyDescent="0.45">
      <c r="A695" s="291"/>
      <c r="B695" s="797"/>
      <c r="C695" s="474"/>
      <c r="D695" s="474"/>
      <c r="E695" s="796"/>
      <c r="F695" s="796"/>
      <c r="G695" s="796"/>
      <c r="H695" s="796"/>
      <c r="I695" s="796"/>
      <c r="J695" s="796"/>
      <c r="K695" s="796"/>
      <c r="L695" s="796"/>
      <c r="M695" s="796"/>
      <c r="N695" s="796"/>
      <c r="O695" s="796"/>
      <c r="P695" s="796"/>
      <c r="Q695" s="796"/>
      <c r="R695" s="796"/>
      <c r="S695" s="796"/>
      <c r="T695" s="796"/>
      <c r="U695" s="796"/>
      <c r="V695" s="796"/>
      <c r="W695" s="796"/>
      <c r="X695" s="796"/>
      <c r="Y695" s="796"/>
      <c r="Z695" s="796"/>
      <c r="AA695" s="796"/>
      <c r="AB695" s="796"/>
      <c r="AC695" s="796"/>
      <c r="AD695" s="796"/>
      <c r="AE695" s="796"/>
      <c r="AF695" s="796"/>
      <c r="AG695" s="796"/>
      <c r="AH695" s="796"/>
      <c r="AI695" s="796"/>
      <c r="AJ695" s="796"/>
      <c r="AK695" s="796"/>
      <c r="AL695" s="796"/>
      <c r="AM695" s="803"/>
      <c r="AN695" s="797"/>
      <c r="AO695" s="797"/>
      <c r="AP695" s="797"/>
      <c r="AQ695" s="797"/>
      <c r="AR695" s="797"/>
      <c r="AS695" s="797"/>
      <c r="AT695" s="797"/>
      <c r="AU695" s="797"/>
      <c r="AV695" s="797"/>
      <c r="AW695" s="289"/>
      <c r="AX695" s="512"/>
    </row>
    <row r="696" spans="1:50" s="338" customFormat="1" collapsed="1" x14ac:dyDescent="0.45">
      <c r="A696" s="335" t="str">
        <f ca="1">"Stock Low: "&amp;IF(OR(MO.RealTimeStockPriceToggle=FALSE,VLOOKUP(MO.DataSourceName,MO_SPT_StockLow_Sources,COLUMN()+2,FALSE)="N/A"),"Real-Time Off Source",MO.DataSourceName)</f>
        <v>Stock Low: Real-Time Off Source</v>
      </c>
      <c r="B696" s="336"/>
      <c r="C696" s="557">
        <f t="shared" ref="C696:AW696" ca="1" si="756">IF(OR(MO.RealTimeStockPriceToggle=FALSE,VLOOKUP(MO.DataSourceName,MO_SPT_StockLow_Sources,COLUMN(),FALSE)="N/A"),VLOOKUP("Real-Time Off Source",MO_SPT_StockLow_Sources,COLUMN(),FALSE),VLOOKUP(MO.DataSourceName,MO_SPT_StockLow_Sources,COLUMN(),FALSE))</f>
        <v>21.72</v>
      </c>
      <c r="D696" s="557">
        <f t="shared" ca="1" si="756"/>
        <v>26.45</v>
      </c>
      <c r="E696" s="393">
        <f t="shared" ca="1" si="756"/>
        <v>33.08</v>
      </c>
      <c r="F696" s="393">
        <f t="shared" ca="1" si="756"/>
        <v>15.04</v>
      </c>
      <c r="G696" s="393">
        <f t="shared" ca="1" si="756"/>
        <v>17.010000000000002</v>
      </c>
      <c r="H696" s="393">
        <f t="shared" ca="1" si="756"/>
        <v>18.63</v>
      </c>
      <c r="I696" s="393">
        <f t="shared" ca="1" si="756"/>
        <v>20.29</v>
      </c>
      <c r="J696" s="393">
        <f t="shared" ca="1" si="756"/>
        <v>16.28</v>
      </c>
      <c r="K696" s="393">
        <f t="shared" ca="1" si="756"/>
        <v>16.28</v>
      </c>
      <c r="L696" s="393">
        <f t="shared" ca="1" si="756"/>
        <v>14.1</v>
      </c>
      <c r="M696" s="393">
        <f t="shared" ca="1" si="756"/>
        <v>13.69</v>
      </c>
      <c r="N696" s="393">
        <f t="shared" ca="1" si="756"/>
        <v>13.01</v>
      </c>
      <c r="O696" s="393">
        <f t="shared" ca="1" si="756"/>
        <v>15.31</v>
      </c>
      <c r="P696" s="393">
        <f t="shared" ca="1" si="756"/>
        <v>13.01</v>
      </c>
      <c r="Q696" s="393">
        <f t="shared" ca="1" si="756"/>
        <v>15.33</v>
      </c>
      <c r="R696" s="393">
        <f t="shared" ca="1" si="756"/>
        <v>12.01</v>
      </c>
      <c r="S696" s="393">
        <f t="shared" ca="1" si="756"/>
        <v>12.11</v>
      </c>
      <c r="T696" s="393">
        <f t="shared" ca="1" si="756"/>
        <v>12.51</v>
      </c>
      <c r="U696" s="393">
        <f t="shared" ca="1" si="756"/>
        <v>12.01</v>
      </c>
      <c r="V696" s="393">
        <f t="shared" ca="1" si="756"/>
        <v>11.1</v>
      </c>
      <c r="W696" s="393">
        <f t="shared" ca="1" si="756"/>
        <v>11.13</v>
      </c>
      <c r="X696" s="393">
        <f t="shared" ca="1" si="756"/>
        <v>10.61</v>
      </c>
      <c r="Y696" s="393">
        <f t="shared" ca="1" si="756"/>
        <v>13.07</v>
      </c>
      <c r="Z696" s="393">
        <f t="shared" ca="1" si="756"/>
        <v>10.61</v>
      </c>
      <c r="AA696" s="393">
        <f t="shared" ca="1" si="756"/>
        <v>13.45</v>
      </c>
      <c r="AB696" s="393">
        <f t="shared" ca="1" si="756"/>
        <v>14.62</v>
      </c>
      <c r="AC696" s="393">
        <f t="shared" ca="1" si="756"/>
        <v>12.61</v>
      </c>
      <c r="AD696" s="393">
        <f t="shared" ca="1" si="756"/>
        <v>12.24</v>
      </c>
      <c r="AE696" s="393">
        <f t="shared" ca="1" si="756"/>
        <v>12.24</v>
      </c>
      <c r="AF696" s="393">
        <f t="shared" ca="1" si="756"/>
        <v>13.28</v>
      </c>
      <c r="AG696" s="393">
        <f t="shared" ca="1" si="756"/>
        <v>19.53</v>
      </c>
      <c r="AH696" s="393">
        <f t="shared" ca="1" si="756"/>
        <v>14.58</v>
      </c>
      <c r="AI696" s="393">
        <f t="shared" ca="1" si="756"/>
        <v>15.15</v>
      </c>
      <c r="AJ696" s="393">
        <f t="shared" ca="1" si="756"/>
        <v>13.28</v>
      </c>
      <c r="AK696" s="393">
        <f t="shared" ca="1" si="756"/>
        <v>16.79</v>
      </c>
      <c r="AL696" s="393">
        <f t="shared" ca="1" si="756"/>
        <v>14.06</v>
      </c>
      <c r="AM696" s="609">
        <f t="shared" ca="1" si="756"/>
        <v>14.74</v>
      </c>
      <c r="AN696" s="336">
        <f t="shared" ca="1" si="756"/>
        <v>0</v>
      </c>
      <c r="AO696" s="336">
        <f t="shared" ca="1" si="756"/>
        <v>0</v>
      </c>
      <c r="AP696" s="336">
        <f t="shared" ca="1" si="756"/>
        <v>0</v>
      </c>
      <c r="AQ696" s="336">
        <f t="shared" ca="1" si="756"/>
        <v>0</v>
      </c>
      <c r="AR696" s="336">
        <f t="shared" ca="1" si="756"/>
        <v>0</v>
      </c>
      <c r="AS696" s="336">
        <f t="shared" ca="1" si="756"/>
        <v>0</v>
      </c>
      <c r="AT696" s="336">
        <f t="shared" ca="1" si="756"/>
        <v>0</v>
      </c>
      <c r="AU696" s="336">
        <f t="shared" ca="1" si="756"/>
        <v>0</v>
      </c>
      <c r="AV696" s="336">
        <f t="shared" ca="1" si="756"/>
        <v>0</v>
      </c>
      <c r="AW696" s="337">
        <f t="shared" ca="1" si="756"/>
        <v>0</v>
      </c>
      <c r="AX696" s="515"/>
    </row>
    <row r="697" spans="1:50" s="338" customFormat="1" hidden="1" outlineLevel="1" x14ac:dyDescent="0.45">
      <c r="A697" s="339" t="s">
        <v>237</v>
      </c>
      <c r="B697" s="336"/>
      <c r="C697" s="557">
        <v>21.72</v>
      </c>
      <c r="D697" s="557">
        <v>26.45</v>
      </c>
      <c r="E697" s="393">
        <v>33.08</v>
      </c>
      <c r="F697" s="393">
        <v>15.04</v>
      </c>
      <c r="G697" s="393">
        <v>17.010000000000002</v>
      </c>
      <c r="H697" s="393">
        <v>18.63</v>
      </c>
      <c r="I697" s="393">
        <v>20.29</v>
      </c>
      <c r="J697" s="393">
        <v>16.28</v>
      </c>
      <c r="K697" s="393">
        <v>16.28</v>
      </c>
      <c r="L697" s="393">
        <v>14.1</v>
      </c>
      <c r="M697" s="393">
        <v>13.69</v>
      </c>
      <c r="N697" s="393">
        <v>13.01</v>
      </c>
      <c r="O697" s="393">
        <v>15.31</v>
      </c>
      <c r="P697" s="393">
        <v>13.01</v>
      </c>
      <c r="Q697" s="393">
        <v>15.33</v>
      </c>
      <c r="R697" s="393">
        <v>12.01</v>
      </c>
      <c r="S697" s="393">
        <v>12.11</v>
      </c>
      <c r="T697" s="393">
        <v>12.51</v>
      </c>
      <c r="U697" s="393">
        <v>12.01</v>
      </c>
      <c r="V697" s="393">
        <v>11.1</v>
      </c>
      <c r="W697" s="393">
        <v>11.13</v>
      </c>
      <c r="X697" s="393">
        <v>10.61</v>
      </c>
      <c r="Y697" s="393">
        <v>13.07</v>
      </c>
      <c r="Z697" s="393">
        <v>10.61</v>
      </c>
      <c r="AA697" s="393">
        <v>13.45</v>
      </c>
      <c r="AB697" s="393">
        <v>14.62</v>
      </c>
      <c r="AC697" s="393">
        <v>12.61</v>
      </c>
      <c r="AD697" s="393">
        <v>12.24</v>
      </c>
      <c r="AE697" s="393">
        <v>12.24</v>
      </c>
      <c r="AF697" s="393">
        <v>13.28</v>
      </c>
      <c r="AG697" s="393">
        <v>19.53</v>
      </c>
      <c r="AH697" s="393">
        <v>14.58</v>
      </c>
      <c r="AI697" s="393">
        <v>15.15</v>
      </c>
      <c r="AJ697" s="393">
        <v>13.28</v>
      </c>
      <c r="AK697" s="393">
        <v>16.79</v>
      </c>
      <c r="AL697" s="393">
        <v>14.06</v>
      </c>
      <c r="AM697" s="609">
        <v>14.74</v>
      </c>
      <c r="AN697" s="336"/>
      <c r="AO697" s="336"/>
      <c r="AP697" s="336"/>
      <c r="AQ697" s="336"/>
      <c r="AR697" s="336"/>
      <c r="AS697" s="336"/>
      <c r="AT697" s="336"/>
      <c r="AU697" s="336"/>
      <c r="AV697" s="336"/>
      <c r="AW697" s="337"/>
      <c r="AX697" s="515"/>
    </row>
    <row r="698" spans="1:50" s="338" customFormat="1" hidden="1" outlineLevel="1" x14ac:dyDescent="0.45">
      <c r="A698" s="339" t="s">
        <v>7</v>
      </c>
      <c r="B698" s="336"/>
      <c r="C698" s="557" t="str">
        <f ca="1">IFERROR(BDP(MO.Ticker.Bloomberg&amp;" Equity","INTERVAL_LOW","MARKET_DATA_OVERRIDE=PX_LAST","START_DATE_OVERRIDE",TEXT(INDEX(MO_SNA_FPStartDate,0,COLUMN()),"YYYYMMDD"),"END_DATE_OVERRIDE",TEXT(INDEX(MO_Common_QEndDate,0,COLUMN()),"YYYYMMDD")),"N/A")</f>
        <v>N/A</v>
      </c>
      <c r="D698" s="557" t="str">
        <f ca="1">IFERROR(BDP(MO.Ticker.Bloomberg&amp;" Equity","INTERVAL_LOW","MARKET_DATA_OVERRIDE=PX_LAST","START_DATE_OVERRIDE",TEXT(INDEX(MO_SNA_FPStartDate,0,COLUMN()),"YYYYMMDD"),"END_DATE_OVERRIDE",TEXT(INDEX(MO_Common_QEndDate,0,COLUMN()),"YYYYMMDD")),"N/A")</f>
        <v>N/A</v>
      </c>
      <c r="E698" s="393" t="str">
        <f ca="1">IFERROR(BDP(MO.Ticker.Bloomberg&amp;" Equity","INTERVAL_LOW","MARKET_DATA_OVERRIDE=PX_LAST","START_DATE_OVERRIDE",TEXT(INDEX(MO_SNA_FPStartDate,0,COLUMN()),"YYYYMMDD"),"END_DATE_OVERRIDE",TEXT(INDEX(MO_Common_QEndDate,0,COLUMN()),"YYYYMMDD")),"N/A")</f>
        <v>N/A</v>
      </c>
      <c r="F698" s="393" t="str">
        <f ca="1">IFERROR(BDP(MO.Ticker.Bloomberg&amp;" Equity","INTERVAL_LOW","MARKET_DATA_OVERRIDE=PX_LAST","START_DATE_OVERRIDE",TEXT(INDEX(MO_SNA_FPStartDate,0,COLUMN()),"YYYYMMDD"),"END_DATE_OVERRIDE",TEXT(INDEX(MO_Common_QEndDate,0,COLUMN()),"YYYYMMDD")),"N/A")</f>
        <v>N/A</v>
      </c>
      <c r="G698" s="393" t="str">
        <f ca="1">IFERROR(BDP(MO.Ticker.Bloomberg&amp;" Equity","INTERVAL_LOW","MARKET_DATA_OVERRIDE=PX_LAST","START_DATE_OVERRIDE",TEXT(INDEX(MO_SNA_FPStartDate,0,COLUMN()),"YYYYMMDD"),"END_DATE_OVERRIDE",TEXT(INDEX(MO_Common_QEndDate,0,COLUMN()),"YYYYMMDD")),"N/A")</f>
        <v>N/A</v>
      </c>
      <c r="H698" s="393" t="str">
        <f ca="1">IFERROR(BDP(MO.Ticker.Bloomberg&amp;" Equity","INTERVAL_LOW","MARKET_DATA_OVERRIDE=PX_LAST","START_DATE_OVERRIDE",TEXT(INDEX(MO_SNA_FPStartDate,0,COLUMN()),"YYYYMMDD"),"END_DATE_OVERRIDE",TEXT(INDEX(MO_Common_QEndDate,0,COLUMN()),"YYYYMMDD")),"N/A")</f>
        <v>N/A</v>
      </c>
      <c r="I698" s="393" t="str">
        <f ca="1">IFERROR(BDP(MO.Ticker.Bloomberg&amp;" Equity","INTERVAL_LOW","MARKET_DATA_OVERRIDE=PX_LAST","START_DATE_OVERRIDE",TEXT(INDEX(MO_SNA_FPStartDate,0,COLUMN()),"YYYYMMDD"),"END_DATE_OVERRIDE",TEXT(INDEX(MO_Common_QEndDate,0,COLUMN()),"YYYYMMDD")),"N/A")</f>
        <v>N/A</v>
      </c>
      <c r="J698" s="393" t="str">
        <f ca="1">IFERROR(BDP(MO.Ticker.Bloomberg&amp;" Equity","INTERVAL_LOW","MARKET_DATA_OVERRIDE=PX_LAST","START_DATE_OVERRIDE",TEXT(INDEX(MO_SNA_FPStartDate,0,COLUMN()),"YYYYMMDD"),"END_DATE_OVERRIDE",TEXT(INDEX(MO_Common_QEndDate,0,COLUMN()),"YYYYMMDD")),"N/A")</f>
        <v>N/A</v>
      </c>
      <c r="K698" s="393" t="str">
        <f ca="1">IFERROR(BDP(MO.Ticker.Bloomberg&amp;" Equity","INTERVAL_LOW","MARKET_DATA_OVERRIDE=PX_LAST","START_DATE_OVERRIDE",TEXT(INDEX(MO_SNA_FPStartDate,0,COLUMN()),"YYYYMMDD"),"END_DATE_OVERRIDE",TEXT(INDEX(MO_Common_QEndDate,0,COLUMN()),"YYYYMMDD")),"N/A")</f>
        <v>N/A</v>
      </c>
      <c r="L698" s="393" t="str">
        <f ca="1">IFERROR(BDP(MO.Ticker.Bloomberg&amp;" Equity","INTERVAL_LOW","MARKET_DATA_OVERRIDE=PX_LAST","START_DATE_OVERRIDE",TEXT(INDEX(MO_SNA_FPStartDate,0,COLUMN()),"YYYYMMDD"),"END_DATE_OVERRIDE",TEXT(INDEX(MO_Common_QEndDate,0,COLUMN()),"YYYYMMDD")),"N/A")</f>
        <v>N/A</v>
      </c>
      <c r="M698" s="393" t="str">
        <f ca="1">IFERROR(BDP(MO.Ticker.Bloomberg&amp;" Equity","INTERVAL_LOW","MARKET_DATA_OVERRIDE=PX_LAST","START_DATE_OVERRIDE",TEXT(INDEX(MO_SNA_FPStartDate,0,COLUMN()),"YYYYMMDD"),"END_DATE_OVERRIDE",TEXT(INDEX(MO_Common_QEndDate,0,COLUMN()),"YYYYMMDD")),"N/A")</f>
        <v>N/A</v>
      </c>
      <c r="N698" s="393" t="str">
        <f ca="1">IFERROR(BDP(MO.Ticker.Bloomberg&amp;" Equity","INTERVAL_LOW","MARKET_DATA_OVERRIDE=PX_LAST","START_DATE_OVERRIDE",TEXT(INDEX(MO_SNA_FPStartDate,0,COLUMN()),"YYYYMMDD"),"END_DATE_OVERRIDE",TEXT(INDEX(MO_Common_QEndDate,0,COLUMN()),"YYYYMMDD")),"N/A")</f>
        <v>N/A</v>
      </c>
      <c r="O698" s="393" t="str">
        <f ca="1">IFERROR(BDP(MO.Ticker.Bloomberg&amp;" Equity","INTERVAL_LOW","MARKET_DATA_OVERRIDE=PX_LAST","START_DATE_OVERRIDE",TEXT(INDEX(MO_SNA_FPStartDate,0,COLUMN()),"YYYYMMDD"),"END_DATE_OVERRIDE",TEXT(INDEX(MO_Common_QEndDate,0,COLUMN()),"YYYYMMDD")),"N/A")</f>
        <v>N/A</v>
      </c>
      <c r="P698" s="393" t="str">
        <f ca="1">IFERROR(BDP(MO.Ticker.Bloomberg&amp;" Equity","INTERVAL_LOW","MARKET_DATA_OVERRIDE=PX_LAST","START_DATE_OVERRIDE",TEXT(INDEX(MO_SNA_FPStartDate,0,COLUMN()),"YYYYMMDD"),"END_DATE_OVERRIDE",TEXT(INDEX(MO_Common_QEndDate,0,COLUMN()),"YYYYMMDD")),"N/A")</f>
        <v>N/A</v>
      </c>
      <c r="Q698" s="393" t="str">
        <f ca="1">IFERROR(BDP(MO.Ticker.Bloomberg&amp;" Equity","INTERVAL_LOW","MARKET_DATA_OVERRIDE=PX_LAST","START_DATE_OVERRIDE",TEXT(INDEX(MO_SNA_FPStartDate,0,COLUMN()),"YYYYMMDD"),"END_DATE_OVERRIDE",TEXT(INDEX(MO_Common_QEndDate,0,COLUMN()),"YYYYMMDD")),"N/A")</f>
        <v>N/A</v>
      </c>
      <c r="R698" s="393" t="str">
        <f ca="1">IFERROR(BDP(MO.Ticker.Bloomberg&amp;" Equity","INTERVAL_LOW","MARKET_DATA_OVERRIDE=PX_LAST","START_DATE_OVERRIDE",TEXT(INDEX(MO_SNA_FPStartDate,0,COLUMN()),"YYYYMMDD"),"END_DATE_OVERRIDE",TEXT(INDEX(MO_Common_QEndDate,0,COLUMN()),"YYYYMMDD")),"N/A")</f>
        <v>N/A</v>
      </c>
      <c r="S698" s="393" t="str">
        <f ca="1">IFERROR(BDP(MO.Ticker.Bloomberg&amp;" Equity","INTERVAL_LOW","MARKET_DATA_OVERRIDE=PX_LAST","START_DATE_OVERRIDE",TEXT(INDEX(MO_SNA_FPStartDate,0,COLUMN()),"YYYYMMDD"),"END_DATE_OVERRIDE",TEXT(INDEX(MO_Common_QEndDate,0,COLUMN()),"YYYYMMDD")),"N/A")</f>
        <v>N/A</v>
      </c>
      <c r="T698" s="393" t="str">
        <f ca="1">IFERROR(BDP(MO.Ticker.Bloomberg&amp;" Equity","INTERVAL_LOW","MARKET_DATA_OVERRIDE=PX_LAST","START_DATE_OVERRIDE",TEXT(INDEX(MO_SNA_FPStartDate,0,COLUMN()),"YYYYMMDD"),"END_DATE_OVERRIDE",TEXT(INDEX(MO_Common_QEndDate,0,COLUMN()),"YYYYMMDD")),"N/A")</f>
        <v>N/A</v>
      </c>
      <c r="U698" s="393" t="str">
        <f ca="1">IFERROR(BDP(MO.Ticker.Bloomberg&amp;" Equity","INTERVAL_LOW","MARKET_DATA_OVERRIDE=PX_LAST","START_DATE_OVERRIDE",TEXT(INDEX(MO_SNA_FPStartDate,0,COLUMN()),"YYYYMMDD"),"END_DATE_OVERRIDE",TEXT(INDEX(MO_Common_QEndDate,0,COLUMN()),"YYYYMMDD")),"N/A")</f>
        <v>N/A</v>
      </c>
      <c r="V698" s="393" t="str">
        <f ca="1">IFERROR(BDP(MO.Ticker.Bloomberg&amp;" Equity","INTERVAL_LOW","MARKET_DATA_OVERRIDE=PX_LAST","START_DATE_OVERRIDE",TEXT(INDEX(MO_SNA_FPStartDate,0,COLUMN()),"YYYYMMDD"),"END_DATE_OVERRIDE",TEXT(INDEX(MO_Common_QEndDate,0,COLUMN()),"YYYYMMDD")),"N/A")</f>
        <v>N/A</v>
      </c>
      <c r="W698" s="393" t="str">
        <f ca="1">IFERROR(BDP(MO.Ticker.Bloomberg&amp;" Equity","INTERVAL_LOW","MARKET_DATA_OVERRIDE=PX_LAST","START_DATE_OVERRIDE",TEXT(INDEX(MO_SNA_FPStartDate,0,COLUMN()),"YYYYMMDD"),"END_DATE_OVERRIDE",TEXT(INDEX(MO_Common_QEndDate,0,COLUMN()),"YYYYMMDD")),"N/A")</f>
        <v>N/A</v>
      </c>
      <c r="X698" s="393" t="str">
        <f ca="1">IFERROR(BDP(MO.Ticker.Bloomberg&amp;" Equity","INTERVAL_LOW","MARKET_DATA_OVERRIDE=PX_LAST","START_DATE_OVERRIDE",TEXT(INDEX(MO_SNA_FPStartDate,0,COLUMN()),"YYYYMMDD"),"END_DATE_OVERRIDE",TEXT(INDEX(MO_Common_QEndDate,0,COLUMN()),"YYYYMMDD")),"N/A")</f>
        <v>N/A</v>
      </c>
      <c r="Y698" s="393" t="str">
        <f ca="1">IFERROR(BDP(MO.Ticker.Bloomberg&amp;" Equity","INTERVAL_LOW","MARKET_DATA_OVERRIDE=PX_LAST","START_DATE_OVERRIDE",TEXT(INDEX(MO_SNA_FPStartDate,0,COLUMN()),"YYYYMMDD"),"END_DATE_OVERRIDE",TEXT(INDEX(MO_Common_QEndDate,0,COLUMN()),"YYYYMMDD")),"N/A")</f>
        <v>N/A</v>
      </c>
      <c r="Z698" s="393" t="str">
        <f ca="1">IFERROR(BDP(MO.Ticker.Bloomberg&amp;" Equity","INTERVAL_LOW","MARKET_DATA_OVERRIDE=PX_LAST","START_DATE_OVERRIDE",TEXT(INDEX(MO_SNA_FPStartDate,0,COLUMN()),"YYYYMMDD"),"END_DATE_OVERRIDE",TEXT(INDEX(MO_Common_QEndDate,0,COLUMN()),"YYYYMMDD")),"N/A")</f>
        <v>N/A</v>
      </c>
      <c r="AA698" s="393" t="str">
        <f ca="1">IFERROR(BDP(MO.Ticker.Bloomberg&amp;" Equity","INTERVAL_LOW","MARKET_DATA_OVERRIDE=PX_LAST","START_DATE_OVERRIDE",TEXT(INDEX(MO_SNA_FPStartDate,0,COLUMN()),"YYYYMMDD"),"END_DATE_OVERRIDE",TEXT(INDEX(MO_Common_QEndDate,0,COLUMN()),"YYYYMMDD")),"N/A")</f>
        <v>N/A</v>
      </c>
      <c r="AB698" s="393" t="str">
        <f ca="1">IFERROR(BDP(MO.Ticker.Bloomberg&amp;" Equity","INTERVAL_LOW","MARKET_DATA_OVERRIDE=PX_LAST","START_DATE_OVERRIDE",TEXT(INDEX(MO_SNA_FPStartDate,0,COLUMN()),"YYYYMMDD"),"END_DATE_OVERRIDE",TEXT(INDEX(MO_Common_QEndDate,0,COLUMN()),"YYYYMMDD")),"N/A")</f>
        <v>N/A</v>
      </c>
      <c r="AC698" s="393" t="str">
        <f ca="1">IFERROR(BDP(MO.Ticker.Bloomberg&amp;" Equity","INTERVAL_LOW","MARKET_DATA_OVERRIDE=PX_LAST","START_DATE_OVERRIDE",TEXT(INDEX(MO_SNA_FPStartDate,0,COLUMN()),"YYYYMMDD"),"END_DATE_OVERRIDE",TEXT(INDEX(MO_Common_QEndDate,0,COLUMN()),"YYYYMMDD")),"N/A")</f>
        <v>N/A</v>
      </c>
      <c r="AD698" s="393" t="str">
        <f ca="1">IFERROR(BDP(MO.Ticker.Bloomberg&amp;" Equity","INTERVAL_LOW","MARKET_DATA_OVERRIDE=PX_LAST","START_DATE_OVERRIDE",TEXT(INDEX(MO_SNA_FPStartDate,0,COLUMN()),"YYYYMMDD"),"END_DATE_OVERRIDE",TEXT(INDEX(MO_Common_QEndDate,0,COLUMN()),"YYYYMMDD")),"N/A")</f>
        <v>N/A</v>
      </c>
      <c r="AE698" s="393" t="str">
        <f ca="1">IFERROR(BDP(MO.Ticker.Bloomberg&amp;" Equity","INTERVAL_LOW","MARKET_DATA_OVERRIDE=PX_LAST","START_DATE_OVERRIDE",TEXT(INDEX(MO_SNA_FPStartDate,0,COLUMN()),"YYYYMMDD"),"END_DATE_OVERRIDE",TEXT(INDEX(MO_Common_QEndDate,0,COLUMN()),"YYYYMMDD")),"N/A")</f>
        <v>N/A</v>
      </c>
      <c r="AF698" s="393" t="str">
        <f ca="1">IFERROR(BDP(MO.Ticker.Bloomberg&amp;" Equity","INTERVAL_LOW","MARKET_DATA_OVERRIDE=PX_LAST","START_DATE_OVERRIDE",TEXT(INDEX(MO_SNA_FPStartDate,0,COLUMN()),"YYYYMMDD"),"END_DATE_OVERRIDE",TEXT(INDEX(MO_Common_QEndDate,0,COLUMN()),"YYYYMMDD")),"N/A")</f>
        <v>N/A</v>
      </c>
      <c r="AG698" s="393" t="str">
        <f ca="1">IFERROR(BDP(MO.Ticker.Bloomberg&amp;" Equity","INTERVAL_LOW","MARKET_DATA_OVERRIDE=PX_LAST","START_DATE_OVERRIDE",TEXT(INDEX(MO_SNA_FPStartDate,0,COLUMN()),"YYYYMMDD"),"END_DATE_OVERRIDE",TEXT(INDEX(MO_Common_QEndDate,0,COLUMN()),"YYYYMMDD")),"N/A")</f>
        <v>N/A</v>
      </c>
      <c r="AH698" s="393" t="str">
        <f ca="1">IFERROR(BDP(MO.Ticker.Bloomberg&amp;" Equity","INTERVAL_LOW","MARKET_DATA_OVERRIDE=PX_LAST","START_DATE_OVERRIDE",TEXT(INDEX(MO_SNA_FPStartDate,0,COLUMN()),"YYYYMMDD"),"END_DATE_OVERRIDE",TEXT(INDEX(MO_Common_QEndDate,0,COLUMN()),"YYYYMMDD")),"N/A")</f>
        <v>N/A</v>
      </c>
      <c r="AI698" s="393" t="str">
        <f ca="1">IFERROR(BDP(MO.Ticker.Bloomberg&amp;" Equity","INTERVAL_LOW","MARKET_DATA_OVERRIDE=PX_LAST","START_DATE_OVERRIDE",TEXT(INDEX(MO_SNA_FPStartDate,0,COLUMN()),"YYYYMMDD"),"END_DATE_OVERRIDE",TEXT(INDEX(MO_Common_QEndDate,0,COLUMN()),"YYYYMMDD")),"N/A")</f>
        <v>N/A</v>
      </c>
      <c r="AJ698" s="393" t="str">
        <f ca="1">IFERROR(BDP(MO.Ticker.Bloomberg&amp;" Equity","INTERVAL_LOW","MARKET_DATA_OVERRIDE=PX_LAST","START_DATE_OVERRIDE",TEXT(INDEX(MO_SNA_FPStartDate,0,COLUMN()),"YYYYMMDD"),"END_DATE_OVERRIDE",TEXT(INDEX(MO_Common_QEndDate,0,COLUMN()),"YYYYMMDD")),"N/A")</f>
        <v>N/A</v>
      </c>
      <c r="AK698" s="393" t="str">
        <f ca="1">IFERROR(BDP(MO.Ticker.Bloomberg&amp;" Equity","INTERVAL_LOW","MARKET_DATA_OVERRIDE=PX_LAST","START_DATE_OVERRIDE",TEXT(INDEX(MO_SNA_FPStartDate,0,COLUMN()),"YYYYMMDD"),"END_DATE_OVERRIDE",TEXT(INDEX(MO_Common_QEndDate,0,COLUMN()),"YYYYMMDD")),"N/A")</f>
        <v>N/A</v>
      </c>
      <c r="AL698" s="393" t="str">
        <f ca="1">IFERROR(BDP(MO.Ticker.Bloomberg&amp;" Equity","INTERVAL_LOW","MARKET_DATA_OVERRIDE=PX_LAST","START_DATE_OVERRIDE",TEXT(INDEX(MO_SNA_FPStartDate,0,COLUMN()),"YYYYMMDD"),"END_DATE_OVERRIDE",TEXT(INDEX(MO_Common_QEndDate,0,COLUMN()),"YYYYMMDD")),"N/A")</f>
        <v>N/A</v>
      </c>
      <c r="AM698" s="609" t="str">
        <f ca="1">IFERROR(BDP(MO.Ticker.Bloomberg&amp;" Equity","INTERVAL_LOW","MARKET_DATA_OVERRIDE=PX_LAST","START_DATE_OVERRIDE",TEXT(INDEX(MO_SNA_FPStartDate,0,COLUMN()),"YYYYMMDD"),"END_DATE_OVERRIDE",TEXT(INDEX(MO_Common_QEndDate,0,COLUMN()),"YYYYMMDD")),"N/A")</f>
        <v>N/A</v>
      </c>
      <c r="AN698" s="336" t="str">
        <f ca="1">IFERROR(BDP(MO.Ticker.Bloomberg&amp;" Equity","INTERVAL_LOW","MARKET_DATA_OVERRIDE=PX_LAST","START_DATE_OVERRIDE",TEXT(INDEX(MO_SNA_FPStartDate,0,COLUMN()),"YYYYMMDD"),"END_DATE_OVERRIDE",TEXT(INDEX(MO_Common_QEndDate,0,COLUMN()),"YYYYMMDD")),"N/A")</f>
        <v>N/A</v>
      </c>
      <c r="AO698" s="336" t="str">
        <f ca="1">IFERROR(BDP(MO.Ticker.Bloomberg&amp;" Equity","INTERVAL_LOW","MARKET_DATA_OVERRIDE=PX_LAST","START_DATE_OVERRIDE",TEXT(INDEX(MO_SNA_FPStartDate,0,COLUMN()),"YYYYMMDD"),"END_DATE_OVERRIDE",TEXT(INDEX(MO_Common_QEndDate,0,COLUMN()),"YYYYMMDD")),"N/A")</f>
        <v>N/A</v>
      </c>
      <c r="AP698" s="336" t="str">
        <f ca="1">IFERROR(BDP(MO.Ticker.Bloomberg&amp;" Equity","INTERVAL_LOW","MARKET_DATA_OVERRIDE=PX_LAST","START_DATE_OVERRIDE",TEXT(INDEX(MO_SNA_FPStartDate,0,COLUMN()),"YYYYMMDD"),"END_DATE_OVERRIDE",TEXT(INDEX(MO_Common_QEndDate,0,COLUMN()),"YYYYMMDD")),"N/A")</f>
        <v>N/A</v>
      </c>
      <c r="AQ698" s="336" t="str">
        <f ca="1">IFERROR(BDP(MO.Ticker.Bloomberg&amp;" Equity","INTERVAL_LOW","MARKET_DATA_OVERRIDE=PX_LAST","START_DATE_OVERRIDE",TEXT(INDEX(MO_SNA_FPStartDate,0,COLUMN()),"YYYYMMDD"),"END_DATE_OVERRIDE",TEXT(INDEX(MO_Common_QEndDate,0,COLUMN()),"YYYYMMDD")),"N/A")</f>
        <v>N/A</v>
      </c>
      <c r="AR698" s="336" t="str">
        <f ca="1">IFERROR(BDP(MO.Ticker.Bloomberg&amp;" Equity","INTERVAL_LOW","MARKET_DATA_OVERRIDE=PX_LAST","START_DATE_OVERRIDE",TEXT(INDEX(MO_SNA_FPStartDate,0,COLUMN()),"YYYYMMDD"),"END_DATE_OVERRIDE",TEXT(INDEX(MO_Common_QEndDate,0,COLUMN()),"YYYYMMDD")),"N/A")</f>
        <v>N/A</v>
      </c>
      <c r="AS698" s="336" t="str">
        <f ca="1">IFERROR(BDP(MO.Ticker.Bloomberg&amp;" Equity","INTERVAL_LOW","MARKET_DATA_OVERRIDE=PX_LAST","START_DATE_OVERRIDE",TEXT(INDEX(MO_SNA_FPStartDate,0,COLUMN()),"YYYYMMDD"),"END_DATE_OVERRIDE",TEXT(INDEX(MO_Common_QEndDate,0,COLUMN()),"YYYYMMDD")),"N/A")</f>
        <v>N/A</v>
      </c>
      <c r="AT698" s="336" t="str">
        <f ca="1">IFERROR(BDP(MO.Ticker.Bloomberg&amp;" Equity","INTERVAL_LOW","MARKET_DATA_OVERRIDE=PX_LAST","START_DATE_OVERRIDE",TEXT(INDEX(MO_SNA_FPStartDate,0,COLUMN()),"YYYYMMDD"),"END_DATE_OVERRIDE",TEXT(INDEX(MO_Common_QEndDate,0,COLUMN()),"YYYYMMDD")),"N/A")</f>
        <v>N/A</v>
      </c>
      <c r="AU698" s="336" t="str">
        <f ca="1">IFERROR(BDP(MO.Ticker.Bloomberg&amp;" Equity","INTERVAL_LOW","MARKET_DATA_OVERRIDE=PX_LAST","START_DATE_OVERRIDE",TEXT(INDEX(MO_SNA_FPStartDate,0,COLUMN()),"YYYYMMDD"),"END_DATE_OVERRIDE",TEXT(INDEX(MO_Common_QEndDate,0,COLUMN()),"YYYYMMDD")),"N/A")</f>
        <v>N/A</v>
      </c>
      <c r="AV698" s="336" t="str">
        <f ca="1">IFERROR(BDP(MO.Ticker.Bloomberg&amp;" Equity","INTERVAL_LOW","MARKET_DATA_OVERRIDE=PX_LAST","START_DATE_OVERRIDE",TEXT(INDEX(MO_SNA_FPStartDate,0,COLUMN()),"YYYYMMDD"),"END_DATE_OVERRIDE",TEXT(INDEX(MO_Common_QEndDate,0,COLUMN()),"YYYYMMDD")),"N/A")</f>
        <v>N/A</v>
      </c>
      <c r="AW698" s="337" t="str">
        <f ca="1">IFERROR(BDP(MO.Ticker.Bloomberg&amp;" Equity","INTERVAL_LOW","MARKET_DATA_OVERRIDE=PX_LAST","START_DATE_OVERRIDE",TEXT(INDEX(MO_SNA_FPStartDate,0,COLUMN()),"YYYYMMDD"),"END_DATE_OVERRIDE",TEXT(INDEX(MO_Common_QEndDate,0,COLUMN()),"YYYYMMDD")),"N/A")</f>
        <v>N/A</v>
      </c>
      <c r="AX698" s="515"/>
    </row>
    <row r="699" spans="1:50" s="338" customFormat="1" hidden="1" outlineLevel="1" x14ac:dyDescent="0.45">
      <c r="A699" s="339" t="s">
        <v>238</v>
      </c>
      <c r="B699" s="336"/>
      <c r="C699" s="557" t="str">
        <f ca="1">IFERROR(CIQHI(MO.Ticker.CapIQ,"IQ_LASTSALEPRICE",INDEX(MO_SNA_FPStartDate,0,COLUMN()),INDEX(MO_Common_QEndDate,0,COLUMN())),"N/A")</f>
        <v>N/A</v>
      </c>
      <c r="D699" s="557" t="str">
        <f ca="1">IFERROR(CIQHI(MO.Ticker.CapIQ,"IQ_LASTSALEPRICE",INDEX(MO_SNA_FPStartDate,0,COLUMN()),INDEX(MO_Common_QEndDate,0,COLUMN())),"N/A")</f>
        <v>N/A</v>
      </c>
      <c r="E699" s="393" t="str">
        <f ca="1">IFERROR(CIQHI(MO.Ticker.CapIQ,"IQ_LASTSALEPRICE",INDEX(MO_SNA_FPStartDate,0,COLUMN()),INDEX(MO_Common_QEndDate,0,COLUMN())),"N/A")</f>
        <v>N/A</v>
      </c>
      <c r="F699" s="393" t="str">
        <f ca="1">IFERROR(CIQHI(MO.Ticker.CapIQ,"IQ_LASTSALEPRICE",INDEX(MO_SNA_FPStartDate,0,COLUMN()),INDEX(MO_Common_QEndDate,0,COLUMN())),"N/A")</f>
        <v>N/A</v>
      </c>
      <c r="G699" s="393" t="str">
        <f ca="1">IFERROR(CIQHI(MO.Ticker.CapIQ,"IQ_LASTSALEPRICE",INDEX(MO_SNA_FPStartDate,0,COLUMN()),INDEX(MO_Common_QEndDate,0,COLUMN())),"N/A")</f>
        <v>N/A</v>
      </c>
      <c r="H699" s="393" t="str">
        <f ca="1">IFERROR(CIQHI(MO.Ticker.CapIQ,"IQ_LASTSALEPRICE",INDEX(MO_SNA_FPStartDate,0,COLUMN()),INDEX(MO_Common_QEndDate,0,COLUMN())),"N/A")</f>
        <v>N/A</v>
      </c>
      <c r="I699" s="393" t="str">
        <f ca="1">IFERROR(CIQHI(MO.Ticker.CapIQ,"IQ_LASTSALEPRICE",INDEX(MO_SNA_FPStartDate,0,COLUMN()),INDEX(MO_Common_QEndDate,0,COLUMN())),"N/A")</f>
        <v>N/A</v>
      </c>
      <c r="J699" s="393" t="str">
        <f ca="1">IFERROR(CIQHI(MO.Ticker.CapIQ,"IQ_LASTSALEPRICE",INDEX(MO_SNA_FPStartDate,0,COLUMN()),INDEX(MO_Common_QEndDate,0,COLUMN())),"N/A")</f>
        <v>N/A</v>
      </c>
      <c r="K699" s="393" t="str">
        <f ca="1">IFERROR(CIQHI(MO.Ticker.CapIQ,"IQ_LASTSALEPRICE",INDEX(MO_SNA_FPStartDate,0,COLUMN()),INDEX(MO_Common_QEndDate,0,COLUMN())),"N/A")</f>
        <v>N/A</v>
      </c>
      <c r="L699" s="393" t="str">
        <f ca="1">IFERROR(CIQHI(MO.Ticker.CapIQ,"IQ_LASTSALEPRICE",INDEX(MO_SNA_FPStartDate,0,COLUMN()),INDEX(MO_Common_QEndDate,0,COLUMN())),"N/A")</f>
        <v>N/A</v>
      </c>
      <c r="M699" s="393" t="str">
        <f ca="1">IFERROR(CIQHI(MO.Ticker.CapIQ,"IQ_LASTSALEPRICE",INDEX(MO_SNA_FPStartDate,0,COLUMN()),INDEX(MO_Common_QEndDate,0,COLUMN())),"N/A")</f>
        <v>N/A</v>
      </c>
      <c r="N699" s="393" t="str">
        <f ca="1">IFERROR(CIQHI(MO.Ticker.CapIQ,"IQ_LASTSALEPRICE",INDEX(MO_SNA_FPStartDate,0,COLUMN()),INDEX(MO_Common_QEndDate,0,COLUMN())),"N/A")</f>
        <v>N/A</v>
      </c>
      <c r="O699" s="393" t="str">
        <f ca="1">IFERROR(CIQHI(MO.Ticker.CapIQ,"IQ_LASTSALEPRICE",INDEX(MO_SNA_FPStartDate,0,COLUMN()),INDEX(MO_Common_QEndDate,0,COLUMN())),"N/A")</f>
        <v>N/A</v>
      </c>
      <c r="P699" s="393" t="str">
        <f ca="1">IFERROR(CIQHI(MO.Ticker.CapIQ,"IQ_LASTSALEPRICE",INDEX(MO_SNA_FPStartDate,0,COLUMN()),INDEX(MO_Common_QEndDate,0,COLUMN())),"N/A")</f>
        <v>N/A</v>
      </c>
      <c r="Q699" s="393" t="str">
        <f ca="1">IFERROR(CIQHI(MO.Ticker.CapIQ,"IQ_LASTSALEPRICE",INDEX(MO_SNA_FPStartDate,0,COLUMN()),INDEX(MO_Common_QEndDate,0,COLUMN())),"N/A")</f>
        <v>N/A</v>
      </c>
      <c r="R699" s="393" t="str">
        <f ca="1">IFERROR(CIQHI(MO.Ticker.CapIQ,"IQ_LASTSALEPRICE",INDEX(MO_SNA_FPStartDate,0,COLUMN()),INDEX(MO_Common_QEndDate,0,COLUMN())),"N/A")</f>
        <v>N/A</v>
      </c>
      <c r="S699" s="393" t="str">
        <f ca="1">IFERROR(CIQHI(MO.Ticker.CapIQ,"IQ_LASTSALEPRICE",INDEX(MO_SNA_FPStartDate,0,COLUMN()),INDEX(MO_Common_QEndDate,0,COLUMN())),"N/A")</f>
        <v>N/A</v>
      </c>
      <c r="T699" s="393" t="str">
        <f ca="1">IFERROR(CIQHI(MO.Ticker.CapIQ,"IQ_LASTSALEPRICE",INDEX(MO_SNA_FPStartDate,0,COLUMN()),INDEX(MO_Common_QEndDate,0,COLUMN())),"N/A")</f>
        <v>N/A</v>
      </c>
      <c r="U699" s="393" t="str">
        <f ca="1">IFERROR(CIQHI(MO.Ticker.CapIQ,"IQ_LASTSALEPRICE",INDEX(MO_SNA_FPStartDate,0,COLUMN()),INDEX(MO_Common_QEndDate,0,COLUMN())),"N/A")</f>
        <v>N/A</v>
      </c>
      <c r="V699" s="393" t="str">
        <f ca="1">IFERROR(CIQHI(MO.Ticker.CapIQ,"IQ_LASTSALEPRICE",INDEX(MO_SNA_FPStartDate,0,COLUMN()),INDEX(MO_Common_QEndDate,0,COLUMN())),"N/A")</f>
        <v>N/A</v>
      </c>
      <c r="W699" s="393" t="str">
        <f ca="1">IFERROR(CIQHI(MO.Ticker.CapIQ,"IQ_LASTSALEPRICE",INDEX(MO_SNA_FPStartDate,0,COLUMN()),INDEX(MO_Common_QEndDate,0,COLUMN())),"N/A")</f>
        <v>N/A</v>
      </c>
      <c r="X699" s="393" t="str">
        <f ca="1">IFERROR(CIQHI(MO.Ticker.CapIQ,"IQ_LASTSALEPRICE",INDEX(MO_SNA_FPStartDate,0,COLUMN()),INDEX(MO_Common_QEndDate,0,COLUMN())),"N/A")</f>
        <v>N/A</v>
      </c>
      <c r="Y699" s="393" t="str">
        <f ca="1">IFERROR(CIQHI(MO.Ticker.CapIQ,"IQ_LASTSALEPRICE",INDEX(MO_SNA_FPStartDate,0,COLUMN()),INDEX(MO_Common_QEndDate,0,COLUMN())),"N/A")</f>
        <v>N/A</v>
      </c>
      <c r="Z699" s="393" t="str">
        <f ca="1">IFERROR(CIQHI(MO.Ticker.CapIQ,"IQ_LASTSALEPRICE",INDEX(MO_SNA_FPStartDate,0,COLUMN()),INDEX(MO_Common_QEndDate,0,COLUMN())),"N/A")</f>
        <v>N/A</v>
      </c>
      <c r="AA699" s="393" t="str">
        <f ca="1">IFERROR(CIQHI(MO.Ticker.CapIQ,"IQ_LASTSALEPRICE",INDEX(MO_SNA_FPStartDate,0,COLUMN()),INDEX(MO_Common_QEndDate,0,COLUMN())),"N/A")</f>
        <v>N/A</v>
      </c>
      <c r="AB699" s="393" t="str">
        <f ca="1">IFERROR(CIQHI(MO.Ticker.CapIQ,"IQ_LASTSALEPRICE",INDEX(MO_SNA_FPStartDate,0,COLUMN()),INDEX(MO_Common_QEndDate,0,COLUMN())),"N/A")</f>
        <v>N/A</v>
      </c>
      <c r="AC699" s="393" t="str">
        <f ca="1">IFERROR(CIQHI(MO.Ticker.CapIQ,"IQ_LASTSALEPRICE",INDEX(MO_SNA_FPStartDate,0,COLUMN()),INDEX(MO_Common_QEndDate,0,COLUMN())),"N/A")</f>
        <v>N/A</v>
      </c>
      <c r="AD699" s="393" t="str">
        <f ca="1">IFERROR(CIQHI(MO.Ticker.CapIQ,"IQ_LASTSALEPRICE",INDEX(MO_SNA_FPStartDate,0,COLUMN()),INDEX(MO_Common_QEndDate,0,COLUMN())),"N/A")</f>
        <v>N/A</v>
      </c>
      <c r="AE699" s="393" t="str">
        <f ca="1">IFERROR(CIQHI(MO.Ticker.CapIQ,"IQ_LASTSALEPRICE",INDEX(MO_SNA_FPStartDate,0,COLUMN()),INDEX(MO_Common_QEndDate,0,COLUMN())),"N/A")</f>
        <v>N/A</v>
      </c>
      <c r="AF699" s="393" t="str">
        <f ca="1">IFERROR(CIQHI(MO.Ticker.CapIQ,"IQ_LASTSALEPRICE",INDEX(MO_SNA_FPStartDate,0,COLUMN()),INDEX(MO_Common_QEndDate,0,COLUMN())),"N/A")</f>
        <v>N/A</v>
      </c>
      <c r="AG699" s="393" t="str">
        <f ca="1">IFERROR(CIQHI(MO.Ticker.CapIQ,"IQ_LASTSALEPRICE",INDEX(MO_SNA_FPStartDate,0,COLUMN()),INDEX(MO_Common_QEndDate,0,COLUMN())),"N/A")</f>
        <v>N/A</v>
      </c>
      <c r="AH699" s="393" t="str">
        <f ca="1">IFERROR(CIQHI(MO.Ticker.CapIQ,"IQ_LASTSALEPRICE",INDEX(MO_SNA_FPStartDate,0,COLUMN()),INDEX(MO_Common_QEndDate,0,COLUMN())),"N/A")</f>
        <v>N/A</v>
      </c>
      <c r="AI699" s="393" t="str">
        <f ca="1">IFERROR(CIQHI(MO.Ticker.CapIQ,"IQ_LASTSALEPRICE",INDEX(MO_SNA_FPStartDate,0,COLUMN()),INDEX(MO_Common_QEndDate,0,COLUMN())),"N/A")</f>
        <v>N/A</v>
      </c>
      <c r="AJ699" s="393" t="str">
        <f ca="1">IFERROR(CIQHI(MO.Ticker.CapIQ,"IQ_LASTSALEPRICE",INDEX(MO_SNA_FPStartDate,0,COLUMN()),INDEX(MO_Common_QEndDate,0,COLUMN())),"N/A")</f>
        <v>N/A</v>
      </c>
      <c r="AK699" s="393" t="str">
        <f ca="1">IFERROR(CIQHI(MO.Ticker.CapIQ,"IQ_LASTSALEPRICE",INDEX(MO_SNA_FPStartDate,0,COLUMN()),INDEX(MO_Common_QEndDate,0,COLUMN())),"N/A")</f>
        <v>N/A</v>
      </c>
      <c r="AL699" s="393" t="str">
        <f ca="1">IFERROR(CIQHI(MO.Ticker.CapIQ,"IQ_LASTSALEPRICE",INDEX(MO_SNA_FPStartDate,0,COLUMN()),INDEX(MO_Common_QEndDate,0,COLUMN())),"N/A")</f>
        <v>N/A</v>
      </c>
      <c r="AM699" s="609" t="str">
        <f ca="1">IFERROR(CIQHI(MO.Ticker.CapIQ,"IQ_LASTSALEPRICE",INDEX(MO_SNA_FPStartDate,0,COLUMN()),INDEX(MO_Common_QEndDate,0,COLUMN())),"N/A")</f>
        <v>N/A</v>
      </c>
      <c r="AN699" s="336" t="str">
        <f ca="1">IFERROR(CIQHI(MO.Ticker.CapIQ,"IQ_LASTSALEPRICE",INDEX(MO_SNA_FPStartDate,0,COLUMN()),INDEX(MO_Common_QEndDate,0,COLUMN())),"N/A")</f>
        <v>N/A</v>
      </c>
      <c r="AO699" s="336" t="str">
        <f ca="1">IFERROR(CIQHI(MO.Ticker.CapIQ,"IQ_LASTSALEPRICE",INDEX(MO_SNA_FPStartDate,0,COLUMN()),INDEX(MO_Common_QEndDate,0,COLUMN())),"N/A")</f>
        <v>N/A</v>
      </c>
      <c r="AP699" s="336" t="str">
        <f ca="1">IFERROR(CIQHI(MO.Ticker.CapIQ,"IQ_LASTSALEPRICE",INDEX(MO_SNA_FPStartDate,0,COLUMN()),INDEX(MO_Common_QEndDate,0,COLUMN())),"N/A")</f>
        <v>N/A</v>
      </c>
      <c r="AQ699" s="336" t="str">
        <f ca="1">IFERROR(CIQHI(MO.Ticker.CapIQ,"IQ_LASTSALEPRICE",INDEX(MO_SNA_FPStartDate,0,COLUMN()),INDEX(MO_Common_QEndDate,0,COLUMN())),"N/A")</f>
        <v>N/A</v>
      </c>
      <c r="AR699" s="336" t="str">
        <f ca="1">IFERROR(CIQHI(MO.Ticker.CapIQ,"IQ_LASTSALEPRICE",INDEX(MO_SNA_FPStartDate,0,COLUMN()),INDEX(MO_Common_QEndDate,0,COLUMN())),"N/A")</f>
        <v>N/A</v>
      </c>
      <c r="AS699" s="336" t="str">
        <f ca="1">IFERROR(CIQHI(MO.Ticker.CapIQ,"IQ_LASTSALEPRICE",INDEX(MO_SNA_FPStartDate,0,COLUMN()),INDEX(MO_Common_QEndDate,0,COLUMN())),"N/A")</f>
        <v>N/A</v>
      </c>
      <c r="AT699" s="336" t="str">
        <f ca="1">IFERROR(CIQHI(MO.Ticker.CapIQ,"IQ_LASTSALEPRICE",INDEX(MO_SNA_FPStartDate,0,COLUMN()),INDEX(MO_Common_QEndDate,0,COLUMN())),"N/A")</f>
        <v>N/A</v>
      </c>
      <c r="AU699" s="336" t="str">
        <f ca="1">IFERROR(CIQHI(MO.Ticker.CapIQ,"IQ_LASTSALEPRICE",INDEX(MO_SNA_FPStartDate,0,COLUMN()),INDEX(MO_Common_QEndDate,0,COLUMN())),"N/A")</f>
        <v>N/A</v>
      </c>
      <c r="AV699" s="336" t="str">
        <f ca="1">IFERROR(CIQHI(MO.Ticker.CapIQ,"IQ_LASTSALEPRICE",INDEX(MO_SNA_FPStartDate,0,COLUMN()),INDEX(MO_Common_QEndDate,0,COLUMN())),"N/A")</f>
        <v>N/A</v>
      </c>
      <c r="AW699" s="337" t="str">
        <f ca="1">IFERROR(CIQHI(MO.Ticker.CapIQ,"IQ_LASTSALEPRICE",INDEX(MO_SNA_FPStartDate,0,COLUMN()),INDEX(MO_Common_QEndDate,0,COLUMN())),"N/A")</f>
        <v>N/A</v>
      </c>
      <c r="AX699" s="515"/>
    </row>
    <row r="700" spans="1:50" s="338" customFormat="1" hidden="1" outlineLevel="1" x14ac:dyDescent="0.45">
      <c r="A700" s="339" t="s">
        <v>239</v>
      </c>
      <c r="B700" s="336"/>
      <c r="C700" s="557" t="str">
        <f ca="1">IFERROR(FDS(MO.Ticker.FactSet,"P_PRICE_LOW"&amp;"("&amp;INDEX(MO_SNA_FPStartDate,0,COLUMN())&amp;","&amp;INDEX(MO_Common_QEndDate,0,COLUMN())&amp;",,,,""PRICE"",""CLOSE"")"),"N/A")</f>
        <v>N/A</v>
      </c>
      <c r="D700" s="557" t="str">
        <f ca="1">IFERROR(FDS(MO.Ticker.FactSet,"P_PRICE_LOW"&amp;"("&amp;INDEX(MO_SNA_FPStartDate,0,COLUMN())&amp;","&amp;INDEX(MO_Common_QEndDate,0,COLUMN())&amp;",,,,""PRICE"",""CLOSE"")"),"N/A")</f>
        <v>N/A</v>
      </c>
      <c r="E700" s="393" t="str">
        <f ca="1">IFERROR(FDS(MO.Ticker.FactSet,"P_PRICE_LOW"&amp;"("&amp;INDEX(MO_SNA_FPStartDate,0,COLUMN())&amp;","&amp;INDEX(MO_Common_QEndDate,0,COLUMN())&amp;",,,,""PRICE"",""CLOSE"")"),"N/A")</f>
        <v>N/A</v>
      </c>
      <c r="F700" s="393" t="str">
        <f ca="1">IFERROR(FDS(MO.Ticker.FactSet,"P_PRICE_LOW"&amp;"("&amp;INDEX(MO_SNA_FPStartDate,0,COLUMN())&amp;","&amp;INDEX(MO_Common_QEndDate,0,COLUMN())&amp;",,,,""PRICE"",""CLOSE"")"),"N/A")</f>
        <v>N/A</v>
      </c>
      <c r="G700" s="393" t="str">
        <f ca="1">IFERROR(FDS(MO.Ticker.FactSet,"P_PRICE_LOW"&amp;"("&amp;INDEX(MO_SNA_FPStartDate,0,COLUMN())&amp;","&amp;INDEX(MO_Common_QEndDate,0,COLUMN())&amp;",,,,""PRICE"",""CLOSE"")"),"N/A")</f>
        <v>N/A</v>
      </c>
      <c r="H700" s="393" t="str">
        <f ca="1">IFERROR(FDS(MO.Ticker.FactSet,"P_PRICE_LOW"&amp;"("&amp;INDEX(MO_SNA_FPStartDate,0,COLUMN())&amp;","&amp;INDEX(MO_Common_QEndDate,0,COLUMN())&amp;",,,,""PRICE"",""CLOSE"")"),"N/A")</f>
        <v>N/A</v>
      </c>
      <c r="I700" s="393" t="str">
        <f ca="1">IFERROR(FDS(MO.Ticker.FactSet,"P_PRICE_LOW"&amp;"("&amp;INDEX(MO_SNA_FPStartDate,0,COLUMN())&amp;","&amp;INDEX(MO_Common_QEndDate,0,COLUMN())&amp;",,,,""PRICE"",""CLOSE"")"),"N/A")</f>
        <v>N/A</v>
      </c>
      <c r="J700" s="393" t="str">
        <f ca="1">IFERROR(FDS(MO.Ticker.FactSet,"P_PRICE_LOW"&amp;"("&amp;INDEX(MO_SNA_FPStartDate,0,COLUMN())&amp;","&amp;INDEX(MO_Common_QEndDate,0,COLUMN())&amp;",,,,""PRICE"",""CLOSE"")"),"N/A")</f>
        <v>N/A</v>
      </c>
      <c r="K700" s="393" t="str">
        <f ca="1">IFERROR(FDS(MO.Ticker.FactSet,"P_PRICE_LOW"&amp;"("&amp;INDEX(MO_SNA_FPStartDate,0,COLUMN())&amp;","&amp;INDEX(MO_Common_QEndDate,0,COLUMN())&amp;",,,,""PRICE"",""CLOSE"")"),"N/A")</f>
        <v>N/A</v>
      </c>
      <c r="L700" s="393" t="str">
        <f ca="1">IFERROR(FDS(MO.Ticker.FactSet,"P_PRICE_LOW"&amp;"("&amp;INDEX(MO_SNA_FPStartDate,0,COLUMN())&amp;","&amp;INDEX(MO_Common_QEndDate,0,COLUMN())&amp;",,,,""PRICE"",""CLOSE"")"),"N/A")</f>
        <v>N/A</v>
      </c>
      <c r="M700" s="393" t="str">
        <f ca="1">IFERROR(FDS(MO.Ticker.FactSet,"P_PRICE_LOW"&amp;"("&amp;INDEX(MO_SNA_FPStartDate,0,COLUMN())&amp;","&amp;INDEX(MO_Common_QEndDate,0,COLUMN())&amp;",,,,""PRICE"",""CLOSE"")"),"N/A")</f>
        <v>N/A</v>
      </c>
      <c r="N700" s="393" t="str">
        <f ca="1">IFERROR(FDS(MO.Ticker.FactSet,"P_PRICE_LOW"&amp;"("&amp;INDEX(MO_SNA_FPStartDate,0,COLUMN())&amp;","&amp;INDEX(MO_Common_QEndDate,0,COLUMN())&amp;",,,,""PRICE"",""CLOSE"")"),"N/A")</f>
        <v>N/A</v>
      </c>
      <c r="O700" s="393" t="str">
        <f ca="1">IFERROR(FDS(MO.Ticker.FactSet,"P_PRICE_LOW"&amp;"("&amp;INDEX(MO_SNA_FPStartDate,0,COLUMN())&amp;","&amp;INDEX(MO_Common_QEndDate,0,COLUMN())&amp;",,,,""PRICE"",""CLOSE"")"),"N/A")</f>
        <v>N/A</v>
      </c>
      <c r="P700" s="393" t="str">
        <f ca="1">IFERROR(FDS(MO.Ticker.FactSet,"P_PRICE_LOW"&amp;"("&amp;INDEX(MO_SNA_FPStartDate,0,COLUMN())&amp;","&amp;INDEX(MO_Common_QEndDate,0,COLUMN())&amp;",,,,""PRICE"",""CLOSE"")"),"N/A")</f>
        <v>N/A</v>
      </c>
      <c r="Q700" s="393" t="str">
        <f ca="1">IFERROR(FDS(MO.Ticker.FactSet,"P_PRICE_LOW"&amp;"("&amp;INDEX(MO_SNA_FPStartDate,0,COLUMN())&amp;","&amp;INDEX(MO_Common_QEndDate,0,COLUMN())&amp;",,,,""PRICE"",""CLOSE"")"),"N/A")</f>
        <v>N/A</v>
      </c>
      <c r="R700" s="393" t="str">
        <f ca="1">IFERROR(FDS(MO.Ticker.FactSet,"P_PRICE_LOW"&amp;"("&amp;INDEX(MO_SNA_FPStartDate,0,COLUMN())&amp;","&amp;INDEX(MO_Common_QEndDate,0,COLUMN())&amp;",,,,""PRICE"",""CLOSE"")"),"N/A")</f>
        <v>N/A</v>
      </c>
      <c r="S700" s="393" t="str">
        <f ca="1">IFERROR(FDS(MO.Ticker.FactSet,"P_PRICE_LOW"&amp;"("&amp;INDEX(MO_SNA_FPStartDate,0,COLUMN())&amp;","&amp;INDEX(MO_Common_QEndDate,0,COLUMN())&amp;",,,,""PRICE"",""CLOSE"")"),"N/A")</f>
        <v>N/A</v>
      </c>
      <c r="T700" s="393" t="str">
        <f ca="1">IFERROR(FDS(MO.Ticker.FactSet,"P_PRICE_LOW"&amp;"("&amp;INDEX(MO_SNA_FPStartDate,0,COLUMN())&amp;","&amp;INDEX(MO_Common_QEndDate,0,COLUMN())&amp;",,,,""PRICE"",""CLOSE"")"),"N/A")</f>
        <v>N/A</v>
      </c>
      <c r="U700" s="393" t="str">
        <f ca="1">IFERROR(FDS(MO.Ticker.FactSet,"P_PRICE_LOW"&amp;"("&amp;INDEX(MO_SNA_FPStartDate,0,COLUMN())&amp;","&amp;INDEX(MO_Common_QEndDate,0,COLUMN())&amp;",,,,""PRICE"",""CLOSE"")"),"N/A")</f>
        <v>N/A</v>
      </c>
      <c r="V700" s="393" t="str">
        <f ca="1">IFERROR(FDS(MO.Ticker.FactSet,"P_PRICE_LOW"&amp;"("&amp;INDEX(MO_SNA_FPStartDate,0,COLUMN())&amp;","&amp;INDEX(MO_Common_QEndDate,0,COLUMN())&amp;",,,,""PRICE"",""CLOSE"")"),"N/A")</f>
        <v>N/A</v>
      </c>
      <c r="W700" s="393" t="str">
        <f ca="1">IFERROR(FDS(MO.Ticker.FactSet,"P_PRICE_LOW"&amp;"("&amp;INDEX(MO_SNA_FPStartDate,0,COLUMN())&amp;","&amp;INDEX(MO_Common_QEndDate,0,COLUMN())&amp;",,,,""PRICE"",""CLOSE"")"),"N/A")</f>
        <v>N/A</v>
      </c>
      <c r="X700" s="393" t="str">
        <f ca="1">IFERROR(FDS(MO.Ticker.FactSet,"P_PRICE_LOW"&amp;"("&amp;INDEX(MO_SNA_FPStartDate,0,COLUMN())&amp;","&amp;INDEX(MO_Common_QEndDate,0,COLUMN())&amp;",,,,""PRICE"",""CLOSE"")"),"N/A")</f>
        <v>N/A</v>
      </c>
      <c r="Y700" s="393" t="str">
        <f ca="1">IFERROR(FDS(MO.Ticker.FactSet,"P_PRICE_LOW"&amp;"("&amp;INDEX(MO_SNA_FPStartDate,0,COLUMN())&amp;","&amp;INDEX(MO_Common_QEndDate,0,COLUMN())&amp;",,,,""PRICE"",""CLOSE"")"),"N/A")</f>
        <v>N/A</v>
      </c>
      <c r="Z700" s="393" t="str">
        <f ca="1">IFERROR(FDS(MO.Ticker.FactSet,"P_PRICE_LOW"&amp;"("&amp;INDEX(MO_SNA_FPStartDate,0,COLUMN())&amp;","&amp;INDEX(MO_Common_QEndDate,0,COLUMN())&amp;",,,,""PRICE"",""CLOSE"")"),"N/A")</f>
        <v>N/A</v>
      </c>
      <c r="AA700" s="393" t="str">
        <f ca="1">IFERROR(FDS(MO.Ticker.FactSet,"P_PRICE_LOW"&amp;"("&amp;INDEX(MO_SNA_FPStartDate,0,COLUMN())&amp;","&amp;INDEX(MO_Common_QEndDate,0,COLUMN())&amp;",,,,""PRICE"",""CLOSE"")"),"N/A")</f>
        <v>N/A</v>
      </c>
      <c r="AB700" s="393" t="str">
        <f ca="1">IFERROR(FDS(MO.Ticker.FactSet,"P_PRICE_LOW"&amp;"("&amp;INDEX(MO_SNA_FPStartDate,0,COLUMN())&amp;","&amp;INDEX(MO_Common_QEndDate,0,COLUMN())&amp;",,,,""PRICE"",""CLOSE"")"),"N/A")</f>
        <v>N/A</v>
      </c>
      <c r="AC700" s="393" t="str">
        <f ca="1">IFERROR(FDS(MO.Ticker.FactSet,"P_PRICE_LOW"&amp;"("&amp;INDEX(MO_SNA_FPStartDate,0,COLUMN())&amp;","&amp;INDEX(MO_Common_QEndDate,0,COLUMN())&amp;",,,,""PRICE"",""CLOSE"")"),"N/A")</f>
        <v>N/A</v>
      </c>
      <c r="AD700" s="393" t="str">
        <f ca="1">IFERROR(FDS(MO.Ticker.FactSet,"P_PRICE_LOW"&amp;"("&amp;INDEX(MO_SNA_FPStartDate,0,COLUMN())&amp;","&amp;INDEX(MO_Common_QEndDate,0,COLUMN())&amp;",,,,""PRICE"",""CLOSE"")"),"N/A")</f>
        <v>N/A</v>
      </c>
      <c r="AE700" s="393" t="str">
        <f ca="1">IFERROR(FDS(MO.Ticker.FactSet,"P_PRICE_LOW"&amp;"("&amp;INDEX(MO_SNA_FPStartDate,0,COLUMN())&amp;","&amp;INDEX(MO_Common_QEndDate,0,COLUMN())&amp;",,,,""PRICE"",""CLOSE"")"),"N/A")</f>
        <v>N/A</v>
      </c>
      <c r="AF700" s="393" t="str">
        <f ca="1">IFERROR(FDS(MO.Ticker.FactSet,"P_PRICE_LOW"&amp;"("&amp;INDEX(MO_SNA_FPStartDate,0,COLUMN())&amp;","&amp;INDEX(MO_Common_QEndDate,0,COLUMN())&amp;",,,,""PRICE"",""CLOSE"")"),"N/A")</f>
        <v>N/A</v>
      </c>
      <c r="AG700" s="393" t="str">
        <f ca="1">IFERROR(FDS(MO.Ticker.FactSet,"P_PRICE_LOW"&amp;"("&amp;INDEX(MO_SNA_FPStartDate,0,COLUMN())&amp;","&amp;INDEX(MO_Common_QEndDate,0,COLUMN())&amp;",,,,""PRICE"",""CLOSE"")"),"N/A")</f>
        <v>N/A</v>
      </c>
      <c r="AH700" s="393" t="str">
        <f ca="1">IFERROR(FDS(MO.Ticker.FactSet,"P_PRICE_LOW"&amp;"("&amp;INDEX(MO_SNA_FPStartDate,0,COLUMN())&amp;","&amp;INDEX(MO_Common_QEndDate,0,COLUMN())&amp;",,,,""PRICE"",""CLOSE"")"),"N/A")</f>
        <v>N/A</v>
      </c>
      <c r="AI700" s="393" t="str">
        <f ca="1">IFERROR(FDS(MO.Ticker.FactSet,"P_PRICE_LOW"&amp;"("&amp;INDEX(MO_SNA_FPStartDate,0,COLUMN())&amp;","&amp;INDEX(MO_Common_QEndDate,0,COLUMN())&amp;",,,,""PRICE"",""CLOSE"")"),"N/A")</f>
        <v>N/A</v>
      </c>
      <c r="AJ700" s="393" t="str">
        <f ca="1">IFERROR(FDS(MO.Ticker.FactSet,"P_PRICE_LOW"&amp;"("&amp;INDEX(MO_SNA_FPStartDate,0,COLUMN())&amp;","&amp;INDEX(MO_Common_QEndDate,0,COLUMN())&amp;",,,,""PRICE"",""CLOSE"")"),"N/A")</f>
        <v>N/A</v>
      </c>
      <c r="AK700" s="393" t="str">
        <f ca="1">IFERROR(FDS(MO.Ticker.FactSet,"P_PRICE_LOW"&amp;"("&amp;INDEX(MO_SNA_FPStartDate,0,COLUMN())&amp;","&amp;INDEX(MO_Common_QEndDate,0,COLUMN())&amp;",,,,""PRICE"",""CLOSE"")"),"N/A")</f>
        <v>N/A</v>
      </c>
      <c r="AL700" s="393" t="str">
        <f ca="1">IFERROR(FDS(MO.Ticker.FactSet,"P_PRICE_LOW"&amp;"("&amp;INDEX(MO_SNA_FPStartDate,0,COLUMN())&amp;","&amp;INDEX(MO_Common_QEndDate,0,COLUMN())&amp;",,,,""PRICE"",""CLOSE"")"),"N/A")</f>
        <v>N/A</v>
      </c>
      <c r="AM700" s="609" t="str">
        <f ca="1">IFERROR(FDS(MO.Ticker.FactSet,"P_PRICE_LOW"&amp;"("&amp;INDEX(MO_SNA_FPStartDate,0,COLUMN())&amp;","&amp;INDEX(MO_Common_QEndDate,0,COLUMN())&amp;",,,,""PRICE"",""CLOSE"")"),"N/A")</f>
        <v>N/A</v>
      </c>
      <c r="AN700" s="336" t="str">
        <f ca="1">IFERROR(FDS(MO.Ticker.FactSet,"P_PRICE_LOW"&amp;"("&amp;INDEX(MO_SNA_FPStartDate,0,COLUMN())&amp;","&amp;INDEX(MO_Common_QEndDate,0,COLUMN())&amp;",,,,""PRICE"",""CLOSE"")"),"N/A")</f>
        <v>N/A</v>
      </c>
      <c r="AO700" s="336" t="str">
        <f ca="1">IFERROR(FDS(MO.Ticker.FactSet,"P_PRICE_LOW"&amp;"("&amp;INDEX(MO_SNA_FPStartDate,0,COLUMN())&amp;","&amp;INDEX(MO_Common_QEndDate,0,COLUMN())&amp;",,,,""PRICE"",""CLOSE"")"),"N/A")</f>
        <v>N/A</v>
      </c>
      <c r="AP700" s="336" t="str">
        <f ca="1">IFERROR(FDS(MO.Ticker.FactSet,"P_PRICE_LOW"&amp;"("&amp;INDEX(MO_SNA_FPStartDate,0,COLUMN())&amp;","&amp;INDEX(MO_Common_QEndDate,0,COLUMN())&amp;",,,,""PRICE"",""CLOSE"")"),"N/A")</f>
        <v>N/A</v>
      </c>
      <c r="AQ700" s="336" t="str">
        <f ca="1">IFERROR(FDS(MO.Ticker.FactSet,"P_PRICE_LOW"&amp;"("&amp;INDEX(MO_SNA_FPStartDate,0,COLUMN())&amp;","&amp;INDEX(MO_Common_QEndDate,0,COLUMN())&amp;",,,,""PRICE"",""CLOSE"")"),"N/A")</f>
        <v>N/A</v>
      </c>
      <c r="AR700" s="336" t="str">
        <f ca="1">IFERROR(FDS(MO.Ticker.FactSet,"P_PRICE_LOW"&amp;"("&amp;INDEX(MO_SNA_FPStartDate,0,COLUMN())&amp;","&amp;INDEX(MO_Common_QEndDate,0,COLUMN())&amp;",,,,""PRICE"",""CLOSE"")"),"N/A")</f>
        <v>N/A</v>
      </c>
      <c r="AS700" s="336" t="str">
        <f ca="1">IFERROR(FDS(MO.Ticker.FactSet,"P_PRICE_LOW"&amp;"("&amp;INDEX(MO_SNA_FPStartDate,0,COLUMN())&amp;","&amp;INDEX(MO_Common_QEndDate,0,COLUMN())&amp;",,,,""PRICE"",""CLOSE"")"),"N/A")</f>
        <v>N/A</v>
      </c>
      <c r="AT700" s="336" t="str">
        <f ca="1">IFERROR(FDS(MO.Ticker.FactSet,"P_PRICE_LOW"&amp;"("&amp;INDEX(MO_SNA_FPStartDate,0,COLUMN())&amp;","&amp;INDEX(MO_Common_QEndDate,0,COLUMN())&amp;",,,,""PRICE"",""CLOSE"")"),"N/A")</f>
        <v>N/A</v>
      </c>
      <c r="AU700" s="336" t="str">
        <f ca="1">IFERROR(FDS(MO.Ticker.FactSet,"P_PRICE_LOW"&amp;"("&amp;INDEX(MO_SNA_FPStartDate,0,COLUMN())&amp;","&amp;INDEX(MO_Common_QEndDate,0,COLUMN())&amp;",,,,""PRICE"",""CLOSE"")"),"N/A")</f>
        <v>N/A</v>
      </c>
      <c r="AV700" s="336" t="str">
        <f ca="1">IFERROR(FDS(MO.Ticker.FactSet,"P_PRICE_LOW"&amp;"("&amp;INDEX(MO_SNA_FPStartDate,0,COLUMN())&amp;","&amp;INDEX(MO_Common_QEndDate,0,COLUMN())&amp;",,,,""PRICE"",""CLOSE"")"),"N/A")</f>
        <v>N/A</v>
      </c>
      <c r="AW700" s="337" t="str">
        <f ca="1">IFERROR(FDS(MO.Ticker.FactSet,"P_PRICE_LOW"&amp;"("&amp;INDEX(MO_SNA_FPStartDate,0,COLUMN())&amp;","&amp;INDEX(MO_Common_QEndDate,0,COLUMN())&amp;",,,,""PRICE"",""CLOSE"")"),"N/A")</f>
        <v>N/A</v>
      </c>
      <c r="AX700" s="515"/>
    </row>
    <row r="701" spans="1:50" s="338" customFormat="1" hidden="1" outlineLevel="1" x14ac:dyDescent="0.45">
      <c r="A701" s="339" t="s">
        <v>240</v>
      </c>
      <c r="B701" s="336"/>
      <c r="C701" s="557" t="str">
        <f ca="1">IFERROR(_xll.TR(MO.Ticker.Thomson,"Min(TR.PriceLow)","sdate:#1 edate:#2",,INDEX(MO_SNA_FPStartDate,0,COLUMN()),INDEX(MO_Common_QEndDate,0,COLUMN())),"N/A")</f>
        <v>N/A</v>
      </c>
      <c r="D701" s="557" t="str">
        <f ca="1">IFERROR(_xll.TR(MO.Ticker.Thomson,"Min(TR.PriceLow)","sdate:#1 edate:#2",,INDEX(MO_SNA_FPStartDate,0,COLUMN()),INDEX(MO_Common_QEndDate,0,COLUMN())),"N/A")</f>
        <v>N/A</v>
      </c>
      <c r="E701" s="393" t="str">
        <f ca="1">IFERROR(_xll.TR(MO.Ticker.Thomson,"Min(TR.PriceLow)","sdate:#1 edate:#2",,INDEX(MO_SNA_FPStartDate,0,COLUMN()),INDEX(MO_Common_QEndDate,0,COLUMN())),"N/A")</f>
        <v>N/A</v>
      </c>
      <c r="F701" s="393" t="str">
        <f ca="1">IFERROR(_xll.TR(MO.Ticker.Thomson,"Min(TR.PriceLow)","sdate:#1 edate:#2",,INDEX(MO_SNA_FPStartDate,0,COLUMN()),INDEX(MO_Common_QEndDate,0,COLUMN())),"N/A")</f>
        <v>N/A</v>
      </c>
      <c r="G701" s="393" t="str">
        <f ca="1">IFERROR(_xll.TR(MO.Ticker.Thomson,"Min(TR.PriceLow)","sdate:#1 edate:#2",,INDEX(MO_SNA_FPStartDate,0,COLUMN()),INDEX(MO_Common_QEndDate,0,COLUMN())),"N/A")</f>
        <v>N/A</v>
      </c>
      <c r="H701" s="393" t="str">
        <f ca="1">IFERROR(_xll.TR(MO.Ticker.Thomson,"Min(TR.PriceLow)","sdate:#1 edate:#2",,INDEX(MO_SNA_FPStartDate,0,COLUMN()),INDEX(MO_Common_QEndDate,0,COLUMN())),"N/A")</f>
        <v>N/A</v>
      </c>
      <c r="I701" s="393" t="str">
        <f ca="1">IFERROR(_xll.TR(MO.Ticker.Thomson,"Min(TR.PriceLow)","sdate:#1 edate:#2",,INDEX(MO_SNA_FPStartDate,0,COLUMN()),INDEX(MO_Common_QEndDate,0,COLUMN())),"N/A")</f>
        <v>N/A</v>
      </c>
      <c r="J701" s="393" t="str">
        <f ca="1">IFERROR(_xll.TR(MO.Ticker.Thomson,"Min(TR.PriceLow)","sdate:#1 edate:#2",,INDEX(MO_SNA_FPStartDate,0,COLUMN()),INDEX(MO_Common_QEndDate,0,COLUMN())),"N/A")</f>
        <v>N/A</v>
      </c>
      <c r="K701" s="393" t="str">
        <f ca="1">IFERROR(_xll.TR(MO.Ticker.Thomson,"Min(TR.PriceLow)","sdate:#1 edate:#2",,INDEX(MO_SNA_FPStartDate,0,COLUMN()),INDEX(MO_Common_QEndDate,0,COLUMN())),"N/A")</f>
        <v>N/A</v>
      </c>
      <c r="L701" s="393" t="str">
        <f ca="1">IFERROR(_xll.TR(MO.Ticker.Thomson,"Min(TR.PriceLow)","sdate:#1 edate:#2",,INDEX(MO_SNA_FPStartDate,0,COLUMN()),INDEX(MO_Common_QEndDate,0,COLUMN())),"N/A")</f>
        <v>N/A</v>
      </c>
      <c r="M701" s="393" t="str">
        <f ca="1">IFERROR(_xll.TR(MO.Ticker.Thomson,"Min(TR.PriceLow)","sdate:#1 edate:#2",,INDEX(MO_SNA_FPStartDate,0,COLUMN()),INDEX(MO_Common_QEndDate,0,COLUMN())),"N/A")</f>
        <v>N/A</v>
      </c>
      <c r="N701" s="393" t="str">
        <f ca="1">IFERROR(_xll.TR(MO.Ticker.Thomson,"Min(TR.PriceLow)","sdate:#1 edate:#2",,INDEX(MO_SNA_FPStartDate,0,COLUMN()),INDEX(MO_Common_QEndDate,0,COLUMN())),"N/A")</f>
        <v>N/A</v>
      </c>
      <c r="O701" s="393" t="str">
        <f ca="1">IFERROR(_xll.TR(MO.Ticker.Thomson,"Min(TR.PriceLow)","sdate:#1 edate:#2",,INDEX(MO_SNA_FPStartDate,0,COLUMN()),INDEX(MO_Common_QEndDate,0,COLUMN())),"N/A")</f>
        <v>N/A</v>
      </c>
      <c r="P701" s="393" t="str">
        <f ca="1">IFERROR(_xll.TR(MO.Ticker.Thomson,"Min(TR.PriceLow)","sdate:#1 edate:#2",,INDEX(MO_SNA_FPStartDate,0,COLUMN()),INDEX(MO_Common_QEndDate,0,COLUMN())),"N/A")</f>
        <v>N/A</v>
      </c>
      <c r="Q701" s="393" t="str">
        <f ca="1">IFERROR(_xll.TR(MO.Ticker.Thomson,"Min(TR.PriceLow)","sdate:#1 edate:#2",,INDEX(MO_SNA_FPStartDate,0,COLUMN()),INDEX(MO_Common_QEndDate,0,COLUMN())),"N/A")</f>
        <v>N/A</v>
      </c>
      <c r="R701" s="393" t="str">
        <f ca="1">IFERROR(_xll.TR(MO.Ticker.Thomson,"Min(TR.PriceLow)","sdate:#1 edate:#2",,INDEX(MO_SNA_FPStartDate,0,COLUMN()),INDEX(MO_Common_QEndDate,0,COLUMN())),"N/A")</f>
        <v>N/A</v>
      </c>
      <c r="S701" s="393" t="str">
        <f ca="1">IFERROR(_xll.TR(MO.Ticker.Thomson,"Min(TR.PriceLow)","sdate:#1 edate:#2",,INDEX(MO_SNA_FPStartDate,0,COLUMN()),INDEX(MO_Common_QEndDate,0,COLUMN())),"N/A")</f>
        <v>N/A</v>
      </c>
      <c r="T701" s="393" t="str">
        <f ca="1">IFERROR(_xll.TR(MO.Ticker.Thomson,"Min(TR.PriceLow)","sdate:#1 edate:#2",,INDEX(MO_SNA_FPStartDate,0,COLUMN()),INDEX(MO_Common_QEndDate,0,COLUMN())),"N/A")</f>
        <v>N/A</v>
      </c>
      <c r="U701" s="393" t="str">
        <f ca="1">IFERROR(_xll.TR(MO.Ticker.Thomson,"Min(TR.PriceLow)","sdate:#1 edate:#2",,INDEX(MO_SNA_FPStartDate,0,COLUMN()),INDEX(MO_Common_QEndDate,0,COLUMN())),"N/A")</f>
        <v>N/A</v>
      </c>
      <c r="V701" s="393" t="str">
        <f ca="1">IFERROR(_xll.TR(MO.Ticker.Thomson,"Min(TR.PriceLow)","sdate:#1 edate:#2",,INDEX(MO_SNA_FPStartDate,0,COLUMN()),INDEX(MO_Common_QEndDate,0,COLUMN())),"N/A")</f>
        <v>N/A</v>
      </c>
      <c r="W701" s="393" t="str">
        <f ca="1">IFERROR(_xll.TR(MO.Ticker.Thomson,"Min(TR.PriceLow)","sdate:#1 edate:#2",,INDEX(MO_SNA_FPStartDate,0,COLUMN()),INDEX(MO_Common_QEndDate,0,COLUMN())),"N/A")</f>
        <v>N/A</v>
      </c>
      <c r="X701" s="393" t="str">
        <f ca="1">IFERROR(_xll.TR(MO.Ticker.Thomson,"Min(TR.PriceLow)","sdate:#1 edate:#2",,INDEX(MO_SNA_FPStartDate,0,COLUMN()),INDEX(MO_Common_QEndDate,0,COLUMN())),"N/A")</f>
        <v>N/A</v>
      </c>
      <c r="Y701" s="393" t="str">
        <f ca="1">IFERROR(_xll.TR(MO.Ticker.Thomson,"Min(TR.PriceLow)","sdate:#1 edate:#2",,INDEX(MO_SNA_FPStartDate,0,COLUMN()),INDEX(MO_Common_QEndDate,0,COLUMN())),"N/A")</f>
        <v>N/A</v>
      </c>
      <c r="Z701" s="393" t="str">
        <f ca="1">IFERROR(_xll.TR(MO.Ticker.Thomson,"Min(TR.PriceLow)","sdate:#1 edate:#2",,INDEX(MO_SNA_FPStartDate,0,COLUMN()),INDEX(MO_Common_QEndDate,0,COLUMN())),"N/A")</f>
        <v>N/A</v>
      </c>
      <c r="AA701" s="393" t="str">
        <f ca="1">IFERROR(_xll.TR(MO.Ticker.Thomson,"Min(TR.PriceLow)","sdate:#1 edate:#2",,INDEX(MO_SNA_FPStartDate,0,COLUMN()),INDEX(MO_Common_QEndDate,0,COLUMN())),"N/A")</f>
        <v>N/A</v>
      </c>
      <c r="AB701" s="393" t="str">
        <f ca="1">IFERROR(_xll.TR(MO.Ticker.Thomson,"Min(TR.PriceLow)","sdate:#1 edate:#2",,INDEX(MO_SNA_FPStartDate,0,COLUMN()),INDEX(MO_Common_QEndDate,0,COLUMN())),"N/A")</f>
        <v>N/A</v>
      </c>
      <c r="AC701" s="393" t="str">
        <f ca="1">IFERROR(_xll.TR(MO.Ticker.Thomson,"Min(TR.PriceLow)","sdate:#1 edate:#2",,INDEX(MO_SNA_FPStartDate,0,COLUMN()),INDEX(MO_Common_QEndDate,0,COLUMN())),"N/A")</f>
        <v>N/A</v>
      </c>
      <c r="AD701" s="393" t="str">
        <f ca="1">IFERROR(_xll.TR(MO.Ticker.Thomson,"Min(TR.PriceLow)","sdate:#1 edate:#2",,INDEX(MO_SNA_FPStartDate,0,COLUMN()),INDEX(MO_Common_QEndDate,0,COLUMN())),"N/A")</f>
        <v>N/A</v>
      </c>
      <c r="AE701" s="393" t="str">
        <f ca="1">IFERROR(_xll.TR(MO.Ticker.Thomson,"Min(TR.PriceLow)","sdate:#1 edate:#2",,INDEX(MO_SNA_FPStartDate,0,COLUMN()),INDEX(MO_Common_QEndDate,0,COLUMN())),"N/A")</f>
        <v>N/A</v>
      </c>
      <c r="AF701" s="393" t="str">
        <f ca="1">IFERROR(_xll.TR(MO.Ticker.Thomson,"Min(TR.PriceLow)","sdate:#1 edate:#2",,INDEX(MO_SNA_FPStartDate,0,COLUMN()),INDEX(MO_Common_QEndDate,0,COLUMN())),"N/A")</f>
        <v>N/A</v>
      </c>
      <c r="AG701" s="393" t="str">
        <f ca="1">IFERROR(_xll.TR(MO.Ticker.Thomson,"Min(TR.PriceLow)","sdate:#1 edate:#2",,INDEX(MO_SNA_FPStartDate,0,COLUMN()),INDEX(MO_Common_QEndDate,0,COLUMN())),"N/A")</f>
        <v>N/A</v>
      </c>
      <c r="AH701" s="393" t="str">
        <f ca="1">IFERROR(_xll.TR(MO.Ticker.Thomson,"Min(TR.PriceLow)","sdate:#1 edate:#2",,INDEX(MO_SNA_FPStartDate,0,COLUMN()),INDEX(MO_Common_QEndDate,0,COLUMN())),"N/A")</f>
        <v>N/A</v>
      </c>
      <c r="AI701" s="393" t="str">
        <f ca="1">IFERROR(_xll.TR(MO.Ticker.Thomson,"Min(TR.PriceLow)","sdate:#1 edate:#2",,INDEX(MO_SNA_FPStartDate,0,COLUMN()),INDEX(MO_Common_QEndDate,0,COLUMN())),"N/A")</f>
        <v>N/A</v>
      </c>
      <c r="AJ701" s="393" t="str">
        <f ca="1">IFERROR(_xll.TR(MO.Ticker.Thomson,"Min(TR.PriceLow)","sdate:#1 edate:#2",,INDEX(MO_SNA_FPStartDate,0,COLUMN()),INDEX(MO_Common_QEndDate,0,COLUMN())),"N/A")</f>
        <v>N/A</v>
      </c>
      <c r="AK701" s="393" t="str">
        <f ca="1">IFERROR(_xll.TR(MO.Ticker.Thomson,"Min(TR.PriceLow)","sdate:#1 edate:#2",,INDEX(MO_SNA_FPStartDate,0,COLUMN()),INDEX(MO_Common_QEndDate,0,COLUMN())),"N/A")</f>
        <v>N/A</v>
      </c>
      <c r="AL701" s="393" t="str">
        <f ca="1">IFERROR(_xll.TR(MO.Ticker.Thomson,"Min(TR.PriceLow)","sdate:#1 edate:#2",,INDEX(MO_SNA_FPStartDate,0,COLUMN()),INDEX(MO_Common_QEndDate,0,COLUMN())),"N/A")</f>
        <v>N/A</v>
      </c>
      <c r="AM701" s="609" t="str">
        <f ca="1">IFERROR(_xll.TR(MO.Ticker.Thomson,"Min(TR.PriceLow)","sdate:#1 edate:#2",,INDEX(MO_SNA_FPStartDate,0,COLUMN()),INDEX(MO_Common_QEndDate,0,COLUMN())),"N/A")</f>
        <v>N/A</v>
      </c>
      <c r="AN701" s="336" t="str">
        <f ca="1">IFERROR(_xll.TR(MO.Ticker.Thomson,"Min(TR.PriceLow)","sdate:#1 edate:#2",,INDEX(MO_SNA_FPStartDate,0,COLUMN()),INDEX(MO_Common_QEndDate,0,COLUMN())),"N/A")</f>
        <v>N/A</v>
      </c>
      <c r="AO701" s="336" t="str">
        <f ca="1">IFERROR(_xll.TR(MO.Ticker.Thomson,"Min(TR.PriceLow)","sdate:#1 edate:#2",,INDEX(MO_SNA_FPStartDate,0,COLUMN()),INDEX(MO_Common_QEndDate,0,COLUMN())),"N/A")</f>
        <v>N/A</v>
      </c>
      <c r="AP701" s="336" t="str">
        <f ca="1">IFERROR(_xll.TR(MO.Ticker.Thomson,"Min(TR.PriceLow)","sdate:#1 edate:#2",,INDEX(MO_SNA_FPStartDate,0,COLUMN()),INDEX(MO_Common_QEndDate,0,COLUMN())),"N/A")</f>
        <v>N/A</v>
      </c>
      <c r="AQ701" s="336" t="str">
        <f ca="1">IFERROR(_xll.TR(MO.Ticker.Thomson,"Min(TR.PriceLow)","sdate:#1 edate:#2",,INDEX(MO_SNA_FPStartDate,0,COLUMN()),INDEX(MO_Common_QEndDate,0,COLUMN())),"N/A")</f>
        <v>N/A</v>
      </c>
      <c r="AR701" s="336" t="str">
        <f ca="1">IFERROR(_xll.TR(MO.Ticker.Thomson,"Min(TR.PriceLow)","sdate:#1 edate:#2",,INDEX(MO_SNA_FPStartDate,0,COLUMN()),INDEX(MO_Common_QEndDate,0,COLUMN())),"N/A")</f>
        <v>N/A</v>
      </c>
      <c r="AS701" s="336" t="str">
        <f ca="1">IFERROR(_xll.TR(MO.Ticker.Thomson,"Min(TR.PriceLow)","sdate:#1 edate:#2",,INDEX(MO_SNA_FPStartDate,0,COLUMN()),INDEX(MO_Common_QEndDate,0,COLUMN())),"N/A")</f>
        <v>N/A</v>
      </c>
      <c r="AT701" s="336" t="str">
        <f ca="1">IFERROR(_xll.TR(MO.Ticker.Thomson,"Min(TR.PriceLow)","sdate:#1 edate:#2",,INDEX(MO_SNA_FPStartDate,0,COLUMN()),INDEX(MO_Common_QEndDate,0,COLUMN())),"N/A")</f>
        <v>N/A</v>
      </c>
      <c r="AU701" s="336" t="str">
        <f ca="1">IFERROR(_xll.TR(MO.Ticker.Thomson,"Min(TR.PriceLow)","sdate:#1 edate:#2",,INDEX(MO_SNA_FPStartDate,0,COLUMN()),INDEX(MO_Common_QEndDate,0,COLUMN())),"N/A")</f>
        <v>N/A</v>
      </c>
      <c r="AV701" s="336" t="str">
        <f ca="1">IFERROR(_xll.TR(MO.Ticker.Thomson,"Min(TR.PriceLow)","sdate:#1 edate:#2",,INDEX(MO_SNA_FPStartDate,0,COLUMN()),INDEX(MO_Common_QEndDate,0,COLUMN())),"N/A")</f>
        <v>N/A</v>
      </c>
      <c r="AW701" s="337" t="str">
        <f ca="1">IFERROR(_xll.TR(MO.Ticker.Thomson,"Min(TR.PriceLow)","sdate:#1 edate:#2",,INDEX(MO_SNA_FPStartDate,0,COLUMN()),INDEX(MO_Common_QEndDate,0,COLUMN())),"N/A")</f>
        <v>N/A</v>
      </c>
      <c r="AX701" s="515"/>
    </row>
    <row r="702" spans="1:50" s="3" customFormat="1" hidden="1" outlineLevel="1" x14ac:dyDescent="0.45">
      <c r="A702" s="291"/>
      <c r="B702" s="797"/>
      <c r="C702" s="474"/>
      <c r="D702" s="474"/>
      <c r="E702" s="796"/>
      <c r="F702" s="796"/>
      <c r="G702" s="796"/>
      <c r="H702" s="796"/>
      <c r="I702" s="796"/>
      <c r="J702" s="796"/>
      <c r="K702" s="796"/>
      <c r="L702" s="796"/>
      <c r="M702" s="796"/>
      <c r="N702" s="796"/>
      <c r="O702" s="796"/>
      <c r="P702" s="796"/>
      <c r="Q702" s="796"/>
      <c r="R702" s="796"/>
      <c r="S702" s="796"/>
      <c r="T702" s="796"/>
      <c r="U702" s="796"/>
      <c r="V702" s="796"/>
      <c r="W702" s="796"/>
      <c r="X702" s="796"/>
      <c r="Y702" s="796"/>
      <c r="Z702" s="796"/>
      <c r="AA702" s="796"/>
      <c r="AB702" s="796"/>
      <c r="AC702" s="796"/>
      <c r="AD702" s="796"/>
      <c r="AE702" s="796"/>
      <c r="AF702" s="796"/>
      <c r="AG702" s="796"/>
      <c r="AH702" s="796"/>
      <c r="AI702" s="796"/>
      <c r="AJ702" s="796"/>
      <c r="AK702" s="796"/>
      <c r="AL702" s="796"/>
      <c r="AM702" s="803"/>
      <c r="AN702" s="797"/>
      <c r="AO702" s="797"/>
      <c r="AP702" s="797"/>
      <c r="AQ702" s="797"/>
      <c r="AR702" s="797"/>
      <c r="AS702" s="797"/>
      <c r="AT702" s="797"/>
      <c r="AU702" s="797"/>
      <c r="AV702" s="797"/>
      <c r="AW702" s="289"/>
      <c r="AX702" s="512"/>
    </row>
    <row r="703" spans="1:50" s="338" customFormat="1" collapsed="1" x14ac:dyDescent="0.45">
      <c r="A703" s="335" t="str">
        <f ca="1">"Stock Average: "&amp;IF(OR(MO.RealTimeStockPriceToggle=FALSE,VLOOKUP(MO.DataSourceName,MO_SPT_StockAverage_Sources,COLUMN()+2,FALSE)="N/A"),"Real-Time Off Source",MO.DataSourceName)</f>
        <v>Stock Average: Real-Time Off Source</v>
      </c>
      <c r="B703" s="336"/>
      <c r="C703" s="557">
        <f t="shared" ref="C703:AW703" ca="1" si="757">IF(OR(MO.RealTimeStockPriceToggle=FALSE,VLOOKUP(MO.DataSourceName,MO_SPT_StockAverage_Sources,COLUMN(),FALSE)="N/A"),VLOOKUP("Real-Time Off Source",MO_SPT_StockAverage_Sources,COLUMN(),FALSE),VLOOKUP(MO.DataSourceName,MO_SPT_StockAverage_Sources,COLUMN(),FALSE))</f>
        <v>28.998125000000002</v>
      </c>
      <c r="D703" s="557">
        <f t="shared" ca="1" si="757"/>
        <v>32.883749999999999</v>
      </c>
      <c r="E703" s="393">
        <f t="shared" ca="1" si="757"/>
        <v>41.912500000000001</v>
      </c>
      <c r="F703" s="393">
        <f t="shared" ca="1" si="757"/>
        <v>23.0825</v>
      </c>
      <c r="G703" s="393">
        <f t="shared" ca="1" si="757"/>
        <v>18.239999999999998</v>
      </c>
      <c r="H703" s="393">
        <f t="shared" ca="1" si="757"/>
        <v>21.105</v>
      </c>
      <c r="I703" s="393">
        <f t="shared" ca="1" si="757"/>
        <v>22.22</v>
      </c>
      <c r="J703" s="393">
        <f t="shared" ca="1" si="757"/>
        <v>18.675000000000001</v>
      </c>
      <c r="K703" s="393">
        <f t="shared" ca="1" si="757"/>
        <v>20.059999999999999</v>
      </c>
      <c r="L703" s="393">
        <f t="shared" ca="1" si="757"/>
        <v>16.495000000000001</v>
      </c>
      <c r="M703" s="393">
        <f t="shared" ca="1" si="757"/>
        <v>15.16</v>
      </c>
      <c r="N703" s="393">
        <f t="shared" ca="1" si="757"/>
        <v>14.5</v>
      </c>
      <c r="O703" s="393">
        <f t="shared" ca="1" si="757"/>
        <v>17.03</v>
      </c>
      <c r="P703" s="393">
        <f t="shared" ca="1" si="757"/>
        <v>15.796250000000001</v>
      </c>
      <c r="Q703" s="393">
        <f t="shared" ca="1" si="757"/>
        <v>16.64</v>
      </c>
      <c r="R703" s="393">
        <f t="shared" ca="1" si="757"/>
        <v>14.535</v>
      </c>
      <c r="S703" s="393">
        <f t="shared" ca="1" si="757"/>
        <v>14.425000000000001</v>
      </c>
      <c r="T703" s="393">
        <f t="shared" ca="1" si="757"/>
        <v>15.005000000000001</v>
      </c>
      <c r="U703" s="393">
        <f t="shared" ca="1" si="757"/>
        <v>15.151249999999999</v>
      </c>
      <c r="V703" s="393">
        <f t="shared" ca="1" si="757"/>
        <v>13.205</v>
      </c>
      <c r="W703" s="393">
        <f t="shared" ca="1" si="757"/>
        <v>12.085000000000001</v>
      </c>
      <c r="X703" s="393">
        <f t="shared" ca="1" si="757"/>
        <v>12.395</v>
      </c>
      <c r="Y703" s="393">
        <f t="shared" ca="1" si="757"/>
        <v>14.484999999999999</v>
      </c>
      <c r="Z703" s="393">
        <f t="shared" ca="1" si="757"/>
        <v>13.0425</v>
      </c>
      <c r="AA703" s="393">
        <f t="shared" ca="1" si="757"/>
        <v>15.5</v>
      </c>
      <c r="AB703" s="393">
        <f t="shared" ca="1" si="757"/>
        <v>16.18</v>
      </c>
      <c r="AC703" s="393">
        <f t="shared" ca="1" si="757"/>
        <v>14.4</v>
      </c>
      <c r="AD703" s="393">
        <f t="shared" ca="1" si="757"/>
        <v>13.295</v>
      </c>
      <c r="AE703" s="393">
        <f t="shared" ca="1" si="757"/>
        <v>14.84375</v>
      </c>
      <c r="AF703" s="393">
        <f t="shared" ca="1" si="757"/>
        <v>15.805468749999999</v>
      </c>
      <c r="AG703" s="393">
        <f t="shared" ca="1" si="757"/>
        <v>21.200952380952401</v>
      </c>
      <c r="AH703" s="393">
        <f t="shared" ca="1" si="757"/>
        <v>17.155396825396799</v>
      </c>
      <c r="AI703" s="393">
        <f t="shared" ca="1" si="757"/>
        <v>17.3393442622951</v>
      </c>
      <c r="AJ703" s="393">
        <f t="shared" ca="1" si="757"/>
        <v>17.8713147410358</v>
      </c>
      <c r="AK703" s="393">
        <f t="shared" ca="1" si="757"/>
        <v>18.674761904761901</v>
      </c>
      <c r="AL703" s="393">
        <f t="shared" ca="1" si="757"/>
        <v>16.632578124999998</v>
      </c>
      <c r="AM703" s="609">
        <f t="shared" ca="1" si="757"/>
        <v>16.522421874999999</v>
      </c>
      <c r="AN703" s="336">
        <f t="shared" ca="1" si="757"/>
        <v>0</v>
      </c>
      <c r="AO703" s="336">
        <f t="shared" ca="1" si="757"/>
        <v>0</v>
      </c>
      <c r="AP703" s="336">
        <f t="shared" ca="1" si="757"/>
        <v>0</v>
      </c>
      <c r="AQ703" s="336">
        <f t="shared" ca="1" si="757"/>
        <v>0</v>
      </c>
      <c r="AR703" s="336">
        <f t="shared" ca="1" si="757"/>
        <v>0</v>
      </c>
      <c r="AS703" s="336">
        <f t="shared" ca="1" si="757"/>
        <v>0</v>
      </c>
      <c r="AT703" s="336">
        <f t="shared" ca="1" si="757"/>
        <v>0</v>
      </c>
      <c r="AU703" s="336">
        <f t="shared" ca="1" si="757"/>
        <v>0</v>
      </c>
      <c r="AV703" s="336">
        <f t="shared" ca="1" si="757"/>
        <v>0</v>
      </c>
      <c r="AW703" s="337">
        <f t="shared" ca="1" si="757"/>
        <v>0</v>
      </c>
      <c r="AX703" s="515"/>
    </row>
    <row r="704" spans="1:50" s="338" customFormat="1" hidden="1" outlineLevel="1" x14ac:dyDescent="0.45">
      <c r="A704" s="339" t="s">
        <v>237</v>
      </c>
      <c r="B704" s="336"/>
      <c r="C704" s="557">
        <v>28.998125000000002</v>
      </c>
      <c r="D704" s="557">
        <v>32.883749999999999</v>
      </c>
      <c r="E704" s="393">
        <v>41.912500000000001</v>
      </c>
      <c r="F704" s="393">
        <v>23.0825</v>
      </c>
      <c r="G704" s="393">
        <v>18.239999999999998</v>
      </c>
      <c r="H704" s="393">
        <v>21.105</v>
      </c>
      <c r="I704" s="393">
        <v>22.22</v>
      </c>
      <c r="J704" s="393">
        <v>18.675000000000001</v>
      </c>
      <c r="K704" s="393">
        <v>20.059999999999999</v>
      </c>
      <c r="L704" s="393">
        <v>16.495000000000001</v>
      </c>
      <c r="M704" s="393">
        <v>15.16</v>
      </c>
      <c r="N704" s="393">
        <v>14.5</v>
      </c>
      <c r="O704" s="393">
        <v>17.03</v>
      </c>
      <c r="P704" s="393">
        <v>15.796250000000001</v>
      </c>
      <c r="Q704" s="393">
        <v>16.64</v>
      </c>
      <c r="R704" s="393">
        <v>14.535</v>
      </c>
      <c r="S704" s="393">
        <v>14.425000000000001</v>
      </c>
      <c r="T704" s="393">
        <v>15.005000000000001</v>
      </c>
      <c r="U704" s="393">
        <v>15.151249999999999</v>
      </c>
      <c r="V704" s="393">
        <v>13.205</v>
      </c>
      <c r="W704" s="393">
        <v>12.085000000000001</v>
      </c>
      <c r="X704" s="393">
        <v>12.395</v>
      </c>
      <c r="Y704" s="393">
        <v>14.484999999999999</v>
      </c>
      <c r="Z704" s="393">
        <v>13.0425</v>
      </c>
      <c r="AA704" s="393">
        <v>15.5</v>
      </c>
      <c r="AB704" s="393">
        <v>16.18</v>
      </c>
      <c r="AC704" s="393">
        <v>14.4</v>
      </c>
      <c r="AD704" s="393">
        <v>13.295</v>
      </c>
      <c r="AE704" s="393">
        <v>14.84375</v>
      </c>
      <c r="AF704" s="393">
        <v>15.805468749999999</v>
      </c>
      <c r="AG704" s="393">
        <v>21.200952380952401</v>
      </c>
      <c r="AH704" s="393">
        <v>17.155396825396799</v>
      </c>
      <c r="AI704" s="393">
        <v>17.3393442622951</v>
      </c>
      <c r="AJ704" s="393">
        <v>17.8713147410358</v>
      </c>
      <c r="AK704" s="393">
        <v>18.674761904761901</v>
      </c>
      <c r="AL704" s="393">
        <v>16.632578124999998</v>
      </c>
      <c r="AM704" s="609">
        <v>16.522421874999999</v>
      </c>
      <c r="AN704" s="336"/>
      <c r="AO704" s="336"/>
      <c r="AP704" s="336"/>
      <c r="AQ704" s="336"/>
      <c r="AR704" s="336"/>
      <c r="AS704" s="336"/>
      <c r="AT704" s="336"/>
      <c r="AU704" s="336"/>
      <c r="AV704" s="336"/>
      <c r="AW704" s="337"/>
      <c r="AX704" s="515"/>
    </row>
    <row r="705" spans="1:50" s="338" customFormat="1" hidden="1" outlineLevel="1" x14ac:dyDescent="0.45">
      <c r="A705" s="339" t="s">
        <v>7</v>
      </c>
      <c r="B705" s="336"/>
      <c r="C705" s="557" t="str">
        <f ca="1">IFERROR(BDP(MO.Ticker.Bloomberg&amp;" Equity","INTERVAL_AVG","MARKET_DATA_OVERRIDE=PX_LAST","START_DATE_OVERRIDE",TEXT(INDEX(MO_SNA_FPStartDate,0,COLUMN()),"YYYYMMDD"),"END_DATE_OVERRIDE",TEXT(INDEX(MO_Common_QEndDate,0,COLUMN()),"YYYYMMDD")),"N/A")</f>
        <v>N/A</v>
      </c>
      <c r="D705" s="557" t="str">
        <f ca="1">IFERROR(BDP(MO.Ticker.Bloomberg&amp;" Equity","INTERVAL_AVG","MARKET_DATA_OVERRIDE=PX_LAST","START_DATE_OVERRIDE",TEXT(INDEX(MO_SNA_FPStartDate,0,COLUMN()),"YYYYMMDD"),"END_DATE_OVERRIDE",TEXT(INDEX(MO_Common_QEndDate,0,COLUMN()),"YYYYMMDD")),"N/A")</f>
        <v>N/A</v>
      </c>
      <c r="E705" s="393" t="str">
        <f ca="1">IFERROR(BDP(MO.Ticker.Bloomberg&amp;" Equity","INTERVAL_AVG","MARKET_DATA_OVERRIDE=PX_LAST","START_DATE_OVERRIDE",TEXT(INDEX(MO_SNA_FPStartDate,0,COLUMN()),"YYYYMMDD"),"END_DATE_OVERRIDE",TEXT(INDEX(MO_Common_QEndDate,0,COLUMN()),"YYYYMMDD")),"N/A")</f>
        <v>N/A</v>
      </c>
      <c r="F705" s="393" t="str">
        <f ca="1">IFERROR(BDP(MO.Ticker.Bloomberg&amp;" Equity","INTERVAL_AVG","MARKET_DATA_OVERRIDE=PX_LAST","START_DATE_OVERRIDE",TEXT(INDEX(MO_SNA_FPStartDate,0,COLUMN()),"YYYYMMDD"),"END_DATE_OVERRIDE",TEXT(INDEX(MO_Common_QEndDate,0,COLUMN()),"YYYYMMDD")),"N/A")</f>
        <v>N/A</v>
      </c>
      <c r="G705" s="393" t="str">
        <f ca="1">IFERROR(BDP(MO.Ticker.Bloomberg&amp;" Equity","INTERVAL_AVG","MARKET_DATA_OVERRIDE=PX_LAST","START_DATE_OVERRIDE",TEXT(INDEX(MO_SNA_FPStartDate,0,COLUMN()),"YYYYMMDD"),"END_DATE_OVERRIDE",TEXT(INDEX(MO_Common_QEndDate,0,COLUMN()),"YYYYMMDD")),"N/A")</f>
        <v>N/A</v>
      </c>
      <c r="H705" s="393" t="str">
        <f ca="1">IFERROR(BDP(MO.Ticker.Bloomberg&amp;" Equity","INTERVAL_AVG","MARKET_DATA_OVERRIDE=PX_LAST","START_DATE_OVERRIDE",TEXT(INDEX(MO_SNA_FPStartDate,0,COLUMN()),"YYYYMMDD"),"END_DATE_OVERRIDE",TEXT(INDEX(MO_Common_QEndDate,0,COLUMN()),"YYYYMMDD")),"N/A")</f>
        <v>N/A</v>
      </c>
      <c r="I705" s="393" t="str">
        <f ca="1">IFERROR(BDP(MO.Ticker.Bloomberg&amp;" Equity","INTERVAL_AVG","MARKET_DATA_OVERRIDE=PX_LAST","START_DATE_OVERRIDE",TEXT(INDEX(MO_SNA_FPStartDate,0,COLUMN()),"YYYYMMDD"),"END_DATE_OVERRIDE",TEXT(INDEX(MO_Common_QEndDate,0,COLUMN()),"YYYYMMDD")),"N/A")</f>
        <v>N/A</v>
      </c>
      <c r="J705" s="393" t="str">
        <f ca="1">IFERROR(BDP(MO.Ticker.Bloomberg&amp;" Equity","INTERVAL_AVG","MARKET_DATA_OVERRIDE=PX_LAST","START_DATE_OVERRIDE",TEXT(INDEX(MO_SNA_FPStartDate,0,COLUMN()),"YYYYMMDD"),"END_DATE_OVERRIDE",TEXT(INDEX(MO_Common_QEndDate,0,COLUMN()),"YYYYMMDD")),"N/A")</f>
        <v>N/A</v>
      </c>
      <c r="K705" s="393" t="str">
        <f ca="1">IFERROR(BDP(MO.Ticker.Bloomberg&amp;" Equity","INTERVAL_AVG","MARKET_DATA_OVERRIDE=PX_LAST","START_DATE_OVERRIDE",TEXT(INDEX(MO_SNA_FPStartDate,0,COLUMN()),"YYYYMMDD"),"END_DATE_OVERRIDE",TEXT(INDEX(MO_Common_QEndDate,0,COLUMN()),"YYYYMMDD")),"N/A")</f>
        <v>N/A</v>
      </c>
      <c r="L705" s="393" t="str">
        <f ca="1">IFERROR(BDP(MO.Ticker.Bloomberg&amp;" Equity","INTERVAL_AVG","MARKET_DATA_OVERRIDE=PX_LAST","START_DATE_OVERRIDE",TEXT(INDEX(MO_SNA_FPStartDate,0,COLUMN()),"YYYYMMDD"),"END_DATE_OVERRIDE",TEXT(INDEX(MO_Common_QEndDate,0,COLUMN()),"YYYYMMDD")),"N/A")</f>
        <v>N/A</v>
      </c>
      <c r="M705" s="393" t="str">
        <f ca="1">IFERROR(BDP(MO.Ticker.Bloomberg&amp;" Equity","INTERVAL_AVG","MARKET_DATA_OVERRIDE=PX_LAST","START_DATE_OVERRIDE",TEXT(INDEX(MO_SNA_FPStartDate,0,COLUMN()),"YYYYMMDD"),"END_DATE_OVERRIDE",TEXT(INDEX(MO_Common_QEndDate,0,COLUMN()),"YYYYMMDD")),"N/A")</f>
        <v>N/A</v>
      </c>
      <c r="N705" s="393" t="str">
        <f ca="1">IFERROR(BDP(MO.Ticker.Bloomberg&amp;" Equity","INTERVAL_AVG","MARKET_DATA_OVERRIDE=PX_LAST","START_DATE_OVERRIDE",TEXT(INDEX(MO_SNA_FPStartDate,0,COLUMN()),"YYYYMMDD"),"END_DATE_OVERRIDE",TEXT(INDEX(MO_Common_QEndDate,0,COLUMN()),"YYYYMMDD")),"N/A")</f>
        <v>N/A</v>
      </c>
      <c r="O705" s="393" t="str">
        <f ca="1">IFERROR(BDP(MO.Ticker.Bloomberg&amp;" Equity","INTERVAL_AVG","MARKET_DATA_OVERRIDE=PX_LAST","START_DATE_OVERRIDE",TEXT(INDEX(MO_SNA_FPStartDate,0,COLUMN()),"YYYYMMDD"),"END_DATE_OVERRIDE",TEXT(INDEX(MO_Common_QEndDate,0,COLUMN()),"YYYYMMDD")),"N/A")</f>
        <v>N/A</v>
      </c>
      <c r="P705" s="393" t="str">
        <f ca="1">IFERROR(BDP(MO.Ticker.Bloomberg&amp;" Equity","INTERVAL_AVG","MARKET_DATA_OVERRIDE=PX_LAST","START_DATE_OVERRIDE",TEXT(INDEX(MO_SNA_FPStartDate,0,COLUMN()),"YYYYMMDD"),"END_DATE_OVERRIDE",TEXT(INDEX(MO_Common_QEndDate,0,COLUMN()),"YYYYMMDD")),"N/A")</f>
        <v>N/A</v>
      </c>
      <c r="Q705" s="393" t="str">
        <f ca="1">IFERROR(BDP(MO.Ticker.Bloomberg&amp;" Equity","INTERVAL_AVG","MARKET_DATA_OVERRIDE=PX_LAST","START_DATE_OVERRIDE",TEXT(INDEX(MO_SNA_FPStartDate,0,COLUMN()),"YYYYMMDD"),"END_DATE_OVERRIDE",TEXT(INDEX(MO_Common_QEndDate,0,COLUMN()),"YYYYMMDD")),"N/A")</f>
        <v>N/A</v>
      </c>
      <c r="R705" s="393" t="str">
        <f ca="1">IFERROR(BDP(MO.Ticker.Bloomberg&amp;" Equity","INTERVAL_AVG","MARKET_DATA_OVERRIDE=PX_LAST","START_DATE_OVERRIDE",TEXT(INDEX(MO_SNA_FPStartDate,0,COLUMN()),"YYYYMMDD"),"END_DATE_OVERRIDE",TEXT(INDEX(MO_Common_QEndDate,0,COLUMN()),"YYYYMMDD")),"N/A")</f>
        <v>N/A</v>
      </c>
      <c r="S705" s="393" t="str">
        <f ca="1">IFERROR(BDP(MO.Ticker.Bloomberg&amp;" Equity","INTERVAL_AVG","MARKET_DATA_OVERRIDE=PX_LAST","START_DATE_OVERRIDE",TEXT(INDEX(MO_SNA_FPStartDate,0,COLUMN()),"YYYYMMDD"),"END_DATE_OVERRIDE",TEXT(INDEX(MO_Common_QEndDate,0,COLUMN()),"YYYYMMDD")),"N/A")</f>
        <v>N/A</v>
      </c>
      <c r="T705" s="393" t="str">
        <f ca="1">IFERROR(BDP(MO.Ticker.Bloomberg&amp;" Equity","INTERVAL_AVG","MARKET_DATA_OVERRIDE=PX_LAST","START_DATE_OVERRIDE",TEXT(INDEX(MO_SNA_FPStartDate,0,COLUMN()),"YYYYMMDD"),"END_DATE_OVERRIDE",TEXT(INDEX(MO_Common_QEndDate,0,COLUMN()),"YYYYMMDD")),"N/A")</f>
        <v>N/A</v>
      </c>
      <c r="U705" s="393" t="str">
        <f ca="1">IFERROR(BDP(MO.Ticker.Bloomberg&amp;" Equity","INTERVAL_AVG","MARKET_DATA_OVERRIDE=PX_LAST","START_DATE_OVERRIDE",TEXT(INDEX(MO_SNA_FPStartDate,0,COLUMN()),"YYYYMMDD"),"END_DATE_OVERRIDE",TEXT(INDEX(MO_Common_QEndDate,0,COLUMN()),"YYYYMMDD")),"N/A")</f>
        <v>N/A</v>
      </c>
      <c r="V705" s="393" t="str">
        <f ca="1">IFERROR(BDP(MO.Ticker.Bloomberg&amp;" Equity","INTERVAL_AVG","MARKET_DATA_OVERRIDE=PX_LAST","START_DATE_OVERRIDE",TEXT(INDEX(MO_SNA_FPStartDate,0,COLUMN()),"YYYYMMDD"),"END_DATE_OVERRIDE",TEXT(INDEX(MO_Common_QEndDate,0,COLUMN()),"YYYYMMDD")),"N/A")</f>
        <v>N/A</v>
      </c>
      <c r="W705" s="393" t="str">
        <f ca="1">IFERROR(BDP(MO.Ticker.Bloomberg&amp;" Equity","INTERVAL_AVG","MARKET_DATA_OVERRIDE=PX_LAST","START_DATE_OVERRIDE",TEXT(INDEX(MO_SNA_FPStartDate,0,COLUMN()),"YYYYMMDD"),"END_DATE_OVERRIDE",TEXT(INDEX(MO_Common_QEndDate,0,COLUMN()),"YYYYMMDD")),"N/A")</f>
        <v>N/A</v>
      </c>
      <c r="X705" s="393" t="str">
        <f ca="1">IFERROR(BDP(MO.Ticker.Bloomberg&amp;" Equity","INTERVAL_AVG","MARKET_DATA_OVERRIDE=PX_LAST","START_DATE_OVERRIDE",TEXT(INDEX(MO_SNA_FPStartDate,0,COLUMN()),"YYYYMMDD"),"END_DATE_OVERRIDE",TEXT(INDEX(MO_Common_QEndDate,0,COLUMN()),"YYYYMMDD")),"N/A")</f>
        <v>N/A</v>
      </c>
      <c r="Y705" s="393" t="str">
        <f ca="1">IFERROR(BDP(MO.Ticker.Bloomberg&amp;" Equity","INTERVAL_AVG","MARKET_DATA_OVERRIDE=PX_LAST","START_DATE_OVERRIDE",TEXT(INDEX(MO_SNA_FPStartDate,0,COLUMN()),"YYYYMMDD"),"END_DATE_OVERRIDE",TEXT(INDEX(MO_Common_QEndDate,0,COLUMN()),"YYYYMMDD")),"N/A")</f>
        <v>N/A</v>
      </c>
      <c r="Z705" s="393" t="str">
        <f ca="1">IFERROR(BDP(MO.Ticker.Bloomberg&amp;" Equity","INTERVAL_AVG","MARKET_DATA_OVERRIDE=PX_LAST","START_DATE_OVERRIDE",TEXT(INDEX(MO_SNA_FPStartDate,0,COLUMN()),"YYYYMMDD"),"END_DATE_OVERRIDE",TEXT(INDEX(MO_Common_QEndDate,0,COLUMN()),"YYYYMMDD")),"N/A")</f>
        <v>N/A</v>
      </c>
      <c r="AA705" s="393" t="str">
        <f ca="1">IFERROR(BDP(MO.Ticker.Bloomberg&amp;" Equity","INTERVAL_AVG","MARKET_DATA_OVERRIDE=PX_LAST","START_DATE_OVERRIDE",TEXT(INDEX(MO_SNA_FPStartDate,0,COLUMN()),"YYYYMMDD"),"END_DATE_OVERRIDE",TEXT(INDEX(MO_Common_QEndDate,0,COLUMN()),"YYYYMMDD")),"N/A")</f>
        <v>N/A</v>
      </c>
      <c r="AB705" s="393" t="str">
        <f ca="1">IFERROR(BDP(MO.Ticker.Bloomberg&amp;" Equity","INTERVAL_AVG","MARKET_DATA_OVERRIDE=PX_LAST","START_DATE_OVERRIDE",TEXT(INDEX(MO_SNA_FPStartDate,0,COLUMN()),"YYYYMMDD"),"END_DATE_OVERRIDE",TEXT(INDEX(MO_Common_QEndDate,0,COLUMN()),"YYYYMMDD")),"N/A")</f>
        <v>N/A</v>
      </c>
      <c r="AC705" s="393" t="str">
        <f ca="1">IFERROR(BDP(MO.Ticker.Bloomberg&amp;" Equity","INTERVAL_AVG","MARKET_DATA_OVERRIDE=PX_LAST","START_DATE_OVERRIDE",TEXT(INDEX(MO_SNA_FPStartDate,0,COLUMN()),"YYYYMMDD"),"END_DATE_OVERRIDE",TEXT(INDEX(MO_Common_QEndDate,0,COLUMN()),"YYYYMMDD")),"N/A")</f>
        <v>N/A</v>
      </c>
      <c r="AD705" s="393" t="str">
        <f ca="1">IFERROR(BDP(MO.Ticker.Bloomberg&amp;" Equity","INTERVAL_AVG","MARKET_DATA_OVERRIDE=PX_LAST","START_DATE_OVERRIDE",TEXT(INDEX(MO_SNA_FPStartDate,0,COLUMN()),"YYYYMMDD"),"END_DATE_OVERRIDE",TEXT(INDEX(MO_Common_QEndDate,0,COLUMN()),"YYYYMMDD")),"N/A")</f>
        <v>N/A</v>
      </c>
      <c r="AE705" s="393" t="str">
        <f ca="1">IFERROR(BDP(MO.Ticker.Bloomberg&amp;" Equity","INTERVAL_AVG","MARKET_DATA_OVERRIDE=PX_LAST","START_DATE_OVERRIDE",TEXT(INDEX(MO_SNA_FPStartDate,0,COLUMN()),"YYYYMMDD"),"END_DATE_OVERRIDE",TEXT(INDEX(MO_Common_QEndDate,0,COLUMN()),"YYYYMMDD")),"N/A")</f>
        <v>N/A</v>
      </c>
      <c r="AF705" s="393" t="str">
        <f ca="1">IFERROR(BDP(MO.Ticker.Bloomberg&amp;" Equity","INTERVAL_AVG","MARKET_DATA_OVERRIDE=PX_LAST","START_DATE_OVERRIDE",TEXT(INDEX(MO_SNA_FPStartDate,0,COLUMN()),"YYYYMMDD"),"END_DATE_OVERRIDE",TEXT(INDEX(MO_Common_QEndDate,0,COLUMN()),"YYYYMMDD")),"N/A")</f>
        <v>N/A</v>
      </c>
      <c r="AG705" s="393" t="str">
        <f ca="1">IFERROR(BDP(MO.Ticker.Bloomberg&amp;" Equity","INTERVAL_AVG","MARKET_DATA_OVERRIDE=PX_LAST","START_DATE_OVERRIDE",TEXT(INDEX(MO_SNA_FPStartDate,0,COLUMN()),"YYYYMMDD"),"END_DATE_OVERRIDE",TEXT(INDEX(MO_Common_QEndDate,0,COLUMN()),"YYYYMMDD")),"N/A")</f>
        <v>N/A</v>
      </c>
      <c r="AH705" s="393" t="str">
        <f ca="1">IFERROR(BDP(MO.Ticker.Bloomberg&amp;" Equity","INTERVAL_AVG","MARKET_DATA_OVERRIDE=PX_LAST","START_DATE_OVERRIDE",TEXT(INDEX(MO_SNA_FPStartDate,0,COLUMN()),"YYYYMMDD"),"END_DATE_OVERRIDE",TEXT(INDEX(MO_Common_QEndDate,0,COLUMN()),"YYYYMMDD")),"N/A")</f>
        <v>N/A</v>
      </c>
      <c r="AI705" s="393" t="str">
        <f ca="1">IFERROR(BDP(MO.Ticker.Bloomberg&amp;" Equity","INTERVAL_AVG","MARKET_DATA_OVERRIDE=PX_LAST","START_DATE_OVERRIDE",TEXT(INDEX(MO_SNA_FPStartDate,0,COLUMN()),"YYYYMMDD"),"END_DATE_OVERRIDE",TEXT(INDEX(MO_Common_QEndDate,0,COLUMN()),"YYYYMMDD")),"N/A")</f>
        <v>N/A</v>
      </c>
      <c r="AJ705" s="393" t="str">
        <f ca="1">IFERROR(BDP(MO.Ticker.Bloomberg&amp;" Equity","INTERVAL_AVG","MARKET_DATA_OVERRIDE=PX_LAST","START_DATE_OVERRIDE",TEXT(INDEX(MO_SNA_FPStartDate,0,COLUMN()),"YYYYMMDD"),"END_DATE_OVERRIDE",TEXT(INDEX(MO_Common_QEndDate,0,COLUMN()),"YYYYMMDD")),"N/A")</f>
        <v>N/A</v>
      </c>
      <c r="AK705" s="393" t="str">
        <f ca="1">IFERROR(BDP(MO.Ticker.Bloomberg&amp;" Equity","INTERVAL_AVG","MARKET_DATA_OVERRIDE=PX_LAST","START_DATE_OVERRIDE",TEXT(INDEX(MO_SNA_FPStartDate,0,COLUMN()),"YYYYMMDD"),"END_DATE_OVERRIDE",TEXT(INDEX(MO_Common_QEndDate,0,COLUMN()),"YYYYMMDD")),"N/A")</f>
        <v>N/A</v>
      </c>
      <c r="AL705" s="393" t="str">
        <f ca="1">IFERROR(BDP(MO.Ticker.Bloomberg&amp;" Equity","INTERVAL_AVG","MARKET_DATA_OVERRIDE=PX_LAST","START_DATE_OVERRIDE",TEXT(INDEX(MO_SNA_FPStartDate,0,COLUMN()),"YYYYMMDD"),"END_DATE_OVERRIDE",TEXT(INDEX(MO_Common_QEndDate,0,COLUMN()),"YYYYMMDD")),"N/A")</f>
        <v>N/A</v>
      </c>
      <c r="AM705" s="609" t="str">
        <f ca="1">IFERROR(BDP(MO.Ticker.Bloomberg&amp;" Equity","INTERVAL_AVG","MARKET_DATA_OVERRIDE=PX_LAST","START_DATE_OVERRIDE",TEXT(INDEX(MO_SNA_FPStartDate,0,COLUMN()),"YYYYMMDD"),"END_DATE_OVERRIDE",TEXT(INDEX(MO_Common_QEndDate,0,COLUMN()),"YYYYMMDD")),"N/A")</f>
        <v>N/A</v>
      </c>
      <c r="AN705" s="336" t="str">
        <f ca="1">IFERROR(BDP(MO.Ticker.Bloomberg&amp;" Equity","INTERVAL_AVG","MARKET_DATA_OVERRIDE=PX_LAST","START_DATE_OVERRIDE",TEXT(INDEX(MO_SNA_FPStartDate,0,COLUMN()),"YYYYMMDD"),"END_DATE_OVERRIDE",TEXT(INDEX(MO_Common_QEndDate,0,COLUMN()),"YYYYMMDD")),"N/A")</f>
        <v>N/A</v>
      </c>
      <c r="AO705" s="336" t="str">
        <f ca="1">IFERROR(BDP(MO.Ticker.Bloomberg&amp;" Equity","INTERVAL_AVG","MARKET_DATA_OVERRIDE=PX_LAST","START_DATE_OVERRIDE",TEXT(INDEX(MO_SNA_FPStartDate,0,COLUMN()),"YYYYMMDD"),"END_DATE_OVERRIDE",TEXT(INDEX(MO_Common_QEndDate,0,COLUMN()),"YYYYMMDD")),"N/A")</f>
        <v>N/A</v>
      </c>
      <c r="AP705" s="336" t="str">
        <f ca="1">IFERROR(BDP(MO.Ticker.Bloomberg&amp;" Equity","INTERVAL_AVG","MARKET_DATA_OVERRIDE=PX_LAST","START_DATE_OVERRIDE",TEXT(INDEX(MO_SNA_FPStartDate,0,COLUMN()),"YYYYMMDD"),"END_DATE_OVERRIDE",TEXT(INDEX(MO_Common_QEndDate,0,COLUMN()),"YYYYMMDD")),"N/A")</f>
        <v>N/A</v>
      </c>
      <c r="AQ705" s="336" t="str">
        <f ca="1">IFERROR(BDP(MO.Ticker.Bloomberg&amp;" Equity","INTERVAL_AVG","MARKET_DATA_OVERRIDE=PX_LAST","START_DATE_OVERRIDE",TEXT(INDEX(MO_SNA_FPStartDate,0,COLUMN()),"YYYYMMDD"),"END_DATE_OVERRIDE",TEXT(INDEX(MO_Common_QEndDate,0,COLUMN()),"YYYYMMDD")),"N/A")</f>
        <v>N/A</v>
      </c>
      <c r="AR705" s="336" t="str">
        <f ca="1">IFERROR(BDP(MO.Ticker.Bloomberg&amp;" Equity","INTERVAL_AVG","MARKET_DATA_OVERRIDE=PX_LAST","START_DATE_OVERRIDE",TEXT(INDEX(MO_SNA_FPStartDate,0,COLUMN()),"YYYYMMDD"),"END_DATE_OVERRIDE",TEXT(INDEX(MO_Common_QEndDate,0,COLUMN()),"YYYYMMDD")),"N/A")</f>
        <v>N/A</v>
      </c>
      <c r="AS705" s="336" t="str">
        <f ca="1">IFERROR(BDP(MO.Ticker.Bloomberg&amp;" Equity","INTERVAL_AVG","MARKET_DATA_OVERRIDE=PX_LAST","START_DATE_OVERRIDE",TEXT(INDEX(MO_SNA_FPStartDate,0,COLUMN()),"YYYYMMDD"),"END_DATE_OVERRIDE",TEXT(INDEX(MO_Common_QEndDate,0,COLUMN()),"YYYYMMDD")),"N/A")</f>
        <v>N/A</v>
      </c>
      <c r="AT705" s="336" t="str">
        <f ca="1">IFERROR(BDP(MO.Ticker.Bloomberg&amp;" Equity","INTERVAL_AVG","MARKET_DATA_OVERRIDE=PX_LAST","START_DATE_OVERRIDE",TEXT(INDEX(MO_SNA_FPStartDate,0,COLUMN()),"YYYYMMDD"),"END_DATE_OVERRIDE",TEXT(INDEX(MO_Common_QEndDate,0,COLUMN()),"YYYYMMDD")),"N/A")</f>
        <v>N/A</v>
      </c>
      <c r="AU705" s="336" t="str">
        <f ca="1">IFERROR(BDP(MO.Ticker.Bloomberg&amp;" Equity","INTERVAL_AVG","MARKET_DATA_OVERRIDE=PX_LAST","START_DATE_OVERRIDE",TEXT(INDEX(MO_SNA_FPStartDate,0,COLUMN()),"YYYYMMDD"),"END_DATE_OVERRIDE",TEXT(INDEX(MO_Common_QEndDate,0,COLUMN()),"YYYYMMDD")),"N/A")</f>
        <v>N/A</v>
      </c>
      <c r="AV705" s="336" t="str">
        <f ca="1">IFERROR(BDP(MO.Ticker.Bloomberg&amp;" Equity","INTERVAL_AVG","MARKET_DATA_OVERRIDE=PX_LAST","START_DATE_OVERRIDE",TEXT(INDEX(MO_SNA_FPStartDate,0,COLUMN()),"YYYYMMDD"),"END_DATE_OVERRIDE",TEXT(INDEX(MO_Common_QEndDate,0,COLUMN()),"YYYYMMDD")),"N/A")</f>
        <v>N/A</v>
      </c>
      <c r="AW705" s="337" t="str">
        <f ca="1">IFERROR(BDP(MO.Ticker.Bloomberg&amp;" Equity","INTERVAL_AVG","MARKET_DATA_OVERRIDE=PX_LAST","START_DATE_OVERRIDE",TEXT(INDEX(MO_SNA_FPStartDate,0,COLUMN()),"YYYYMMDD"),"END_DATE_OVERRIDE",TEXT(INDEX(MO_Common_QEndDate,0,COLUMN()),"YYYYMMDD")),"N/A")</f>
        <v>N/A</v>
      </c>
      <c r="AX705" s="515"/>
    </row>
    <row r="706" spans="1:50" s="338" customFormat="1" hidden="1" outlineLevel="1" x14ac:dyDescent="0.45">
      <c r="A706" s="339" t="s">
        <v>238</v>
      </c>
      <c r="B706" s="336"/>
      <c r="C706" s="557" t="str">
        <f ca="1">IFERROR(CIQHI(MO.Ticker.CapIQ,"IQ_LASTSALEPRICE",INDEX(MO_SNA_FPStartDate,0,COLUMN()),INDEX(MO_Common_QEndDate,0,COLUMN())),"N/A")</f>
        <v>N/A</v>
      </c>
      <c r="D706" s="557" t="str">
        <f ca="1">IFERROR(CIQHI(MO.Ticker.CapIQ,"IQ_LASTSALEPRICE",INDEX(MO_SNA_FPStartDate,0,COLUMN()),INDEX(MO_Common_QEndDate,0,COLUMN())),"N/A")</f>
        <v>N/A</v>
      </c>
      <c r="E706" s="393" t="str">
        <f ca="1">IFERROR(CIQHI(MO.Ticker.CapIQ,"IQ_LASTSALEPRICE",INDEX(MO_SNA_FPStartDate,0,COLUMN()),INDEX(MO_Common_QEndDate,0,COLUMN())),"N/A")</f>
        <v>N/A</v>
      </c>
      <c r="F706" s="393" t="str">
        <f ca="1">IFERROR(CIQHI(MO.Ticker.CapIQ,"IQ_LASTSALEPRICE",INDEX(MO_SNA_FPStartDate,0,COLUMN()),INDEX(MO_Common_QEndDate,0,COLUMN())),"N/A")</f>
        <v>N/A</v>
      </c>
      <c r="G706" s="393" t="str">
        <f ca="1">IFERROR(CIQHI(MO.Ticker.CapIQ,"IQ_LASTSALEPRICE",INDEX(MO_SNA_FPStartDate,0,COLUMN()),INDEX(MO_Common_QEndDate,0,COLUMN())),"N/A")</f>
        <v>N/A</v>
      </c>
      <c r="H706" s="393" t="str">
        <f ca="1">IFERROR(CIQHI(MO.Ticker.CapIQ,"IQ_LASTSALEPRICE",INDEX(MO_SNA_FPStartDate,0,COLUMN()),INDEX(MO_Common_QEndDate,0,COLUMN())),"N/A")</f>
        <v>N/A</v>
      </c>
      <c r="I706" s="393" t="str">
        <f ca="1">IFERROR(CIQHI(MO.Ticker.CapIQ,"IQ_LASTSALEPRICE",INDEX(MO_SNA_FPStartDate,0,COLUMN()),INDEX(MO_Common_QEndDate,0,COLUMN())),"N/A")</f>
        <v>N/A</v>
      </c>
      <c r="J706" s="393" t="str">
        <f ca="1">IFERROR(CIQHI(MO.Ticker.CapIQ,"IQ_LASTSALEPRICE",INDEX(MO_SNA_FPStartDate,0,COLUMN()),INDEX(MO_Common_QEndDate,0,COLUMN())),"N/A")</f>
        <v>N/A</v>
      </c>
      <c r="K706" s="393" t="str">
        <f ca="1">IFERROR(CIQHI(MO.Ticker.CapIQ,"IQ_LASTSALEPRICE",INDEX(MO_SNA_FPStartDate,0,COLUMN()),INDEX(MO_Common_QEndDate,0,COLUMN())),"N/A")</f>
        <v>N/A</v>
      </c>
      <c r="L706" s="393" t="str">
        <f ca="1">IFERROR(CIQHI(MO.Ticker.CapIQ,"IQ_LASTSALEPRICE",INDEX(MO_SNA_FPStartDate,0,COLUMN()),INDEX(MO_Common_QEndDate,0,COLUMN())),"N/A")</f>
        <v>N/A</v>
      </c>
      <c r="M706" s="393" t="str">
        <f ca="1">IFERROR(CIQHI(MO.Ticker.CapIQ,"IQ_LASTSALEPRICE",INDEX(MO_SNA_FPStartDate,0,COLUMN()),INDEX(MO_Common_QEndDate,0,COLUMN())),"N/A")</f>
        <v>N/A</v>
      </c>
      <c r="N706" s="393" t="str">
        <f ca="1">IFERROR(CIQHI(MO.Ticker.CapIQ,"IQ_LASTSALEPRICE",INDEX(MO_SNA_FPStartDate,0,COLUMN()),INDEX(MO_Common_QEndDate,0,COLUMN())),"N/A")</f>
        <v>N/A</v>
      </c>
      <c r="O706" s="393" t="str">
        <f ca="1">IFERROR(CIQHI(MO.Ticker.CapIQ,"IQ_LASTSALEPRICE",INDEX(MO_SNA_FPStartDate,0,COLUMN()),INDEX(MO_Common_QEndDate,0,COLUMN())),"N/A")</f>
        <v>N/A</v>
      </c>
      <c r="P706" s="393" t="str">
        <f ca="1">IFERROR(CIQHI(MO.Ticker.CapIQ,"IQ_LASTSALEPRICE",INDEX(MO_SNA_FPStartDate,0,COLUMN()),INDEX(MO_Common_QEndDate,0,COLUMN())),"N/A")</f>
        <v>N/A</v>
      </c>
      <c r="Q706" s="393" t="str">
        <f ca="1">IFERROR(CIQHI(MO.Ticker.CapIQ,"IQ_LASTSALEPRICE",INDEX(MO_SNA_FPStartDate,0,COLUMN()),INDEX(MO_Common_QEndDate,0,COLUMN())),"N/A")</f>
        <v>N/A</v>
      </c>
      <c r="R706" s="393" t="str">
        <f ca="1">IFERROR(CIQHI(MO.Ticker.CapIQ,"IQ_LASTSALEPRICE",INDEX(MO_SNA_FPStartDate,0,COLUMN()),INDEX(MO_Common_QEndDate,0,COLUMN())),"N/A")</f>
        <v>N/A</v>
      </c>
      <c r="S706" s="393" t="str">
        <f ca="1">IFERROR(CIQHI(MO.Ticker.CapIQ,"IQ_LASTSALEPRICE",INDEX(MO_SNA_FPStartDate,0,COLUMN()),INDEX(MO_Common_QEndDate,0,COLUMN())),"N/A")</f>
        <v>N/A</v>
      </c>
      <c r="T706" s="393" t="str">
        <f ca="1">IFERROR(CIQHI(MO.Ticker.CapIQ,"IQ_LASTSALEPRICE",INDEX(MO_SNA_FPStartDate,0,COLUMN()),INDEX(MO_Common_QEndDate,0,COLUMN())),"N/A")</f>
        <v>N/A</v>
      </c>
      <c r="U706" s="393" t="str">
        <f ca="1">IFERROR(CIQHI(MO.Ticker.CapIQ,"IQ_LASTSALEPRICE",INDEX(MO_SNA_FPStartDate,0,COLUMN()),INDEX(MO_Common_QEndDate,0,COLUMN())),"N/A")</f>
        <v>N/A</v>
      </c>
      <c r="V706" s="393" t="str">
        <f ca="1">IFERROR(CIQHI(MO.Ticker.CapIQ,"IQ_LASTSALEPRICE",INDEX(MO_SNA_FPStartDate,0,COLUMN()),INDEX(MO_Common_QEndDate,0,COLUMN())),"N/A")</f>
        <v>N/A</v>
      </c>
      <c r="W706" s="393" t="str">
        <f ca="1">IFERROR(CIQHI(MO.Ticker.CapIQ,"IQ_LASTSALEPRICE",INDEX(MO_SNA_FPStartDate,0,COLUMN()),INDEX(MO_Common_QEndDate,0,COLUMN())),"N/A")</f>
        <v>N/A</v>
      </c>
      <c r="X706" s="393" t="str">
        <f ca="1">IFERROR(CIQHI(MO.Ticker.CapIQ,"IQ_LASTSALEPRICE",INDEX(MO_SNA_FPStartDate,0,COLUMN()),INDEX(MO_Common_QEndDate,0,COLUMN())),"N/A")</f>
        <v>N/A</v>
      </c>
      <c r="Y706" s="393" t="str">
        <f ca="1">IFERROR(CIQHI(MO.Ticker.CapIQ,"IQ_LASTSALEPRICE",INDEX(MO_SNA_FPStartDate,0,COLUMN()),INDEX(MO_Common_QEndDate,0,COLUMN())),"N/A")</f>
        <v>N/A</v>
      </c>
      <c r="Z706" s="393" t="str">
        <f ca="1">IFERROR(CIQHI(MO.Ticker.CapIQ,"IQ_LASTSALEPRICE",INDEX(MO_SNA_FPStartDate,0,COLUMN()),INDEX(MO_Common_QEndDate,0,COLUMN())),"N/A")</f>
        <v>N/A</v>
      </c>
      <c r="AA706" s="393" t="str">
        <f ca="1">IFERROR(CIQHI(MO.Ticker.CapIQ,"IQ_LASTSALEPRICE",INDEX(MO_SNA_FPStartDate,0,COLUMN()),INDEX(MO_Common_QEndDate,0,COLUMN())),"N/A")</f>
        <v>N/A</v>
      </c>
      <c r="AB706" s="393" t="str">
        <f ca="1">IFERROR(CIQHI(MO.Ticker.CapIQ,"IQ_LASTSALEPRICE",INDEX(MO_SNA_FPStartDate,0,COLUMN()),INDEX(MO_Common_QEndDate,0,COLUMN())),"N/A")</f>
        <v>N/A</v>
      </c>
      <c r="AC706" s="393" t="str">
        <f ca="1">IFERROR(CIQHI(MO.Ticker.CapIQ,"IQ_LASTSALEPRICE",INDEX(MO_SNA_FPStartDate,0,COLUMN()),INDEX(MO_Common_QEndDate,0,COLUMN())),"N/A")</f>
        <v>N/A</v>
      </c>
      <c r="AD706" s="393" t="str">
        <f ca="1">IFERROR(CIQHI(MO.Ticker.CapIQ,"IQ_LASTSALEPRICE",INDEX(MO_SNA_FPStartDate,0,COLUMN()),INDEX(MO_Common_QEndDate,0,COLUMN())),"N/A")</f>
        <v>N/A</v>
      </c>
      <c r="AE706" s="393" t="str">
        <f ca="1">IFERROR(CIQHI(MO.Ticker.CapIQ,"IQ_LASTSALEPRICE",INDEX(MO_SNA_FPStartDate,0,COLUMN()),INDEX(MO_Common_QEndDate,0,COLUMN())),"N/A")</f>
        <v>N/A</v>
      </c>
      <c r="AF706" s="393" t="str">
        <f ca="1">IFERROR(CIQHI(MO.Ticker.CapIQ,"IQ_LASTSALEPRICE",INDEX(MO_SNA_FPStartDate,0,COLUMN()),INDEX(MO_Common_QEndDate,0,COLUMN())),"N/A")</f>
        <v>N/A</v>
      </c>
      <c r="AG706" s="393" t="str">
        <f ca="1">IFERROR(CIQHI(MO.Ticker.CapIQ,"IQ_LASTSALEPRICE",INDEX(MO_SNA_FPStartDate,0,COLUMN()),INDEX(MO_Common_QEndDate,0,COLUMN())),"N/A")</f>
        <v>N/A</v>
      </c>
      <c r="AH706" s="393" t="str">
        <f ca="1">IFERROR(CIQHI(MO.Ticker.CapIQ,"IQ_LASTSALEPRICE",INDEX(MO_SNA_FPStartDate,0,COLUMN()),INDEX(MO_Common_QEndDate,0,COLUMN())),"N/A")</f>
        <v>N/A</v>
      </c>
      <c r="AI706" s="393" t="str">
        <f ca="1">IFERROR(CIQHI(MO.Ticker.CapIQ,"IQ_LASTSALEPRICE",INDEX(MO_SNA_FPStartDate,0,COLUMN()),INDEX(MO_Common_QEndDate,0,COLUMN())),"N/A")</f>
        <v>N/A</v>
      </c>
      <c r="AJ706" s="393" t="str">
        <f ca="1">IFERROR(CIQHI(MO.Ticker.CapIQ,"IQ_LASTSALEPRICE",INDEX(MO_SNA_FPStartDate,0,COLUMN()),INDEX(MO_Common_QEndDate,0,COLUMN())),"N/A")</f>
        <v>N/A</v>
      </c>
      <c r="AK706" s="393" t="str">
        <f ca="1">IFERROR(CIQHI(MO.Ticker.CapIQ,"IQ_LASTSALEPRICE",INDEX(MO_SNA_FPStartDate,0,COLUMN()),INDEX(MO_Common_QEndDate,0,COLUMN())),"N/A")</f>
        <v>N/A</v>
      </c>
      <c r="AL706" s="393" t="str">
        <f ca="1">IFERROR(CIQHI(MO.Ticker.CapIQ,"IQ_LASTSALEPRICE",INDEX(MO_SNA_FPStartDate,0,COLUMN()),INDEX(MO_Common_QEndDate,0,COLUMN())),"N/A")</f>
        <v>N/A</v>
      </c>
      <c r="AM706" s="609" t="str">
        <f ca="1">IFERROR(CIQHI(MO.Ticker.CapIQ,"IQ_LASTSALEPRICE",INDEX(MO_SNA_FPStartDate,0,COLUMN()),INDEX(MO_Common_QEndDate,0,COLUMN())),"N/A")</f>
        <v>N/A</v>
      </c>
      <c r="AN706" s="336" t="str">
        <f ca="1">IFERROR(CIQHI(MO.Ticker.CapIQ,"IQ_LASTSALEPRICE",INDEX(MO_SNA_FPStartDate,0,COLUMN()),INDEX(MO_Common_QEndDate,0,COLUMN())),"N/A")</f>
        <v>N/A</v>
      </c>
      <c r="AO706" s="336" t="str">
        <f ca="1">IFERROR(CIQHI(MO.Ticker.CapIQ,"IQ_LASTSALEPRICE",INDEX(MO_SNA_FPStartDate,0,COLUMN()),INDEX(MO_Common_QEndDate,0,COLUMN())),"N/A")</f>
        <v>N/A</v>
      </c>
      <c r="AP706" s="336" t="str">
        <f ca="1">IFERROR(CIQHI(MO.Ticker.CapIQ,"IQ_LASTSALEPRICE",INDEX(MO_SNA_FPStartDate,0,COLUMN()),INDEX(MO_Common_QEndDate,0,COLUMN())),"N/A")</f>
        <v>N/A</v>
      </c>
      <c r="AQ706" s="336" t="str">
        <f ca="1">IFERROR(CIQHI(MO.Ticker.CapIQ,"IQ_LASTSALEPRICE",INDEX(MO_SNA_FPStartDate,0,COLUMN()),INDEX(MO_Common_QEndDate,0,COLUMN())),"N/A")</f>
        <v>N/A</v>
      </c>
      <c r="AR706" s="336" t="str">
        <f ca="1">IFERROR(CIQHI(MO.Ticker.CapIQ,"IQ_LASTSALEPRICE",INDEX(MO_SNA_FPStartDate,0,COLUMN()),INDEX(MO_Common_QEndDate,0,COLUMN())),"N/A")</f>
        <v>N/A</v>
      </c>
      <c r="AS706" s="336" t="str">
        <f ca="1">IFERROR(CIQHI(MO.Ticker.CapIQ,"IQ_LASTSALEPRICE",INDEX(MO_SNA_FPStartDate,0,COLUMN()),INDEX(MO_Common_QEndDate,0,COLUMN())),"N/A")</f>
        <v>N/A</v>
      </c>
      <c r="AT706" s="336" t="str">
        <f ca="1">IFERROR(CIQHI(MO.Ticker.CapIQ,"IQ_LASTSALEPRICE",INDEX(MO_SNA_FPStartDate,0,COLUMN()),INDEX(MO_Common_QEndDate,0,COLUMN())),"N/A")</f>
        <v>N/A</v>
      </c>
      <c r="AU706" s="336" t="str">
        <f ca="1">IFERROR(CIQHI(MO.Ticker.CapIQ,"IQ_LASTSALEPRICE",INDEX(MO_SNA_FPStartDate,0,COLUMN()),INDEX(MO_Common_QEndDate,0,COLUMN())),"N/A")</f>
        <v>N/A</v>
      </c>
      <c r="AV706" s="336" t="str">
        <f ca="1">IFERROR(CIQHI(MO.Ticker.CapIQ,"IQ_LASTSALEPRICE",INDEX(MO_SNA_FPStartDate,0,COLUMN()),INDEX(MO_Common_QEndDate,0,COLUMN())),"N/A")</f>
        <v>N/A</v>
      </c>
      <c r="AW706" s="337" t="str">
        <f ca="1">IFERROR(CIQHI(MO.Ticker.CapIQ,"IQ_LASTSALEPRICE",INDEX(MO_SNA_FPStartDate,0,COLUMN()),INDEX(MO_Common_QEndDate,0,COLUMN())),"N/A")</f>
        <v>N/A</v>
      </c>
      <c r="AX706" s="515"/>
    </row>
    <row r="707" spans="1:50" s="338" customFormat="1" hidden="1" outlineLevel="1" x14ac:dyDescent="0.45">
      <c r="A707" s="339" t="s">
        <v>239</v>
      </c>
      <c r="B707" s="336"/>
      <c r="C707" s="557" t="str">
        <f ca="1">IFERROR(FDS(MO.Ticker.FactSet,"P_PRICE_AVG"&amp;"("&amp;INDEX(MO_SNA_FPStartDate,0,COLUMN())&amp;","&amp;INDEX(MO_Common_QEndDate,0,COLUMN())&amp;",,,,""PRICE"",""CLOSE"")"),"N/A")</f>
        <v>N/A</v>
      </c>
      <c r="D707" s="557" t="str">
        <f ca="1">IFERROR(FDS(MO.Ticker.FactSet,"P_PRICE_AVG"&amp;"("&amp;INDEX(MO_SNA_FPStartDate,0,COLUMN())&amp;","&amp;INDEX(MO_Common_QEndDate,0,COLUMN())&amp;",,,,""PRICE"",""CLOSE"")"),"N/A")</f>
        <v>N/A</v>
      </c>
      <c r="E707" s="393" t="str">
        <f ca="1">IFERROR(FDS(MO.Ticker.FactSet,"P_PRICE_AVG"&amp;"("&amp;INDEX(MO_SNA_FPStartDate,0,COLUMN())&amp;","&amp;INDEX(MO_Common_QEndDate,0,COLUMN())&amp;",,,,""PRICE"",""CLOSE"")"),"N/A")</f>
        <v>N/A</v>
      </c>
      <c r="F707" s="393" t="str">
        <f ca="1">IFERROR(FDS(MO.Ticker.FactSet,"P_PRICE_AVG"&amp;"("&amp;INDEX(MO_SNA_FPStartDate,0,COLUMN())&amp;","&amp;INDEX(MO_Common_QEndDate,0,COLUMN())&amp;",,,,""PRICE"",""CLOSE"")"),"N/A")</f>
        <v>N/A</v>
      </c>
      <c r="G707" s="393" t="str">
        <f ca="1">IFERROR(FDS(MO.Ticker.FactSet,"P_PRICE_AVG"&amp;"("&amp;INDEX(MO_SNA_FPStartDate,0,COLUMN())&amp;","&amp;INDEX(MO_Common_QEndDate,0,COLUMN())&amp;",,,,""PRICE"",""CLOSE"")"),"N/A")</f>
        <v>N/A</v>
      </c>
      <c r="H707" s="393" t="str">
        <f ca="1">IFERROR(FDS(MO.Ticker.FactSet,"P_PRICE_AVG"&amp;"("&amp;INDEX(MO_SNA_FPStartDate,0,COLUMN())&amp;","&amp;INDEX(MO_Common_QEndDate,0,COLUMN())&amp;",,,,""PRICE"",""CLOSE"")"),"N/A")</f>
        <v>N/A</v>
      </c>
      <c r="I707" s="393" t="str">
        <f ca="1">IFERROR(FDS(MO.Ticker.FactSet,"P_PRICE_AVG"&amp;"("&amp;INDEX(MO_SNA_FPStartDate,0,COLUMN())&amp;","&amp;INDEX(MO_Common_QEndDate,0,COLUMN())&amp;",,,,""PRICE"",""CLOSE"")"),"N/A")</f>
        <v>N/A</v>
      </c>
      <c r="J707" s="393" t="str">
        <f ca="1">IFERROR(FDS(MO.Ticker.FactSet,"P_PRICE_AVG"&amp;"("&amp;INDEX(MO_SNA_FPStartDate,0,COLUMN())&amp;","&amp;INDEX(MO_Common_QEndDate,0,COLUMN())&amp;",,,,""PRICE"",""CLOSE"")"),"N/A")</f>
        <v>N/A</v>
      </c>
      <c r="K707" s="393" t="str">
        <f ca="1">IFERROR(FDS(MO.Ticker.FactSet,"P_PRICE_AVG"&amp;"("&amp;INDEX(MO_SNA_FPStartDate,0,COLUMN())&amp;","&amp;INDEX(MO_Common_QEndDate,0,COLUMN())&amp;",,,,""PRICE"",""CLOSE"")"),"N/A")</f>
        <v>N/A</v>
      </c>
      <c r="L707" s="393" t="str">
        <f ca="1">IFERROR(FDS(MO.Ticker.FactSet,"P_PRICE_AVG"&amp;"("&amp;INDEX(MO_SNA_FPStartDate,0,COLUMN())&amp;","&amp;INDEX(MO_Common_QEndDate,0,COLUMN())&amp;",,,,""PRICE"",""CLOSE"")"),"N/A")</f>
        <v>N/A</v>
      </c>
      <c r="M707" s="393" t="str">
        <f ca="1">IFERROR(FDS(MO.Ticker.FactSet,"P_PRICE_AVG"&amp;"("&amp;INDEX(MO_SNA_FPStartDate,0,COLUMN())&amp;","&amp;INDEX(MO_Common_QEndDate,0,COLUMN())&amp;",,,,""PRICE"",""CLOSE"")"),"N/A")</f>
        <v>N/A</v>
      </c>
      <c r="N707" s="393" t="str">
        <f ca="1">IFERROR(FDS(MO.Ticker.FactSet,"P_PRICE_AVG"&amp;"("&amp;INDEX(MO_SNA_FPStartDate,0,COLUMN())&amp;","&amp;INDEX(MO_Common_QEndDate,0,COLUMN())&amp;",,,,""PRICE"",""CLOSE"")"),"N/A")</f>
        <v>N/A</v>
      </c>
      <c r="O707" s="393" t="str">
        <f ca="1">IFERROR(FDS(MO.Ticker.FactSet,"P_PRICE_AVG"&amp;"("&amp;INDEX(MO_SNA_FPStartDate,0,COLUMN())&amp;","&amp;INDEX(MO_Common_QEndDate,0,COLUMN())&amp;",,,,""PRICE"",""CLOSE"")"),"N/A")</f>
        <v>N/A</v>
      </c>
      <c r="P707" s="393" t="str">
        <f ca="1">IFERROR(FDS(MO.Ticker.FactSet,"P_PRICE_AVG"&amp;"("&amp;INDEX(MO_SNA_FPStartDate,0,COLUMN())&amp;","&amp;INDEX(MO_Common_QEndDate,0,COLUMN())&amp;",,,,""PRICE"",""CLOSE"")"),"N/A")</f>
        <v>N/A</v>
      </c>
      <c r="Q707" s="393" t="str">
        <f ca="1">IFERROR(FDS(MO.Ticker.FactSet,"P_PRICE_AVG"&amp;"("&amp;INDEX(MO_SNA_FPStartDate,0,COLUMN())&amp;","&amp;INDEX(MO_Common_QEndDate,0,COLUMN())&amp;",,,,""PRICE"",""CLOSE"")"),"N/A")</f>
        <v>N/A</v>
      </c>
      <c r="R707" s="393" t="str">
        <f ca="1">IFERROR(FDS(MO.Ticker.FactSet,"P_PRICE_AVG"&amp;"("&amp;INDEX(MO_SNA_FPStartDate,0,COLUMN())&amp;","&amp;INDEX(MO_Common_QEndDate,0,COLUMN())&amp;",,,,""PRICE"",""CLOSE"")"),"N/A")</f>
        <v>N/A</v>
      </c>
      <c r="S707" s="393" t="str">
        <f ca="1">IFERROR(FDS(MO.Ticker.FactSet,"P_PRICE_AVG"&amp;"("&amp;INDEX(MO_SNA_FPStartDate,0,COLUMN())&amp;","&amp;INDEX(MO_Common_QEndDate,0,COLUMN())&amp;",,,,""PRICE"",""CLOSE"")"),"N/A")</f>
        <v>N/A</v>
      </c>
      <c r="T707" s="393" t="str">
        <f ca="1">IFERROR(FDS(MO.Ticker.FactSet,"P_PRICE_AVG"&amp;"("&amp;INDEX(MO_SNA_FPStartDate,0,COLUMN())&amp;","&amp;INDEX(MO_Common_QEndDate,0,COLUMN())&amp;",,,,""PRICE"",""CLOSE"")"),"N/A")</f>
        <v>N/A</v>
      </c>
      <c r="U707" s="393" t="str">
        <f ca="1">IFERROR(FDS(MO.Ticker.FactSet,"P_PRICE_AVG"&amp;"("&amp;INDEX(MO_SNA_FPStartDate,0,COLUMN())&amp;","&amp;INDEX(MO_Common_QEndDate,0,COLUMN())&amp;",,,,""PRICE"",""CLOSE"")"),"N/A")</f>
        <v>N/A</v>
      </c>
      <c r="V707" s="393" t="str">
        <f ca="1">IFERROR(FDS(MO.Ticker.FactSet,"P_PRICE_AVG"&amp;"("&amp;INDEX(MO_SNA_FPStartDate,0,COLUMN())&amp;","&amp;INDEX(MO_Common_QEndDate,0,COLUMN())&amp;",,,,""PRICE"",""CLOSE"")"),"N/A")</f>
        <v>N/A</v>
      </c>
      <c r="W707" s="393" t="str">
        <f ca="1">IFERROR(FDS(MO.Ticker.FactSet,"P_PRICE_AVG"&amp;"("&amp;INDEX(MO_SNA_FPStartDate,0,COLUMN())&amp;","&amp;INDEX(MO_Common_QEndDate,0,COLUMN())&amp;",,,,""PRICE"",""CLOSE"")"),"N/A")</f>
        <v>N/A</v>
      </c>
      <c r="X707" s="393" t="str">
        <f ca="1">IFERROR(FDS(MO.Ticker.FactSet,"P_PRICE_AVG"&amp;"("&amp;INDEX(MO_SNA_FPStartDate,0,COLUMN())&amp;","&amp;INDEX(MO_Common_QEndDate,0,COLUMN())&amp;",,,,""PRICE"",""CLOSE"")"),"N/A")</f>
        <v>N/A</v>
      </c>
      <c r="Y707" s="393" t="str">
        <f ca="1">IFERROR(FDS(MO.Ticker.FactSet,"P_PRICE_AVG"&amp;"("&amp;INDEX(MO_SNA_FPStartDate,0,COLUMN())&amp;","&amp;INDEX(MO_Common_QEndDate,0,COLUMN())&amp;",,,,""PRICE"",""CLOSE"")"),"N/A")</f>
        <v>N/A</v>
      </c>
      <c r="Z707" s="393" t="str">
        <f ca="1">IFERROR(FDS(MO.Ticker.FactSet,"P_PRICE_AVG"&amp;"("&amp;INDEX(MO_SNA_FPStartDate,0,COLUMN())&amp;","&amp;INDEX(MO_Common_QEndDate,0,COLUMN())&amp;",,,,""PRICE"",""CLOSE"")"),"N/A")</f>
        <v>N/A</v>
      </c>
      <c r="AA707" s="393" t="str">
        <f ca="1">IFERROR(FDS(MO.Ticker.FactSet,"P_PRICE_AVG"&amp;"("&amp;INDEX(MO_SNA_FPStartDate,0,COLUMN())&amp;","&amp;INDEX(MO_Common_QEndDate,0,COLUMN())&amp;",,,,""PRICE"",""CLOSE"")"),"N/A")</f>
        <v>N/A</v>
      </c>
      <c r="AB707" s="393" t="str">
        <f ca="1">IFERROR(FDS(MO.Ticker.FactSet,"P_PRICE_AVG"&amp;"("&amp;INDEX(MO_SNA_FPStartDate,0,COLUMN())&amp;","&amp;INDEX(MO_Common_QEndDate,0,COLUMN())&amp;",,,,""PRICE"",""CLOSE"")"),"N/A")</f>
        <v>N/A</v>
      </c>
      <c r="AC707" s="393" t="str">
        <f ca="1">IFERROR(FDS(MO.Ticker.FactSet,"P_PRICE_AVG"&amp;"("&amp;INDEX(MO_SNA_FPStartDate,0,COLUMN())&amp;","&amp;INDEX(MO_Common_QEndDate,0,COLUMN())&amp;",,,,""PRICE"",""CLOSE"")"),"N/A")</f>
        <v>N/A</v>
      </c>
      <c r="AD707" s="393" t="str">
        <f ca="1">IFERROR(FDS(MO.Ticker.FactSet,"P_PRICE_AVG"&amp;"("&amp;INDEX(MO_SNA_FPStartDate,0,COLUMN())&amp;","&amp;INDEX(MO_Common_QEndDate,0,COLUMN())&amp;",,,,""PRICE"",""CLOSE"")"),"N/A")</f>
        <v>N/A</v>
      </c>
      <c r="AE707" s="393" t="str">
        <f ca="1">IFERROR(FDS(MO.Ticker.FactSet,"P_PRICE_AVG"&amp;"("&amp;INDEX(MO_SNA_FPStartDate,0,COLUMN())&amp;","&amp;INDEX(MO_Common_QEndDate,0,COLUMN())&amp;",,,,""PRICE"",""CLOSE"")"),"N/A")</f>
        <v>N/A</v>
      </c>
      <c r="AF707" s="393" t="str">
        <f ca="1">IFERROR(FDS(MO.Ticker.FactSet,"P_PRICE_AVG"&amp;"("&amp;INDEX(MO_SNA_FPStartDate,0,COLUMN())&amp;","&amp;INDEX(MO_Common_QEndDate,0,COLUMN())&amp;",,,,""PRICE"",""CLOSE"")"),"N/A")</f>
        <v>N/A</v>
      </c>
      <c r="AG707" s="393" t="str">
        <f ca="1">IFERROR(FDS(MO.Ticker.FactSet,"P_PRICE_AVG"&amp;"("&amp;INDEX(MO_SNA_FPStartDate,0,COLUMN())&amp;","&amp;INDEX(MO_Common_QEndDate,0,COLUMN())&amp;",,,,""PRICE"",""CLOSE"")"),"N/A")</f>
        <v>N/A</v>
      </c>
      <c r="AH707" s="393" t="str">
        <f ca="1">IFERROR(FDS(MO.Ticker.FactSet,"P_PRICE_AVG"&amp;"("&amp;INDEX(MO_SNA_FPStartDate,0,COLUMN())&amp;","&amp;INDEX(MO_Common_QEndDate,0,COLUMN())&amp;",,,,""PRICE"",""CLOSE"")"),"N/A")</f>
        <v>N/A</v>
      </c>
      <c r="AI707" s="393" t="str">
        <f ca="1">IFERROR(FDS(MO.Ticker.FactSet,"P_PRICE_AVG"&amp;"("&amp;INDEX(MO_SNA_FPStartDate,0,COLUMN())&amp;","&amp;INDEX(MO_Common_QEndDate,0,COLUMN())&amp;",,,,""PRICE"",""CLOSE"")"),"N/A")</f>
        <v>N/A</v>
      </c>
      <c r="AJ707" s="393" t="str">
        <f ca="1">IFERROR(FDS(MO.Ticker.FactSet,"P_PRICE_AVG"&amp;"("&amp;INDEX(MO_SNA_FPStartDate,0,COLUMN())&amp;","&amp;INDEX(MO_Common_QEndDate,0,COLUMN())&amp;",,,,""PRICE"",""CLOSE"")"),"N/A")</f>
        <v>N/A</v>
      </c>
      <c r="AK707" s="393" t="str">
        <f ca="1">IFERROR(FDS(MO.Ticker.FactSet,"P_PRICE_AVG"&amp;"("&amp;INDEX(MO_SNA_FPStartDate,0,COLUMN())&amp;","&amp;INDEX(MO_Common_QEndDate,0,COLUMN())&amp;",,,,""PRICE"",""CLOSE"")"),"N/A")</f>
        <v>N/A</v>
      </c>
      <c r="AL707" s="393" t="str">
        <f ca="1">IFERROR(FDS(MO.Ticker.FactSet,"P_PRICE_AVG"&amp;"("&amp;INDEX(MO_SNA_FPStartDate,0,COLUMN())&amp;","&amp;INDEX(MO_Common_QEndDate,0,COLUMN())&amp;",,,,""PRICE"",""CLOSE"")"),"N/A")</f>
        <v>N/A</v>
      </c>
      <c r="AM707" s="609" t="str">
        <f ca="1">IFERROR(FDS(MO.Ticker.FactSet,"P_PRICE_AVG"&amp;"("&amp;INDEX(MO_SNA_FPStartDate,0,COLUMN())&amp;","&amp;INDEX(MO_Common_QEndDate,0,COLUMN())&amp;",,,,""PRICE"",""CLOSE"")"),"N/A")</f>
        <v>N/A</v>
      </c>
      <c r="AN707" s="336" t="str">
        <f ca="1">IFERROR(FDS(MO.Ticker.FactSet,"P_PRICE_AVG"&amp;"("&amp;INDEX(MO_SNA_FPStartDate,0,COLUMN())&amp;","&amp;INDEX(MO_Common_QEndDate,0,COLUMN())&amp;",,,,""PRICE"",""CLOSE"")"),"N/A")</f>
        <v>N/A</v>
      </c>
      <c r="AO707" s="336" t="str">
        <f ca="1">IFERROR(FDS(MO.Ticker.FactSet,"P_PRICE_AVG"&amp;"("&amp;INDEX(MO_SNA_FPStartDate,0,COLUMN())&amp;","&amp;INDEX(MO_Common_QEndDate,0,COLUMN())&amp;",,,,""PRICE"",""CLOSE"")"),"N/A")</f>
        <v>N/A</v>
      </c>
      <c r="AP707" s="336" t="str">
        <f ca="1">IFERROR(FDS(MO.Ticker.FactSet,"P_PRICE_AVG"&amp;"("&amp;INDEX(MO_SNA_FPStartDate,0,COLUMN())&amp;","&amp;INDEX(MO_Common_QEndDate,0,COLUMN())&amp;",,,,""PRICE"",""CLOSE"")"),"N/A")</f>
        <v>N/A</v>
      </c>
      <c r="AQ707" s="336" t="str">
        <f ca="1">IFERROR(FDS(MO.Ticker.FactSet,"P_PRICE_AVG"&amp;"("&amp;INDEX(MO_SNA_FPStartDate,0,COLUMN())&amp;","&amp;INDEX(MO_Common_QEndDate,0,COLUMN())&amp;",,,,""PRICE"",""CLOSE"")"),"N/A")</f>
        <v>N/A</v>
      </c>
      <c r="AR707" s="336" t="str">
        <f ca="1">IFERROR(FDS(MO.Ticker.FactSet,"P_PRICE_AVG"&amp;"("&amp;INDEX(MO_SNA_FPStartDate,0,COLUMN())&amp;","&amp;INDEX(MO_Common_QEndDate,0,COLUMN())&amp;",,,,""PRICE"",""CLOSE"")"),"N/A")</f>
        <v>N/A</v>
      </c>
      <c r="AS707" s="336" t="str">
        <f ca="1">IFERROR(FDS(MO.Ticker.FactSet,"P_PRICE_AVG"&amp;"("&amp;INDEX(MO_SNA_FPStartDate,0,COLUMN())&amp;","&amp;INDEX(MO_Common_QEndDate,0,COLUMN())&amp;",,,,""PRICE"",""CLOSE"")"),"N/A")</f>
        <v>N/A</v>
      </c>
      <c r="AT707" s="336" t="str">
        <f ca="1">IFERROR(FDS(MO.Ticker.FactSet,"P_PRICE_AVG"&amp;"("&amp;INDEX(MO_SNA_FPStartDate,0,COLUMN())&amp;","&amp;INDEX(MO_Common_QEndDate,0,COLUMN())&amp;",,,,""PRICE"",""CLOSE"")"),"N/A")</f>
        <v>N/A</v>
      </c>
      <c r="AU707" s="336" t="str">
        <f ca="1">IFERROR(FDS(MO.Ticker.FactSet,"P_PRICE_AVG"&amp;"("&amp;INDEX(MO_SNA_FPStartDate,0,COLUMN())&amp;","&amp;INDEX(MO_Common_QEndDate,0,COLUMN())&amp;",,,,""PRICE"",""CLOSE"")"),"N/A")</f>
        <v>N/A</v>
      </c>
      <c r="AV707" s="336" t="str">
        <f ca="1">IFERROR(FDS(MO.Ticker.FactSet,"P_PRICE_AVG"&amp;"("&amp;INDEX(MO_SNA_FPStartDate,0,COLUMN())&amp;","&amp;INDEX(MO_Common_QEndDate,0,COLUMN())&amp;",,,,""PRICE"",""CLOSE"")"),"N/A")</f>
        <v>N/A</v>
      </c>
      <c r="AW707" s="337" t="str">
        <f ca="1">IFERROR(FDS(MO.Ticker.FactSet,"P_PRICE_AVG"&amp;"("&amp;INDEX(MO_SNA_FPStartDate,0,COLUMN())&amp;","&amp;INDEX(MO_Common_QEndDate,0,COLUMN())&amp;",,,,""PRICE"",""CLOSE"")"),"N/A")</f>
        <v>N/A</v>
      </c>
      <c r="AX707" s="515"/>
    </row>
    <row r="708" spans="1:50" s="338" customFormat="1" hidden="1" outlineLevel="1" x14ac:dyDescent="0.45">
      <c r="A708" s="339" t="s">
        <v>240</v>
      </c>
      <c r="B708" s="336"/>
      <c r="C708" s="557" t="str">
        <f ca="1">IFERROR(_xll.TR(MO.Ticker.Thomson,"AVG(TR.Priceclose)","sdate:#1 edate:#2",,INDEX(MO_SNA_FPStartDate,0,COLUMN()),INDEX(MO_Common_QEndDate,0,COLUMN())),"N/A")</f>
        <v>N/A</v>
      </c>
      <c r="D708" s="557" t="str">
        <f ca="1">IFERROR(_xll.TR(MO.Ticker.Thomson,"AVG(TR.Priceclose)","sdate:#1 edate:#2",,INDEX(MO_SNA_FPStartDate,0,COLUMN()),INDEX(MO_Common_QEndDate,0,COLUMN())),"N/A")</f>
        <v>N/A</v>
      </c>
      <c r="E708" s="393" t="str">
        <f ca="1">IFERROR(_xll.TR(MO.Ticker.Thomson,"AVG(TR.Priceclose)","sdate:#1 edate:#2",,INDEX(MO_SNA_FPStartDate,0,COLUMN()),INDEX(MO_Common_QEndDate,0,COLUMN())),"N/A")</f>
        <v>N/A</v>
      </c>
      <c r="F708" s="393" t="str">
        <f ca="1">IFERROR(_xll.TR(MO.Ticker.Thomson,"AVG(TR.Priceclose)","sdate:#1 edate:#2",,INDEX(MO_SNA_FPStartDate,0,COLUMN()),INDEX(MO_Common_QEndDate,0,COLUMN())),"N/A")</f>
        <v>N/A</v>
      </c>
      <c r="G708" s="393" t="str">
        <f ca="1">IFERROR(_xll.TR(MO.Ticker.Thomson,"AVG(TR.Priceclose)","sdate:#1 edate:#2",,INDEX(MO_SNA_FPStartDate,0,COLUMN()),INDEX(MO_Common_QEndDate,0,COLUMN())),"N/A")</f>
        <v>N/A</v>
      </c>
      <c r="H708" s="393" t="str">
        <f ca="1">IFERROR(_xll.TR(MO.Ticker.Thomson,"AVG(TR.Priceclose)","sdate:#1 edate:#2",,INDEX(MO_SNA_FPStartDate,0,COLUMN()),INDEX(MO_Common_QEndDate,0,COLUMN())),"N/A")</f>
        <v>N/A</v>
      </c>
      <c r="I708" s="393" t="str">
        <f ca="1">IFERROR(_xll.TR(MO.Ticker.Thomson,"AVG(TR.Priceclose)","sdate:#1 edate:#2",,INDEX(MO_SNA_FPStartDate,0,COLUMN()),INDEX(MO_Common_QEndDate,0,COLUMN())),"N/A")</f>
        <v>N/A</v>
      </c>
      <c r="J708" s="393" t="str">
        <f ca="1">IFERROR(_xll.TR(MO.Ticker.Thomson,"AVG(TR.Priceclose)","sdate:#1 edate:#2",,INDEX(MO_SNA_FPStartDate,0,COLUMN()),INDEX(MO_Common_QEndDate,0,COLUMN())),"N/A")</f>
        <v>N/A</v>
      </c>
      <c r="K708" s="393" t="str">
        <f ca="1">IFERROR(_xll.TR(MO.Ticker.Thomson,"AVG(TR.Priceclose)","sdate:#1 edate:#2",,INDEX(MO_SNA_FPStartDate,0,COLUMN()),INDEX(MO_Common_QEndDate,0,COLUMN())),"N/A")</f>
        <v>N/A</v>
      </c>
      <c r="L708" s="393" t="str">
        <f ca="1">IFERROR(_xll.TR(MO.Ticker.Thomson,"AVG(TR.Priceclose)","sdate:#1 edate:#2",,INDEX(MO_SNA_FPStartDate,0,COLUMN()),INDEX(MO_Common_QEndDate,0,COLUMN())),"N/A")</f>
        <v>N/A</v>
      </c>
      <c r="M708" s="393" t="str">
        <f ca="1">IFERROR(_xll.TR(MO.Ticker.Thomson,"AVG(TR.Priceclose)","sdate:#1 edate:#2",,INDEX(MO_SNA_FPStartDate,0,COLUMN()),INDEX(MO_Common_QEndDate,0,COLUMN())),"N/A")</f>
        <v>N/A</v>
      </c>
      <c r="N708" s="393" t="str">
        <f ca="1">IFERROR(_xll.TR(MO.Ticker.Thomson,"AVG(TR.Priceclose)","sdate:#1 edate:#2",,INDEX(MO_SNA_FPStartDate,0,COLUMN()),INDEX(MO_Common_QEndDate,0,COLUMN())),"N/A")</f>
        <v>N/A</v>
      </c>
      <c r="O708" s="393" t="str">
        <f ca="1">IFERROR(_xll.TR(MO.Ticker.Thomson,"AVG(TR.Priceclose)","sdate:#1 edate:#2",,INDEX(MO_SNA_FPStartDate,0,COLUMN()),INDEX(MO_Common_QEndDate,0,COLUMN())),"N/A")</f>
        <v>N/A</v>
      </c>
      <c r="P708" s="393" t="str">
        <f ca="1">IFERROR(_xll.TR(MO.Ticker.Thomson,"AVG(TR.Priceclose)","sdate:#1 edate:#2",,INDEX(MO_SNA_FPStartDate,0,COLUMN()),INDEX(MO_Common_QEndDate,0,COLUMN())),"N/A")</f>
        <v>N/A</v>
      </c>
      <c r="Q708" s="393" t="str">
        <f ca="1">IFERROR(_xll.TR(MO.Ticker.Thomson,"AVG(TR.Priceclose)","sdate:#1 edate:#2",,INDEX(MO_SNA_FPStartDate,0,COLUMN()),INDEX(MO_Common_QEndDate,0,COLUMN())),"N/A")</f>
        <v>N/A</v>
      </c>
      <c r="R708" s="393" t="str">
        <f ca="1">IFERROR(_xll.TR(MO.Ticker.Thomson,"AVG(TR.Priceclose)","sdate:#1 edate:#2",,INDEX(MO_SNA_FPStartDate,0,COLUMN()),INDEX(MO_Common_QEndDate,0,COLUMN())),"N/A")</f>
        <v>N/A</v>
      </c>
      <c r="S708" s="393" t="str">
        <f ca="1">IFERROR(_xll.TR(MO.Ticker.Thomson,"AVG(TR.Priceclose)","sdate:#1 edate:#2",,INDEX(MO_SNA_FPStartDate,0,COLUMN()),INDEX(MO_Common_QEndDate,0,COLUMN())),"N/A")</f>
        <v>N/A</v>
      </c>
      <c r="T708" s="393" t="str">
        <f ca="1">IFERROR(_xll.TR(MO.Ticker.Thomson,"AVG(TR.Priceclose)","sdate:#1 edate:#2",,INDEX(MO_SNA_FPStartDate,0,COLUMN()),INDEX(MO_Common_QEndDate,0,COLUMN())),"N/A")</f>
        <v>N/A</v>
      </c>
      <c r="U708" s="393" t="str">
        <f ca="1">IFERROR(_xll.TR(MO.Ticker.Thomson,"AVG(TR.Priceclose)","sdate:#1 edate:#2",,INDEX(MO_SNA_FPStartDate,0,COLUMN()),INDEX(MO_Common_QEndDate,0,COLUMN())),"N/A")</f>
        <v>N/A</v>
      </c>
      <c r="V708" s="393" t="str">
        <f ca="1">IFERROR(_xll.TR(MO.Ticker.Thomson,"AVG(TR.Priceclose)","sdate:#1 edate:#2",,INDEX(MO_SNA_FPStartDate,0,COLUMN()),INDEX(MO_Common_QEndDate,0,COLUMN())),"N/A")</f>
        <v>N/A</v>
      </c>
      <c r="W708" s="393" t="str">
        <f ca="1">IFERROR(_xll.TR(MO.Ticker.Thomson,"AVG(TR.Priceclose)","sdate:#1 edate:#2",,INDEX(MO_SNA_FPStartDate,0,COLUMN()),INDEX(MO_Common_QEndDate,0,COLUMN())),"N/A")</f>
        <v>N/A</v>
      </c>
      <c r="X708" s="393" t="str">
        <f ca="1">IFERROR(_xll.TR(MO.Ticker.Thomson,"AVG(TR.Priceclose)","sdate:#1 edate:#2",,INDEX(MO_SNA_FPStartDate,0,COLUMN()),INDEX(MO_Common_QEndDate,0,COLUMN())),"N/A")</f>
        <v>N/A</v>
      </c>
      <c r="Y708" s="393" t="str">
        <f ca="1">IFERROR(_xll.TR(MO.Ticker.Thomson,"AVG(TR.Priceclose)","sdate:#1 edate:#2",,INDEX(MO_SNA_FPStartDate,0,COLUMN()),INDEX(MO_Common_QEndDate,0,COLUMN())),"N/A")</f>
        <v>N/A</v>
      </c>
      <c r="Z708" s="393" t="str">
        <f ca="1">IFERROR(_xll.TR(MO.Ticker.Thomson,"AVG(TR.Priceclose)","sdate:#1 edate:#2",,INDEX(MO_SNA_FPStartDate,0,COLUMN()),INDEX(MO_Common_QEndDate,0,COLUMN())),"N/A")</f>
        <v>N/A</v>
      </c>
      <c r="AA708" s="393" t="str">
        <f ca="1">IFERROR(_xll.TR(MO.Ticker.Thomson,"AVG(TR.Priceclose)","sdate:#1 edate:#2",,INDEX(MO_SNA_FPStartDate,0,COLUMN()),INDEX(MO_Common_QEndDate,0,COLUMN())),"N/A")</f>
        <v>N/A</v>
      </c>
      <c r="AB708" s="393" t="str">
        <f ca="1">IFERROR(_xll.TR(MO.Ticker.Thomson,"AVG(TR.Priceclose)","sdate:#1 edate:#2",,INDEX(MO_SNA_FPStartDate,0,COLUMN()),INDEX(MO_Common_QEndDate,0,COLUMN())),"N/A")</f>
        <v>N/A</v>
      </c>
      <c r="AC708" s="393" t="str">
        <f ca="1">IFERROR(_xll.TR(MO.Ticker.Thomson,"AVG(TR.Priceclose)","sdate:#1 edate:#2",,INDEX(MO_SNA_FPStartDate,0,COLUMN()),INDEX(MO_Common_QEndDate,0,COLUMN())),"N/A")</f>
        <v>N/A</v>
      </c>
      <c r="AD708" s="393" t="str">
        <f ca="1">IFERROR(_xll.TR(MO.Ticker.Thomson,"AVG(TR.Priceclose)","sdate:#1 edate:#2",,INDEX(MO_SNA_FPStartDate,0,COLUMN()),INDEX(MO_Common_QEndDate,0,COLUMN())),"N/A")</f>
        <v>N/A</v>
      </c>
      <c r="AE708" s="393" t="str">
        <f ca="1">IFERROR(_xll.TR(MO.Ticker.Thomson,"AVG(TR.Priceclose)","sdate:#1 edate:#2",,INDEX(MO_SNA_FPStartDate,0,COLUMN()),INDEX(MO_Common_QEndDate,0,COLUMN())),"N/A")</f>
        <v>N/A</v>
      </c>
      <c r="AF708" s="393" t="str">
        <f ca="1">IFERROR(_xll.TR(MO.Ticker.Thomson,"AVG(TR.Priceclose)","sdate:#1 edate:#2",,INDEX(MO_SNA_FPStartDate,0,COLUMN()),INDEX(MO_Common_QEndDate,0,COLUMN())),"N/A")</f>
        <v>N/A</v>
      </c>
      <c r="AG708" s="393" t="str">
        <f ca="1">IFERROR(_xll.TR(MO.Ticker.Thomson,"AVG(TR.Priceclose)","sdate:#1 edate:#2",,INDEX(MO_SNA_FPStartDate,0,COLUMN()),INDEX(MO_Common_QEndDate,0,COLUMN())),"N/A")</f>
        <v>N/A</v>
      </c>
      <c r="AH708" s="393" t="str">
        <f ca="1">IFERROR(_xll.TR(MO.Ticker.Thomson,"AVG(TR.Priceclose)","sdate:#1 edate:#2",,INDEX(MO_SNA_FPStartDate,0,COLUMN()),INDEX(MO_Common_QEndDate,0,COLUMN())),"N/A")</f>
        <v>N/A</v>
      </c>
      <c r="AI708" s="393" t="str">
        <f ca="1">IFERROR(_xll.TR(MO.Ticker.Thomson,"AVG(TR.Priceclose)","sdate:#1 edate:#2",,INDEX(MO_SNA_FPStartDate,0,COLUMN()),INDEX(MO_Common_QEndDate,0,COLUMN())),"N/A")</f>
        <v>N/A</v>
      </c>
      <c r="AJ708" s="393" t="str">
        <f ca="1">IFERROR(_xll.TR(MO.Ticker.Thomson,"AVG(TR.Priceclose)","sdate:#1 edate:#2",,INDEX(MO_SNA_FPStartDate,0,COLUMN()),INDEX(MO_Common_QEndDate,0,COLUMN())),"N/A")</f>
        <v>N/A</v>
      </c>
      <c r="AK708" s="393" t="str">
        <f ca="1">IFERROR(_xll.TR(MO.Ticker.Thomson,"AVG(TR.Priceclose)","sdate:#1 edate:#2",,INDEX(MO_SNA_FPStartDate,0,COLUMN()),INDEX(MO_Common_QEndDate,0,COLUMN())),"N/A")</f>
        <v>N/A</v>
      </c>
      <c r="AL708" s="393" t="str">
        <f ca="1">IFERROR(_xll.TR(MO.Ticker.Thomson,"AVG(TR.Priceclose)","sdate:#1 edate:#2",,INDEX(MO_SNA_FPStartDate,0,COLUMN()),INDEX(MO_Common_QEndDate,0,COLUMN())),"N/A")</f>
        <v>N/A</v>
      </c>
      <c r="AM708" s="609" t="str">
        <f ca="1">IFERROR(_xll.TR(MO.Ticker.Thomson,"AVG(TR.Priceclose)","sdate:#1 edate:#2",,INDEX(MO_SNA_FPStartDate,0,COLUMN()),INDEX(MO_Common_QEndDate,0,COLUMN())),"N/A")</f>
        <v>N/A</v>
      </c>
      <c r="AN708" s="336" t="str">
        <f ca="1">IFERROR(_xll.TR(MO.Ticker.Thomson,"AVG(TR.Priceclose)","sdate:#1 edate:#2",,INDEX(MO_SNA_FPStartDate,0,COLUMN()),INDEX(MO_Common_QEndDate,0,COLUMN())),"N/A")</f>
        <v>N/A</v>
      </c>
      <c r="AO708" s="336" t="str">
        <f ca="1">IFERROR(_xll.TR(MO.Ticker.Thomson,"AVG(TR.Priceclose)","sdate:#1 edate:#2",,INDEX(MO_SNA_FPStartDate,0,COLUMN()),INDEX(MO_Common_QEndDate,0,COLUMN())),"N/A")</f>
        <v>N/A</v>
      </c>
      <c r="AP708" s="336" t="str">
        <f ca="1">IFERROR(_xll.TR(MO.Ticker.Thomson,"AVG(TR.Priceclose)","sdate:#1 edate:#2",,INDEX(MO_SNA_FPStartDate,0,COLUMN()),INDEX(MO_Common_QEndDate,0,COLUMN())),"N/A")</f>
        <v>N/A</v>
      </c>
      <c r="AQ708" s="336" t="str">
        <f ca="1">IFERROR(_xll.TR(MO.Ticker.Thomson,"AVG(TR.Priceclose)","sdate:#1 edate:#2",,INDEX(MO_SNA_FPStartDate,0,COLUMN()),INDEX(MO_Common_QEndDate,0,COLUMN())),"N/A")</f>
        <v>N/A</v>
      </c>
      <c r="AR708" s="336" t="str">
        <f ca="1">IFERROR(_xll.TR(MO.Ticker.Thomson,"AVG(TR.Priceclose)","sdate:#1 edate:#2",,INDEX(MO_SNA_FPStartDate,0,COLUMN()),INDEX(MO_Common_QEndDate,0,COLUMN())),"N/A")</f>
        <v>N/A</v>
      </c>
      <c r="AS708" s="336" t="str">
        <f ca="1">IFERROR(_xll.TR(MO.Ticker.Thomson,"AVG(TR.Priceclose)","sdate:#1 edate:#2",,INDEX(MO_SNA_FPStartDate,0,COLUMN()),INDEX(MO_Common_QEndDate,0,COLUMN())),"N/A")</f>
        <v>N/A</v>
      </c>
      <c r="AT708" s="336" t="str">
        <f ca="1">IFERROR(_xll.TR(MO.Ticker.Thomson,"AVG(TR.Priceclose)","sdate:#1 edate:#2",,INDEX(MO_SNA_FPStartDate,0,COLUMN()),INDEX(MO_Common_QEndDate,0,COLUMN())),"N/A")</f>
        <v>N/A</v>
      </c>
      <c r="AU708" s="336" t="str">
        <f ca="1">IFERROR(_xll.TR(MO.Ticker.Thomson,"AVG(TR.Priceclose)","sdate:#1 edate:#2",,INDEX(MO_SNA_FPStartDate,0,COLUMN()),INDEX(MO_Common_QEndDate,0,COLUMN())),"N/A")</f>
        <v>N/A</v>
      </c>
      <c r="AV708" s="336" t="str">
        <f ca="1">IFERROR(_xll.TR(MO.Ticker.Thomson,"AVG(TR.Priceclose)","sdate:#1 edate:#2",,INDEX(MO_SNA_FPStartDate,0,COLUMN()),INDEX(MO_Common_QEndDate,0,COLUMN())),"N/A")</f>
        <v>N/A</v>
      </c>
      <c r="AW708" s="337" t="str">
        <f ca="1">IFERROR(_xll.TR(MO.Ticker.Thomson,"AVG(TR.Priceclose)","sdate:#1 edate:#2",,INDEX(MO_SNA_FPStartDate,0,COLUMN()),INDEX(MO_Common_QEndDate,0,COLUMN())),"N/A")</f>
        <v>N/A</v>
      </c>
      <c r="AX708" s="515"/>
    </row>
    <row r="709" spans="1:50" s="3" customFormat="1" hidden="1" outlineLevel="1" x14ac:dyDescent="0.45">
      <c r="A709" s="291"/>
      <c r="B709" s="797"/>
      <c r="C709" s="474"/>
      <c r="D709" s="474"/>
      <c r="E709" s="796"/>
      <c r="F709" s="796"/>
      <c r="G709" s="796"/>
      <c r="H709" s="796"/>
      <c r="I709" s="796"/>
      <c r="J709" s="796"/>
      <c r="K709" s="796"/>
      <c r="L709" s="796"/>
      <c r="M709" s="796"/>
      <c r="N709" s="796"/>
      <c r="O709" s="796"/>
      <c r="P709" s="796"/>
      <c r="Q709" s="796"/>
      <c r="R709" s="796"/>
      <c r="S709" s="796"/>
      <c r="T709" s="796"/>
      <c r="U709" s="796"/>
      <c r="V709" s="796"/>
      <c r="W709" s="796"/>
      <c r="X709" s="796"/>
      <c r="Y709" s="796"/>
      <c r="Z709" s="796"/>
      <c r="AA709" s="796"/>
      <c r="AB709" s="796"/>
      <c r="AC709" s="796"/>
      <c r="AD709" s="796"/>
      <c r="AE709" s="796"/>
      <c r="AF709" s="796"/>
      <c r="AG709" s="796"/>
      <c r="AH709" s="796"/>
      <c r="AI709" s="796"/>
      <c r="AJ709" s="796"/>
      <c r="AK709" s="796"/>
      <c r="AL709" s="796"/>
      <c r="AM709" s="803"/>
      <c r="AN709" s="797"/>
      <c r="AO709" s="797"/>
      <c r="AP709" s="797"/>
      <c r="AQ709" s="797"/>
      <c r="AR709" s="797"/>
      <c r="AS709" s="797"/>
      <c r="AT709" s="797"/>
      <c r="AU709" s="797"/>
      <c r="AV709" s="797"/>
      <c r="AW709" s="289"/>
      <c r="AX709" s="512"/>
    </row>
    <row r="710" spans="1:50" s="344" customFormat="1" collapsed="1" x14ac:dyDescent="0.45">
      <c r="A710" s="340" t="str">
        <f ca="1">"FX Average: "&amp;IF(OR(MO.RealTimeStockPriceToggle=FALSE,VLOOKUP(MO.DataSourceName,MO_SPT_FXAverage_Sources,COLUMN()+2,FALSE)="N/A"),"Real-Time Off Source",MO.DataSourceName)</f>
        <v>FX Average: Real-Time Off Source</v>
      </c>
      <c r="B710" s="341"/>
      <c r="C710" s="558">
        <f t="shared" ref="C710:AW710" ca="1" si="758">IF(OR(MO.RealTimeStockPriceToggle=FALSE,AA.CurrencyMatch,VLOOKUP(MO.DataSourceName,MO_SPT_FXAverage_Sources,COLUMN(),FALSE)="N/A"),VLOOKUP("Real-Time Off Source",MO_SPT_FXAverage_Sources,COLUMN(),FALSE),VLOOKUP(MO.DataSourceName,MO_SPT_FXAverage_Sources,COLUMN(),FALSE))</f>
        <v>0</v>
      </c>
      <c r="D710" s="558">
        <f t="shared" ca="1" si="758"/>
        <v>0</v>
      </c>
      <c r="E710" s="394">
        <f t="shared" ca="1" si="758"/>
        <v>0</v>
      </c>
      <c r="F710" s="394">
        <f t="shared" ca="1" si="758"/>
        <v>0</v>
      </c>
      <c r="G710" s="394">
        <f t="shared" ca="1" si="758"/>
        <v>0</v>
      </c>
      <c r="H710" s="394">
        <f t="shared" ca="1" si="758"/>
        <v>0</v>
      </c>
      <c r="I710" s="394">
        <f t="shared" ca="1" si="758"/>
        <v>0</v>
      </c>
      <c r="J710" s="394">
        <f t="shared" ca="1" si="758"/>
        <v>0</v>
      </c>
      <c r="K710" s="394">
        <f t="shared" ca="1" si="758"/>
        <v>0</v>
      </c>
      <c r="L710" s="394">
        <f t="shared" ca="1" si="758"/>
        <v>0</v>
      </c>
      <c r="M710" s="394">
        <f t="shared" ca="1" si="758"/>
        <v>0</v>
      </c>
      <c r="N710" s="394">
        <f t="shared" ca="1" si="758"/>
        <v>0</v>
      </c>
      <c r="O710" s="394">
        <f t="shared" ca="1" si="758"/>
        <v>0</v>
      </c>
      <c r="P710" s="394">
        <f t="shared" ca="1" si="758"/>
        <v>0</v>
      </c>
      <c r="Q710" s="394">
        <f t="shared" ca="1" si="758"/>
        <v>0</v>
      </c>
      <c r="R710" s="394">
        <f t="shared" ca="1" si="758"/>
        <v>0</v>
      </c>
      <c r="S710" s="394">
        <f t="shared" ca="1" si="758"/>
        <v>0</v>
      </c>
      <c r="T710" s="394">
        <f t="shared" ca="1" si="758"/>
        <v>0</v>
      </c>
      <c r="U710" s="394">
        <f t="shared" ca="1" si="758"/>
        <v>0</v>
      </c>
      <c r="V710" s="394">
        <f t="shared" ca="1" si="758"/>
        <v>0</v>
      </c>
      <c r="W710" s="394">
        <f t="shared" ca="1" si="758"/>
        <v>0</v>
      </c>
      <c r="X710" s="394">
        <f t="shared" ca="1" si="758"/>
        <v>0</v>
      </c>
      <c r="Y710" s="394">
        <f t="shared" ca="1" si="758"/>
        <v>0</v>
      </c>
      <c r="Z710" s="394">
        <f t="shared" ca="1" si="758"/>
        <v>0</v>
      </c>
      <c r="AA710" s="394">
        <f t="shared" ca="1" si="758"/>
        <v>0</v>
      </c>
      <c r="AB710" s="394">
        <f t="shared" ca="1" si="758"/>
        <v>0</v>
      </c>
      <c r="AC710" s="394">
        <f t="shared" ca="1" si="758"/>
        <v>0</v>
      </c>
      <c r="AD710" s="394">
        <f t="shared" ca="1" si="758"/>
        <v>0</v>
      </c>
      <c r="AE710" s="394">
        <f t="shared" ca="1" si="758"/>
        <v>0</v>
      </c>
      <c r="AF710" s="394">
        <f t="shared" ca="1" si="758"/>
        <v>0</v>
      </c>
      <c r="AG710" s="394">
        <f t="shared" ca="1" si="758"/>
        <v>0</v>
      </c>
      <c r="AH710" s="394">
        <f t="shared" ca="1" si="758"/>
        <v>0</v>
      </c>
      <c r="AI710" s="394">
        <f t="shared" ca="1" si="758"/>
        <v>0</v>
      </c>
      <c r="AJ710" s="394">
        <f t="shared" ca="1" si="758"/>
        <v>0</v>
      </c>
      <c r="AK710" s="394">
        <f t="shared" ca="1" si="758"/>
        <v>0</v>
      </c>
      <c r="AL710" s="394">
        <f t="shared" ca="1" si="758"/>
        <v>0</v>
      </c>
      <c r="AM710" s="610">
        <f t="shared" ca="1" si="758"/>
        <v>0</v>
      </c>
      <c r="AN710" s="341">
        <f t="shared" ca="1" si="758"/>
        <v>1</v>
      </c>
      <c r="AO710" s="341">
        <f t="shared" ca="1" si="758"/>
        <v>1</v>
      </c>
      <c r="AP710" s="341">
        <f t="shared" ca="1" si="758"/>
        <v>1</v>
      </c>
      <c r="AQ710" s="341">
        <f t="shared" ca="1" si="758"/>
        <v>1</v>
      </c>
      <c r="AR710" s="341">
        <f t="shared" ca="1" si="758"/>
        <v>1</v>
      </c>
      <c r="AS710" s="341">
        <f t="shared" ca="1" si="758"/>
        <v>1</v>
      </c>
      <c r="AT710" s="341">
        <f t="shared" ca="1" si="758"/>
        <v>1</v>
      </c>
      <c r="AU710" s="341">
        <f t="shared" ca="1" si="758"/>
        <v>1</v>
      </c>
      <c r="AV710" s="341">
        <f t="shared" ca="1" si="758"/>
        <v>1</v>
      </c>
      <c r="AW710" s="342">
        <f t="shared" ca="1" si="758"/>
        <v>1</v>
      </c>
      <c r="AX710" s="516"/>
    </row>
    <row r="711" spans="1:50" s="344" customFormat="1" hidden="1" outlineLevel="1" x14ac:dyDescent="0.45">
      <c r="A711" s="345" t="s">
        <v>237</v>
      </c>
      <c r="B711" s="341"/>
      <c r="C711" s="558"/>
      <c r="D711" s="558"/>
      <c r="E711" s="394"/>
      <c r="F711" s="394"/>
      <c r="G711" s="394"/>
      <c r="H711" s="394"/>
      <c r="I711" s="394"/>
      <c r="J711" s="394"/>
      <c r="K711" s="394"/>
      <c r="L711" s="394"/>
      <c r="M711" s="394"/>
      <c r="N711" s="394"/>
      <c r="O711" s="394"/>
      <c r="P711" s="394"/>
      <c r="Q711" s="394"/>
      <c r="R711" s="394"/>
      <c r="S711" s="394"/>
      <c r="T711" s="394"/>
      <c r="U711" s="394"/>
      <c r="V711" s="394"/>
      <c r="W711" s="394"/>
      <c r="X711" s="394"/>
      <c r="Y711" s="394"/>
      <c r="Z711" s="394"/>
      <c r="AA711" s="394"/>
      <c r="AB711" s="394"/>
      <c r="AC711" s="394"/>
      <c r="AD711" s="394"/>
      <c r="AE711" s="394"/>
      <c r="AF711" s="394"/>
      <c r="AG711" s="394"/>
      <c r="AH711" s="394"/>
      <c r="AI711" s="394"/>
      <c r="AJ711" s="394"/>
      <c r="AK711" s="394"/>
      <c r="AL711" s="394"/>
      <c r="AM711" s="610"/>
      <c r="AN711" s="341">
        <f t="shared" ref="AN711:AW711" si="759">MO.MRFX.Hardcoded</f>
        <v>1</v>
      </c>
      <c r="AO711" s="341">
        <f t="shared" si="759"/>
        <v>1</v>
      </c>
      <c r="AP711" s="341">
        <f t="shared" si="759"/>
        <v>1</v>
      </c>
      <c r="AQ711" s="341">
        <f t="shared" si="759"/>
        <v>1</v>
      </c>
      <c r="AR711" s="341">
        <f t="shared" si="759"/>
        <v>1</v>
      </c>
      <c r="AS711" s="341">
        <f t="shared" si="759"/>
        <v>1</v>
      </c>
      <c r="AT711" s="341">
        <f t="shared" si="759"/>
        <v>1</v>
      </c>
      <c r="AU711" s="341">
        <f t="shared" si="759"/>
        <v>1</v>
      </c>
      <c r="AV711" s="341">
        <f t="shared" si="759"/>
        <v>1</v>
      </c>
      <c r="AW711" s="342">
        <f t="shared" si="759"/>
        <v>1</v>
      </c>
      <c r="AX711" s="516"/>
    </row>
    <row r="712" spans="1:50" s="344" customFormat="1" hidden="1" outlineLevel="1" x14ac:dyDescent="0.45">
      <c r="A712" s="345" t="s">
        <v>7</v>
      </c>
      <c r="B712" s="341"/>
      <c r="C712" s="558"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D712" s="558"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E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F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G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H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I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J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K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L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M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N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O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P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Q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R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S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T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U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V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W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X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Y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Z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A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B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C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D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E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F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G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H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I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J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K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L712" s="394"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M712" s="610"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N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O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P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Q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R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S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T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U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V712" s="341"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W712" s="342" t="str">
        <f ca="1">IFERROR(IF(INDEX(MO_Common_QEndDate,0,COLUMN())&gt;TODAY(),BDP(MO.ReportCurrency&amp;HP.TradeCurrency&amp;" CURNCY","PX_LAST"),BDP(MO.ReportCurrency&amp;HP.TradeCurrency&amp;" CURNCY","INTERVAL_AVG","MARKET_DATA_OVERRIDE=PX_LAST","START_DATE_OVERRIDE",TEXT(INDEX(MO_SNA_FPStartDate,0,COLUMN()),"YYYYMMDD"),"END_DATE_OVERRIDE",TEXT(INDEX(MO_Common_QEndDate,0,COLUMN()),"YYYYMMDD"))),"N/A")</f>
        <v>N/A</v>
      </c>
      <c r="AX712" s="516"/>
    </row>
    <row r="713" spans="1:50" s="344" customFormat="1" hidden="1" outlineLevel="1" x14ac:dyDescent="0.45">
      <c r="A713" s="345" t="s">
        <v>238</v>
      </c>
      <c r="B713" s="341"/>
      <c r="C713" s="558" t="str">
        <f ca="1">IFERROR(IF(INDEX(MO_Common_QEndDate,0,COLUMN())&gt;TODAY(),CIQ("$"&amp;HP.TradeCurrency&amp;MO.ReportCurrency,"IQ_LASTSALEPRICE"),CIQAVG("$"&amp;HP.TradeCurrency&amp;MO.ReportCurrency,"IQ_LASTSALEPRICE",INDEX(MO_SNA_FPStartDate,0,COLUMN()),INDEX(MO_Common_QEndDate,0,COLUMN()))),"N/A")</f>
        <v>N/A</v>
      </c>
      <c r="D713" s="558" t="str">
        <f ca="1">IFERROR(IF(INDEX(MO_Common_QEndDate,0,COLUMN())&gt;TODAY(),CIQ("$"&amp;HP.TradeCurrency&amp;MO.ReportCurrency,"IQ_LASTSALEPRICE"),CIQAVG("$"&amp;HP.TradeCurrency&amp;MO.ReportCurrency,"IQ_LASTSALEPRICE",INDEX(MO_SNA_FPStartDate,0,COLUMN()),INDEX(MO_Common_QEndDate,0,COLUMN()))),"N/A")</f>
        <v>N/A</v>
      </c>
      <c r="E713" s="394" t="str">
        <f ca="1">IFERROR(IF(INDEX(MO_Common_QEndDate,0,COLUMN())&gt;TODAY(),CIQ("$"&amp;HP.TradeCurrency&amp;MO.ReportCurrency,"IQ_LASTSALEPRICE"),CIQAVG("$"&amp;HP.TradeCurrency&amp;MO.ReportCurrency,"IQ_LASTSALEPRICE",INDEX(MO_SNA_FPStartDate,0,COLUMN()),INDEX(MO_Common_QEndDate,0,COLUMN()))),"N/A")</f>
        <v>N/A</v>
      </c>
      <c r="F713" s="394" t="str">
        <f ca="1">IFERROR(IF(INDEX(MO_Common_QEndDate,0,COLUMN())&gt;TODAY(),CIQ("$"&amp;HP.TradeCurrency&amp;MO.ReportCurrency,"IQ_LASTSALEPRICE"),CIQAVG("$"&amp;HP.TradeCurrency&amp;MO.ReportCurrency,"IQ_LASTSALEPRICE",INDEX(MO_SNA_FPStartDate,0,COLUMN()),INDEX(MO_Common_QEndDate,0,COLUMN()))),"N/A")</f>
        <v>N/A</v>
      </c>
      <c r="G713" s="394" t="str">
        <f ca="1">IFERROR(IF(INDEX(MO_Common_QEndDate,0,COLUMN())&gt;TODAY(),CIQ("$"&amp;HP.TradeCurrency&amp;MO.ReportCurrency,"IQ_LASTSALEPRICE"),CIQAVG("$"&amp;HP.TradeCurrency&amp;MO.ReportCurrency,"IQ_LASTSALEPRICE",INDEX(MO_SNA_FPStartDate,0,COLUMN()),INDEX(MO_Common_QEndDate,0,COLUMN()))),"N/A")</f>
        <v>N/A</v>
      </c>
      <c r="H713" s="394" t="str">
        <f ca="1">IFERROR(IF(INDEX(MO_Common_QEndDate,0,COLUMN())&gt;TODAY(),CIQ("$"&amp;HP.TradeCurrency&amp;MO.ReportCurrency,"IQ_LASTSALEPRICE"),CIQAVG("$"&amp;HP.TradeCurrency&amp;MO.ReportCurrency,"IQ_LASTSALEPRICE",INDEX(MO_SNA_FPStartDate,0,COLUMN()),INDEX(MO_Common_QEndDate,0,COLUMN()))),"N/A")</f>
        <v>N/A</v>
      </c>
      <c r="I713" s="394" t="str">
        <f ca="1">IFERROR(IF(INDEX(MO_Common_QEndDate,0,COLUMN())&gt;TODAY(),CIQ("$"&amp;HP.TradeCurrency&amp;MO.ReportCurrency,"IQ_LASTSALEPRICE"),CIQAVG("$"&amp;HP.TradeCurrency&amp;MO.ReportCurrency,"IQ_LASTSALEPRICE",INDEX(MO_SNA_FPStartDate,0,COLUMN()),INDEX(MO_Common_QEndDate,0,COLUMN()))),"N/A")</f>
        <v>N/A</v>
      </c>
      <c r="J713" s="394" t="str">
        <f ca="1">IFERROR(IF(INDEX(MO_Common_QEndDate,0,COLUMN())&gt;TODAY(),CIQ("$"&amp;HP.TradeCurrency&amp;MO.ReportCurrency,"IQ_LASTSALEPRICE"),CIQAVG("$"&amp;HP.TradeCurrency&amp;MO.ReportCurrency,"IQ_LASTSALEPRICE",INDEX(MO_SNA_FPStartDate,0,COLUMN()),INDEX(MO_Common_QEndDate,0,COLUMN()))),"N/A")</f>
        <v>N/A</v>
      </c>
      <c r="K713" s="394" t="str">
        <f ca="1">IFERROR(IF(INDEX(MO_Common_QEndDate,0,COLUMN())&gt;TODAY(),CIQ("$"&amp;HP.TradeCurrency&amp;MO.ReportCurrency,"IQ_LASTSALEPRICE"),CIQAVG("$"&amp;HP.TradeCurrency&amp;MO.ReportCurrency,"IQ_LASTSALEPRICE",INDEX(MO_SNA_FPStartDate,0,COLUMN()),INDEX(MO_Common_QEndDate,0,COLUMN()))),"N/A")</f>
        <v>N/A</v>
      </c>
      <c r="L713" s="394" t="str">
        <f ca="1">IFERROR(IF(INDEX(MO_Common_QEndDate,0,COLUMN())&gt;TODAY(),CIQ("$"&amp;HP.TradeCurrency&amp;MO.ReportCurrency,"IQ_LASTSALEPRICE"),CIQAVG("$"&amp;HP.TradeCurrency&amp;MO.ReportCurrency,"IQ_LASTSALEPRICE",INDEX(MO_SNA_FPStartDate,0,COLUMN()),INDEX(MO_Common_QEndDate,0,COLUMN()))),"N/A")</f>
        <v>N/A</v>
      </c>
      <c r="M713" s="394" t="str">
        <f ca="1">IFERROR(IF(INDEX(MO_Common_QEndDate,0,COLUMN())&gt;TODAY(),CIQ("$"&amp;HP.TradeCurrency&amp;MO.ReportCurrency,"IQ_LASTSALEPRICE"),CIQAVG("$"&amp;HP.TradeCurrency&amp;MO.ReportCurrency,"IQ_LASTSALEPRICE",INDEX(MO_SNA_FPStartDate,0,COLUMN()),INDEX(MO_Common_QEndDate,0,COLUMN()))),"N/A")</f>
        <v>N/A</v>
      </c>
      <c r="N713" s="394" t="str">
        <f ca="1">IFERROR(IF(INDEX(MO_Common_QEndDate,0,COLUMN())&gt;TODAY(),CIQ("$"&amp;HP.TradeCurrency&amp;MO.ReportCurrency,"IQ_LASTSALEPRICE"),CIQAVG("$"&amp;HP.TradeCurrency&amp;MO.ReportCurrency,"IQ_LASTSALEPRICE",INDEX(MO_SNA_FPStartDate,0,COLUMN()),INDEX(MO_Common_QEndDate,0,COLUMN()))),"N/A")</f>
        <v>N/A</v>
      </c>
      <c r="O713" s="394" t="str">
        <f ca="1">IFERROR(IF(INDEX(MO_Common_QEndDate,0,COLUMN())&gt;TODAY(),CIQ("$"&amp;HP.TradeCurrency&amp;MO.ReportCurrency,"IQ_LASTSALEPRICE"),CIQAVG("$"&amp;HP.TradeCurrency&amp;MO.ReportCurrency,"IQ_LASTSALEPRICE",INDEX(MO_SNA_FPStartDate,0,COLUMN()),INDEX(MO_Common_QEndDate,0,COLUMN()))),"N/A")</f>
        <v>N/A</v>
      </c>
      <c r="P713" s="394" t="str">
        <f ca="1">IFERROR(IF(INDEX(MO_Common_QEndDate,0,COLUMN())&gt;TODAY(),CIQ("$"&amp;HP.TradeCurrency&amp;MO.ReportCurrency,"IQ_LASTSALEPRICE"),CIQAVG("$"&amp;HP.TradeCurrency&amp;MO.ReportCurrency,"IQ_LASTSALEPRICE",INDEX(MO_SNA_FPStartDate,0,COLUMN()),INDEX(MO_Common_QEndDate,0,COLUMN()))),"N/A")</f>
        <v>N/A</v>
      </c>
      <c r="Q713" s="394" t="str">
        <f ca="1">IFERROR(IF(INDEX(MO_Common_QEndDate,0,COLUMN())&gt;TODAY(),CIQ("$"&amp;HP.TradeCurrency&amp;MO.ReportCurrency,"IQ_LASTSALEPRICE"),CIQAVG("$"&amp;HP.TradeCurrency&amp;MO.ReportCurrency,"IQ_LASTSALEPRICE",INDEX(MO_SNA_FPStartDate,0,COLUMN()),INDEX(MO_Common_QEndDate,0,COLUMN()))),"N/A")</f>
        <v>N/A</v>
      </c>
      <c r="R713" s="394" t="str">
        <f ca="1">IFERROR(IF(INDEX(MO_Common_QEndDate,0,COLUMN())&gt;TODAY(),CIQ("$"&amp;HP.TradeCurrency&amp;MO.ReportCurrency,"IQ_LASTSALEPRICE"),CIQAVG("$"&amp;HP.TradeCurrency&amp;MO.ReportCurrency,"IQ_LASTSALEPRICE",INDEX(MO_SNA_FPStartDate,0,COLUMN()),INDEX(MO_Common_QEndDate,0,COLUMN()))),"N/A")</f>
        <v>N/A</v>
      </c>
      <c r="S713" s="394" t="str">
        <f ca="1">IFERROR(IF(INDEX(MO_Common_QEndDate,0,COLUMN())&gt;TODAY(),CIQ("$"&amp;HP.TradeCurrency&amp;MO.ReportCurrency,"IQ_LASTSALEPRICE"),CIQAVG("$"&amp;HP.TradeCurrency&amp;MO.ReportCurrency,"IQ_LASTSALEPRICE",INDEX(MO_SNA_FPStartDate,0,COLUMN()),INDEX(MO_Common_QEndDate,0,COLUMN()))),"N/A")</f>
        <v>N/A</v>
      </c>
      <c r="T713" s="394" t="str">
        <f ca="1">IFERROR(IF(INDEX(MO_Common_QEndDate,0,COLUMN())&gt;TODAY(),CIQ("$"&amp;HP.TradeCurrency&amp;MO.ReportCurrency,"IQ_LASTSALEPRICE"),CIQAVG("$"&amp;HP.TradeCurrency&amp;MO.ReportCurrency,"IQ_LASTSALEPRICE",INDEX(MO_SNA_FPStartDate,0,COLUMN()),INDEX(MO_Common_QEndDate,0,COLUMN()))),"N/A")</f>
        <v>N/A</v>
      </c>
      <c r="U713" s="394" t="str">
        <f ca="1">IFERROR(IF(INDEX(MO_Common_QEndDate,0,COLUMN())&gt;TODAY(),CIQ("$"&amp;HP.TradeCurrency&amp;MO.ReportCurrency,"IQ_LASTSALEPRICE"),CIQAVG("$"&amp;HP.TradeCurrency&amp;MO.ReportCurrency,"IQ_LASTSALEPRICE",INDEX(MO_SNA_FPStartDate,0,COLUMN()),INDEX(MO_Common_QEndDate,0,COLUMN()))),"N/A")</f>
        <v>N/A</v>
      </c>
      <c r="V713" s="394" t="str">
        <f ca="1">IFERROR(IF(INDEX(MO_Common_QEndDate,0,COLUMN())&gt;TODAY(),CIQ("$"&amp;HP.TradeCurrency&amp;MO.ReportCurrency,"IQ_LASTSALEPRICE"),CIQAVG("$"&amp;HP.TradeCurrency&amp;MO.ReportCurrency,"IQ_LASTSALEPRICE",INDEX(MO_SNA_FPStartDate,0,COLUMN()),INDEX(MO_Common_QEndDate,0,COLUMN()))),"N/A")</f>
        <v>N/A</v>
      </c>
      <c r="W713" s="394" t="str">
        <f ca="1">IFERROR(IF(INDEX(MO_Common_QEndDate,0,COLUMN())&gt;TODAY(),CIQ("$"&amp;HP.TradeCurrency&amp;MO.ReportCurrency,"IQ_LASTSALEPRICE"),CIQAVG("$"&amp;HP.TradeCurrency&amp;MO.ReportCurrency,"IQ_LASTSALEPRICE",INDEX(MO_SNA_FPStartDate,0,COLUMN()),INDEX(MO_Common_QEndDate,0,COLUMN()))),"N/A")</f>
        <v>N/A</v>
      </c>
      <c r="X713" s="394" t="str">
        <f ca="1">IFERROR(IF(INDEX(MO_Common_QEndDate,0,COLUMN())&gt;TODAY(),CIQ("$"&amp;HP.TradeCurrency&amp;MO.ReportCurrency,"IQ_LASTSALEPRICE"),CIQAVG("$"&amp;HP.TradeCurrency&amp;MO.ReportCurrency,"IQ_LASTSALEPRICE",INDEX(MO_SNA_FPStartDate,0,COLUMN()),INDEX(MO_Common_QEndDate,0,COLUMN()))),"N/A")</f>
        <v>N/A</v>
      </c>
      <c r="Y713" s="394" t="str">
        <f ca="1">IFERROR(IF(INDEX(MO_Common_QEndDate,0,COLUMN())&gt;TODAY(),CIQ("$"&amp;HP.TradeCurrency&amp;MO.ReportCurrency,"IQ_LASTSALEPRICE"),CIQAVG("$"&amp;HP.TradeCurrency&amp;MO.ReportCurrency,"IQ_LASTSALEPRICE",INDEX(MO_SNA_FPStartDate,0,COLUMN()),INDEX(MO_Common_QEndDate,0,COLUMN()))),"N/A")</f>
        <v>N/A</v>
      </c>
      <c r="Z713" s="394" t="str">
        <f ca="1">IFERROR(IF(INDEX(MO_Common_QEndDate,0,COLUMN())&gt;TODAY(),CIQ("$"&amp;HP.TradeCurrency&amp;MO.ReportCurrency,"IQ_LASTSALEPRICE"),CIQAVG("$"&amp;HP.TradeCurrency&amp;MO.ReportCurrency,"IQ_LASTSALEPRICE",INDEX(MO_SNA_FPStartDate,0,COLUMN()),INDEX(MO_Common_QEndDate,0,COLUMN()))),"N/A")</f>
        <v>N/A</v>
      </c>
      <c r="AA713" s="394" t="str">
        <f ca="1">IFERROR(IF(INDEX(MO_Common_QEndDate,0,COLUMN())&gt;TODAY(),CIQ("$"&amp;HP.TradeCurrency&amp;MO.ReportCurrency,"IQ_LASTSALEPRICE"),CIQAVG("$"&amp;HP.TradeCurrency&amp;MO.ReportCurrency,"IQ_LASTSALEPRICE",INDEX(MO_SNA_FPStartDate,0,COLUMN()),INDEX(MO_Common_QEndDate,0,COLUMN()))),"N/A")</f>
        <v>N/A</v>
      </c>
      <c r="AB713" s="394" t="str">
        <f ca="1">IFERROR(IF(INDEX(MO_Common_QEndDate,0,COLUMN())&gt;TODAY(),CIQ("$"&amp;HP.TradeCurrency&amp;MO.ReportCurrency,"IQ_LASTSALEPRICE"),CIQAVG("$"&amp;HP.TradeCurrency&amp;MO.ReportCurrency,"IQ_LASTSALEPRICE",INDEX(MO_SNA_FPStartDate,0,COLUMN()),INDEX(MO_Common_QEndDate,0,COLUMN()))),"N/A")</f>
        <v>N/A</v>
      </c>
      <c r="AC713" s="394" t="str">
        <f ca="1">IFERROR(IF(INDEX(MO_Common_QEndDate,0,COLUMN())&gt;TODAY(),CIQ("$"&amp;HP.TradeCurrency&amp;MO.ReportCurrency,"IQ_LASTSALEPRICE"),CIQAVG("$"&amp;HP.TradeCurrency&amp;MO.ReportCurrency,"IQ_LASTSALEPRICE",INDEX(MO_SNA_FPStartDate,0,COLUMN()),INDEX(MO_Common_QEndDate,0,COLUMN()))),"N/A")</f>
        <v>N/A</v>
      </c>
      <c r="AD713" s="394" t="str">
        <f ca="1">IFERROR(IF(INDEX(MO_Common_QEndDate,0,COLUMN())&gt;TODAY(),CIQ("$"&amp;HP.TradeCurrency&amp;MO.ReportCurrency,"IQ_LASTSALEPRICE"),CIQAVG("$"&amp;HP.TradeCurrency&amp;MO.ReportCurrency,"IQ_LASTSALEPRICE",INDEX(MO_SNA_FPStartDate,0,COLUMN()),INDEX(MO_Common_QEndDate,0,COLUMN()))),"N/A")</f>
        <v>N/A</v>
      </c>
      <c r="AE713" s="394" t="str">
        <f ca="1">IFERROR(IF(INDEX(MO_Common_QEndDate,0,COLUMN())&gt;TODAY(),CIQ("$"&amp;HP.TradeCurrency&amp;MO.ReportCurrency,"IQ_LASTSALEPRICE"),CIQAVG("$"&amp;HP.TradeCurrency&amp;MO.ReportCurrency,"IQ_LASTSALEPRICE",INDEX(MO_SNA_FPStartDate,0,COLUMN()),INDEX(MO_Common_QEndDate,0,COLUMN()))),"N/A")</f>
        <v>N/A</v>
      </c>
      <c r="AF713" s="394" t="str">
        <f ca="1">IFERROR(IF(INDEX(MO_Common_QEndDate,0,COLUMN())&gt;TODAY(),CIQ("$"&amp;HP.TradeCurrency&amp;MO.ReportCurrency,"IQ_LASTSALEPRICE"),CIQAVG("$"&amp;HP.TradeCurrency&amp;MO.ReportCurrency,"IQ_LASTSALEPRICE",INDEX(MO_SNA_FPStartDate,0,COLUMN()),INDEX(MO_Common_QEndDate,0,COLUMN()))),"N/A")</f>
        <v>N/A</v>
      </c>
      <c r="AG713" s="394" t="str">
        <f ca="1">IFERROR(IF(INDEX(MO_Common_QEndDate,0,COLUMN())&gt;TODAY(),CIQ("$"&amp;HP.TradeCurrency&amp;MO.ReportCurrency,"IQ_LASTSALEPRICE"),CIQAVG("$"&amp;HP.TradeCurrency&amp;MO.ReportCurrency,"IQ_LASTSALEPRICE",INDEX(MO_SNA_FPStartDate,0,COLUMN()),INDEX(MO_Common_QEndDate,0,COLUMN()))),"N/A")</f>
        <v>N/A</v>
      </c>
      <c r="AH713" s="394" t="str">
        <f ca="1">IFERROR(IF(INDEX(MO_Common_QEndDate,0,COLUMN())&gt;TODAY(),CIQ("$"&amp;HP.TradeCurrency&amp;MO.ReportCurrency,"IQ_LASTSALEPRICE"),CIQAVG("$"&amp;HP.TradeCurrency&amp;MO.ReportCurrency,"IQ_LASTSALEPRICE",INDEX(MO_SNA_FPStartDate,0,COLUMN()),INDEX(MO_Common_QEndDate,0,COLUMN()))),"N/A")</f>
        <v>N/A</v>
      </c>
      <c r="AI713" s="394" t="str">
        <f ca="1">IFERROR(IF(INDEX(MO_Common_QEndDate,0,COLUMN())&gt;TODAY(),CIQ("$"&amp;HP.TradeCurrency&amp;MO.ReportCurrency,"IQ_LASTSALEPRICE"),CIQAVG("$"&amp;HP.TradeCurrency&amp;MO.ReportCurrency,"IQ_LASTSALEPRICE",INDEX(MO_SNA_FPStartDate,0,COLUMN()),INDEX(MO_Common_QEndDate,0,COLUMN()))),"N/A")</f>
        <v>N/A</v>
      </c>
      <c r="AJ713" s="394" t="str">
        <f ca="1">IFERROR(IF(INDEX(MO_Common_QEndDate,0,COLUMN())&gt;TODAY(),CIQ("$"&amp;HP.TradeCurrency&amp;MO.ReportCurrency,"IQ_LASTSALEPRICE"),CIQAVG("$"&amp;HP.TradeCurrency&amp;MO.ReportCurrency,"IQ_LASTSALEPRICE",INDEX(MO_SNA_FPStartDate,0,COLUMN()),INDEX(MO_Common_QEndDate,0,COLUMN()))),"N/A")</f>
        <v>N/A</v>
      </c>
      <c r="AK713" s="394" t="str">
        <f ca="1">IFERROR(IF(INDEX(MO_Common_QEndDate,0,COLUMN())&gt;TODAY(),CIQ("$"&amp;HP.TradeCurrency&amp;MO.ReportCurrency,"IQ_LASTSALEPRICE"),CIQAVG("$"&amp;HP.TradeCurrency&amp;MO.ReportCurrency,"IQ_LASTSALEPRICE",INDEX(MO_SNA_FPStartDate,0,COLUMN()),INDEX(MO_Common_QEndDate,0,COLUMN()))),"N/A")</f>
        <v>N/A</v>
      </c>
      <c r="AL713" s="394" t="str">
        <f ca="1">IFERROR(IF(INDEX(MO_Common_QEndDate,0,COLUMN())&gt;TODAY(),CIQ("$"&amp;HP.TradeCurrency&amp;MO.ReportCurrency,"IQ_LASTSALEPRICE"),CIQAVG("$"&amp;HP.TradeCurrency&amp;MO.ReportCurrency,"IQ_LASTSALEPRICE",INDEX(MO_SNA_FPStartDate,0,COLUMN()),INDEX(MO_Common_QEndDate,0,COLUMN()))),"N/A")</f>
        <v>N/A</v>
      </c>
      <c r="AM713" s="610" t="str">
        <f ca="1">IFERROR(IF(INDEX(MO_Common_QEndDate,0,COLUMN())&gt;TODAY(),CIQ("$"&amp;HP.TradeCurrency&amp;MO.ReportCurrency,"IQ_LASTSALEPRICE"),CIQAVG("$"&amp;HP.TradeCurrency&amp;MO.ReportCurrency,"IQ_LASTSALEPRICE",INDEX(MO_SNA_FPStartDate,0,COLUMN()),INDEX(MO_Common_QEndDate,0,COLUMN()))),"N/A")</f>
        <v>N/A</v>
      </c>
      <c r="AN713" s="341" t="str">
        <f ca="1">IFERROR(IF(INDEX(MO_Common_QEndDate,0,COLUMN())&gt;TODAY(),CIQ("$"&amp;HP.TradeCurrency&amp;MO.ReportCurrency,"IQ_LASTSALEPRICE"),CIQAVG("$"&amp;HP.TradeCurrency&amp;MO.ReportCurrency,"IQ_LASTSALEPRICE",INDEX(MO_SNA_FPStartDate,0,COLUMN()),INDEX(MO_Common_QEndDate,0,COLUMN()))),"N/A")</f>
        <v>N/A</v>
      </c>
      <c r="AO713" s="341" t="str">
        <f ca="1">IFERROR(IF(INDEX(MO_Common_QEndDate,0,COLUMN())&gt;TODAY(),CIQ("$"&amp;HP.TradeCurrency&amp;MO.ReportCurrency,"IQ_LASTSALEPRICE"),CIQAVG("$"&amp;HP.TradeCurrency&amp;MO.ReportCurrency,"IQ_LASTSALEPRICE",INDEX(MO_SNA_FPStartDate,0,COLUMN()),INDEX(MO_Common_QEndDate,0,COLUMN()))),"N/A")</f>
        <v>N/A</v>
      </c>
      <c r="AP713" s="341" t="str">
        <f ca="1">IFERROR(IF(INDEX(MO_Common_QEndDate,0,COLUMN())&gt;TODAY(),CIQ("$"&amp;HP.TradeCurrency&amp;MO.ReportCurrency,"IQ_LASTSALEPRICE"),CIQAVG("$"&amp;HP.TradeCurrency&amp;MO.ReportCurrency,"IQ_LASTSALEPRICE",INDEX(MO_SNA_FPStartDate,0,COLUMN()),INDEX(MO_Common_QEndDate,0,COLUMN()))),"N/A")</f>
        <v>N/A</v>
      </c>
      <c r="AQ713" s="341" t="str">
        <f ca="1">IFERROR(IF(INDEX(MO_Common_QEndDate,0,COLUMN())&gt;TODAY(),CIQ("$"&amp;HP.TradeCurrency&amp;MO.ReportCurrency,"IQ_LASTSALEPRICE"),CIQAVG("$"&amp;HP.TradeCurrency&amp;MO.ReportCurrency,"IQ_LASTSALEPRICE",INDEX(MO_SNA_FPStartDate,0,COLUMN()),INDEX(MO_Common_QEndDate,0,COLUMN()))),"N/A")</f>
        <v>N/A</v>
      </c>
      <c r="AR713" s="341" t="str">
        <f ca="1">IFERROR(IF(INDEX(MO_Common_QEndDate,0,COLUMN())&gt;TODAY(),CIQ("$"&amp;HP.TradeCurrency&amp;MO.ReportCurrency,"IQ_LASTSALEPRICE"),CIQAVG("$"&amp;HP.TradeCurrency&amp;MO.ReportCurrency,"IQ_LASTSALEPRICE",INDEX(MO_SNA_FPStartDate,0,COLUMN()),INDEX(MO_Common_QEndDate,0,COLUMN()))),"N/A")</f>
        <v>N/A</v>
      </c>
      <c r="AS713" s="341" t="str">
        <f ca="1">IFERROR(IF(INDEX(MO_Common_QEndDate,0,COLUMN())&gt;TODAY(),CIQ("$"&amp;HP.TradeCurrency&amp;MO.ReportCurrency,"IQ_LASTSALEPRICE"),CIQAVG("$"&amp;HP.TradeCurrency&amp;MO.ReportCurrency,"IQ_LASTSALEPRICE",INDEX(MO_SNA_FPStartDate,0,COLUMN()),INDEX(MO_Common_QEndDate,0,COLUMN()))),"N/A")</f>
        <v>N/A</v>
      </c>
      <c r="AT713" s="341" t="str">
        <f ca="1">IFERROR(IF(INDEX(MO_Common_QEndDate,0,COLUMN())&gt;TODAY(),CIQ("$"&amp;HP.TradeCurrency&amp;MO.ReportCurrency,"IQ_LASTSALEPRICE"),CIQAVG("$"&amp;HP.TradeCurrency&amp;MO.ReportCurrency,"IQ_LASTSALEPRICE",INDEX(MO_SNA_FPStartDate,0,COLUMN()),INDEX(MO_Common_QEndDate,0,COLUMN()))),"N/A")</f>
        <v>N/A</v>
      </c>
      <c r="AU713" s="341" t="str">
        <f ca="1">IFERROR(IF(INDEX(MO_Common_QEndDate,0,COLUMN())&gt;TODAY(),CIQ("$"&amp;HP.TradeCurrency&amp;MO.ReportCurrency,"IQ_LASTSALEPRICE"),CIQAVG("$"&amp;HP.TradeCurrency&amp;MO.ReportCurrency,"IQ_LASTSALEPRICE",INDEX(MO_SNA_FPStartDate,0,COLUMN()),INDEX(MO_Common_QEndDate,0,COLUMN()))),"N/A")</f>
        <v>N/A</v>
      </c>
      <c r="AV713" s="341" t="str">
        <f ca="1">IFERROR(IF(INDEX(MO_Common_QEndDate,0,COLUMN())&gt;TODAY(),CIQ("$"&amp;HP.TradeCurrency&amp;MO.ReportCurrency,"IQ_LASTSALEPRICE"),CIQAVG("$"&amp;HP.TradeCurrency&amp;MO.ReportCurrency,"IQ_LASTSALEPRICE",INDEX(MO_SNA_FPStartDate,0,COLUMN()),INDEX(MO_Common_QEndDate,0,COLUMN()))),"N/A")</f>
        <v>N/A</v>
      </c>
      <c r="AW713" s="342" t="str">
        <f ca="1">IFERROR(IF(INDEX(MO_Common_QEndDate,0,COLUMN())&gt;TODAY(),CIQ("$"&amp;HP.TradeCurrency&amp;MO.ReportCurrency,"IQ_LASTSALEPRICE"),CIQAVG("$"&amp;HP.TradeCurrency&amp;MO.ReportCurrency,"IQ_LASTSALEPRICE",INDEX(MO_SNA_FPStartDate,0,COLUMN()),INDEX(MO_Common_QEndDate,0,COLUMN()))),"N/A")</f>
        <v>N/A</v>
      </c>
      <c r="AX713" s="516"/>
    </row>
    <row r="714" spans="1:50" s="344" customFormat="1" hidden="1" outlineLevel="1" x14ac:dyDescent="0.45">
      <c r="A714" s="345" t="s">
        <v>239</v>
      </c>
      <c r="B714" s="341"/>
      <c r="C714" s="558" t="str">
        <f ca="1">IFERROR(IF(INDEX(MO_Common_QEndDate,0,COLUMN())&gt;TODAY(),FDS(MO.ReportCurrency&amp;HP.TradeCurrency,"FG_PRICE(NOW)"),FDS(MO.ReportCurrency&amp;HP.TradeCurrency,"P_PRICE_AVG("&amp;INDEX(MO_SNA_FPStartDate,0,COLUMN())&amp;","&amp;INDEX(MO_Common_QEndDate,0,COLUMN())&amp;",,,,0)")),"N/A")</f>
        <v>N/A</v>
      </c>
      <c r="D714" s="558" t="str">
        <f ca="1">IFERROR(IF(INDEX(MO_Common_QEndDate,0,COLUMN())&gt;TODAY(),FDS(MO.ReportCurrency&amp;HP.TradeCurrency,"FG_PRICE(NOW)"),FDS(MO.ReportCurrency&amp;HP.TradeCurrency,"P_PRICE_AVG("&amp;INDEX(MO_SNA_FPStartDate,0,COLUMN())&amp;","&amp;INDEX(MO_Common_QEndDate,0,COLUMN())&amp;",,,,0)")),"N/A")</f>
        <v>N/A</v>
      </c>
      <c r="E714" s="394" t="str">
        <f ca="1">IFERROR(IF(INDEX(MO_Common_QEndDate,0,COLUMN())&gt;TODAY(),FDS(MO.ReportCurrency&amp;HP.TradeCurrency,"FG_PRICE(NOW)"),FDS(MO.ReportCurrency&amp;HP.TradeCurrency,"P_PRICE_AVG("&amp;INDEX(MO_SNA_FPStartDate,0,COLUMN())&amp;","&amp;INDEX(MO_Common_QEndDate,0,COLUMN())&amp;",,,,0)")),"N/A")</f>
        <v>N/A</v>
      </c>
      <c r="F714" s="394" t="str">
        <f ca="1">IFERROR(IF(INDEX(MO_Common_QEndDate,0,COLUMN())&gt;TODAY(),FDS(MO.ReportCurrency&amp;HP.TradeCurrency,"FG_PRICE(NOW)"),FDS(MO.ReportCurrency&amp;HP.TradeCurrency,"P_PRICE_AVG("&amp;INDEX(MO_SNA_FPStartDate,0,COLUMN())&amp;","&amp;INDEX(MO_Common_QEndDate,0,COLUMN())&amp;",,,,0)")),"N/A")</f>
        <v>N/A</v>
      </c>
      <c r="G714" s="394" t="str">
        <f ca="1">IFERROR(IF(INDEX(MO_Common_QEndDate,0,COLUMN())&gt;TODAY(),FDS(MO.ReportCurrency&amp;HP.TradeCurrency,"FG_PRICE(NOW)"),FDS(MO.ReportCurrency&amp;HP.TradeCurrency,"P_PRICE_AVG("&amp;INDEX(MO_SNA_FPStartDate,0,COLUMN())&amp;","&amp;INDEX(MO_Common_QEndDate,0,COLUMN())&amp;",,,,0)")),"N/A")</f>
        <v>N/A</v>
      </c>
      <c r="H714" s="394" t="str">
        <f ca="1">IFERROR(IF(INDEX(MO_Common_QEndDate,0,COLUMN())&gt;TODAY(),FDS(MO.ReportCurrency&amp;HP.TradeCurrency,"FG_PRICE(NOW)"),FDS(MO.ReportCurrency&amp;HP.TradeCurrency,"P_PRICE_AVG("&amp;INDEX(MO_SNA_FPStartDate,0,COLUMN())&amp;","&amp;INDEX(MO_Common_QEndDate,0,COLUMN())&amp;",,,,0)")),"N/A")</f>
        <v>N/A</v>
      </c>
      <c r="I714" s="394" t="str">
        <f ca="1">IFERROR(IF(INDEX(MO_Common_QEndDate,0,COLUMN())&gt;TODAY(),FDS(MO.ReportCurrency&amp;HP.TradeCurrency,"FG_PRICE(NOW)"),FDS(MO.ReportCurrency&amp;HP.TradeCurrency,"P_PRICE_AVG("&amp;INDEX(MO_SNA_FPStartDate,0,COLUMN())&amp;","&amp;INDEX(MO_Common_QEndDate,0,COLUMN())&amp;",,,,0)")),"N/A")</f>
        <v>N/A</v>
      </c>
      <c r="J714" s="394" t="str">
        <f ca="1">IFERROR(IF(INDEX(MO_Common_QEndDate,0,COLUMN())&gt;TODAY(),FDS(MO.ReportCurrency&amp;HP.TradeCurrency,"FG_PRICE(NOW)"),FDS(MO.ReportCurrency&amp;HP.TradeCurrency,"P_PRICE_AVG("&amp;INDEX(MO_SNA_FPStartDate,0,COLUMN())&amp;","&amp;INDEX(MO_Common_QEndDate,0,COLUMN())&amp;",,,,0)")),"N/A")</f>
        <v>N/A</v>
      </c>
      <c r="K714" s="394" t="str">
        <f ca="1">IFERROR(IF(INDEX(MO_Common_QEndDate,0,COLUMN())&gt;TODAY(),FDS(MO.ReportCurrency&amp;HP.TradeCurrency,"FG_PRICE(NOW)"),FDS(MO.ReportCurrency&amp;HP.TradeCurrency,"P_PRICE_AVG("&amp;INDEX(MO_SNA_FPStartDate,0,COLUMN())&amp;","&amp;INDEX(MO_Common_QEndDate,0,COLUMN())&amp;",,,,0)")),"N/A")</f>
        <v>N/A</v>
      </c>
      <c r="L714" s="394" t="str">
        <f ca="1">IFERROR(IF(INDEX(MO_Common_QEndDate,0,COLUMN())&gt;TODAY(),FDS(MO.ReportCurrency&amp;HP.TradeCurrency,"FG_PRICE(NOW)"),FDS(MO.ReportCurrency&amp;HP.TradeCurrency,"P_PRICE_AVG("&amp;INDEX(MO_SNA_FPStartDate,0,COLUMN())&amp;","&amp;INDEX(MO_Common_QEndDate,0,COLUMN())&amp;",,,,0)")),"N/A")</f>
        <v>N/A</v>
      </c>
      <c r="M714" s="394" t="str">
        <f ca="1">IFERROR(IF(INDEX(MO_Common_QEndDate,0,COLUMN())&gt;TODAY(),FDS(MO.ReportCurrency&amp;HP.TradeCurrency,"FG_PRICE(NOW)"),FDS(MO.ReportCurrency&amp;HP.TradeCurrency,"P_PRICE_AVG("&amp;INDEX(MO_SNA_FPStartDate,0,COLUMN())&amp;","&amp;INDEX(MO_Common_QEndDate,0,COLUMN())&amp;",,,,0)")),"N/A")</f>
        <v>N/A</v>
      </c>
      <c r="N714" s="394" t="str">
        <f ca="1">IFERROR(IF(INDEX(MO_Common_QEndDate,0,COLUMN())&gt;TODAY(),FDS(MO.ReportCurrency&amp;HP.TradeCurrency,"FG_PRICE(NOW)"),FDS(MO.ReportCurrency&amp;HP.TradeCurrency,"P_PRICE_AVG("&amp;INDEX(MO_SNA_FPStartDate,0,COLUMN())&amp;","&amp;INDEX(MO_Common_QEndDate,0,COLUMN())&amp;",,,,0)")),"N/A")</f>
        <v>N/A</v>
      </c>
      <c r="O714" s="394" t="str">
        <f ca="1">IFERROR(IF(INDEX(MO_Common_QEndDate,0,COLUMN())&gt;TODAY(),FDS(MO.ReportCurrency&amp;HP.TradeCurrency,"FG_PRICE(NOW)"),FDS(MO.ReportCurrency&amp;HP.TradeCurrency,"P_PRICE_AVG("&amp;INDEX(MO_SNA_FPStartDate,0,COLUMN())&amp;","&amp;INDEX(MO_Common_QEndDate,0,COLUMN())&amp;",,,,0)")),"N/A")</f>
        <v>N/A</v>
      </c>
      <c r="P714" s="394" t="str">
        <f ca="1">IFERROR(IF(INDEX(MO_Common_QEndDate,0,COLUMN())&gt;TODAY(),FDS(MO.ReportCurrency&amp;HP.TradeCurrency,"FG_PRICE(NOW)"),FDS(MO.ReportCurrency&amp;HP.TradeCurrency,"P_PRICE_AVG("&amp;INDEX(MO_SNA_FPStartDate,0,COLUMN())&amp;","&amp;INDEX(MO_Common_QEndDate,0,COLUMN())&amp;",,,,0)")),"N/A")</f>
        <v>N/A</v>
      </c>
      <c r="Q714" s="394" t="str">
        <f ca="1">IFERROR(IF(INDEX(MO_Common_QEndDate,0,COLUMN())&gt;TODAY(),FDS(MO.ReportCurrency&amp;HP.TradeCurrency,"FG_PRICE(NOW)"),FDS(MO.ReportCurrency&amp;HP.TradeCurrency,"P_PRICE_AVG("&amp;INDEX(MO_SNA_FPStartDate,0,COLUMN())&amp;","&amp;INDEX(MO_Common_QEndDate,0,COLUMN())&amp;",,,,0)")),"N/A")</f>
        <v>N/A</v>
      </c>
      <c r="R714" s="394" t="str">
        <f ca="1">IFERROR(IF(INDEX(MO_Common_QEndDate,0,COLUMN())&gt;TODAY(),FDS(MO.ReportCurrency&amp;HP.TradeCurrency,"FG_PRICE(NOW)"),FDS(MO.ReportCurrency&amp;HP.TradeCurrency,"P_PRICE_AVG("&amp;INDEX(MO_SNA_FPStartDate,0,COLUMN())&amp;","&amp;INDEX(MO_Common_QEndDate,0,COLUMN())&amp;",,,,0)")),"N/A")</f>
        <v>N/A</v>
      </c>
      <c r="S714" s="394" t="str">
        <f ca="1">IFERROR(IF(INDEX(MO_Common_QEndDate,0,COLUMN())&gt;TODAY(),FDS(MO.ReportCurrency&amp;HP.TradeCurrency,"FG_PRICE(NOW)"),FDS(MO.ReportCurrency&amp;HP.TradeCurrency,"P_PRICE_AVG("&amp;INDEX(MO_SNA_FPStartDate,0,COLUMN())&amp;","&amp;INDEX(MO_Common_QEndDate,0,COLUMN())&amp;",,,,0)")),"N/A")</f>
        <v>N/A</v>
      </c>
      <c r="T714" s="394" t="str">
        <f ca="1">IFERROR(IF(INDEX(MO_Common_QEndDate,0,COLUMN())&gt;TODAY(),FDS(MO.ReportCurrency&amp;HP.TradeCurrency,"FG_PRICE(NOW)"),FDS(MO.ReportCurrency&amp;HP.TradeCurrency,"P_PRICE_AVG("&amp;INDEX(MO_SNA_FPStartDate,0,COLUMN())&amp;","&amp;INDEX(MO_Common_QEndDate,0,COLUMN())&amp;",,,,0)")),"N/A")</f>
        <v>N/A</v>
      </c>
      <c r="U714" s="394" t="str">
        <f ca="1">IFERROR(IF(INDEX(MO_Common_QEndDate,0,COLUMN())&gt;TODAY(),FDS(MO.ReportCurrency&amp;HP.TradeCurrency,"FG_PRICE(NOW)"),FDS(MO.ReportCurrency&amp;HP.TradeCurrency,"P_PRICE_AVG("&amp;INDEX(MO_SNA_FPStartDate,0,COLUMN())&amp;","&amp;INDEX(MO_Common_QEndDate,0,COLUMN())&amp;",,,,0)")),"N/A")</f>
        <v>N/A</v>
      </c>
      <c r="V714" s="394" t="str">
        <f ca="1">IFERROR(IF(INDEX(MO_Common_QEndDate,0,COLUMN())&gt;TODAY(),FDS(MO.ReportCurrency&amp;HP.TradeCurrency,"FG_PRICE(NOW)"),FDS(MO.ReportCurrency&amp;HP.TradeCurrency,"P_PRICE_AVG("&amp;INDEX(MO_SNA_FPStartDate,0,COLUMN())&amp;","&amp;INDEX(MO_Common_QEndDate,0,COLUMN())&amp;",,,,0)")),"N/A")</f>
        <v>N/A</v>
      </c>
      <c r="W714" s="394" t="str">
        <f ca="1">IFERROR(IF(INDEX(MO_Common_QEndDate,0,COLUMN())&gt;TODAY(),FDS(MO.ReportCurrency&amp;HP.TradeCurrency,"FG_PRICE(NOW)"),FDS(MO.ReportCurrency&amp;HP.TradeCurrency,"P_PRICE_AVG("&amp;INDEX(MO_SNA_FPStartDate,0,COLUMN())&amp;","&amp;INDEX(MO_Common_QEndDate,0,COLUMN())&amp;",,,,0)")),"N/A")</f>
        <v>N/A</v>
      </c>
      <c r="X714" s="394" t="str">
        <f ca="1">IFERROR(IF(INDEX(MO_Common_QEndDate,0,COLUMN())&gt;TODAY(),FDS(MO.ReportCurrency&amp;HP.TradeCurrency,"FG_PRICE(NOW)"),FDS(MO.ReportCurrency&amp;HP.TradeCurrency,"P_PRICE_AVG("&amp;INDEX(MO_SNA_FPStartDate,0,COLUMN())&amp;","&amp;INDEX(MO_Common_QEndDate,0,COLUMN())&amp;",,,,0)")),"N/A")</f>
        <v>N/A</v>
      </c>
      <c r="Y714" s="394" t="str">
        <f ca="1">IFERROR(IF(INDEX(MO_Common_QEndDate,0,COLUMN())&gt;TODAY(),FDS(MO.ReportCurrency&amp;HP.TradeCurrency,"FG_PRICE(NOW)"),FDS(MO.ReportCurrency&amp;HP.TradeCurrency,"P_PRICE_AVG("&amp;INDEX(MO_SNA_FPStartDate,0,COLUMN())&amp;","&amp;INDEX(MO_Common_QEndDate,0,COLUMN())&amp;",,,,0)")),"N/A")</f>
        <v>N/A</v>
      </c>
      <c r="Z714" s="394" t="str">
        <f ca="1">IFERROR(IF(INDEX(MO_Common_QEndDate,0,COLUMN())&gt;TODAY(),FDS(MO.ReportCurrency&amp;HP.TradeCurrency,"FG_PRICE(NOW)"),FDS(MO.ReportCurrency&amp;HP.TradeCurrency,"P_PRICE_AVG("&amp;INDEX(MO_SNA_FPStartDate,0,COLUMN())&amp;","&amp;INDEX(MO_Common_QEndDate,0,COLUMN())&amp;",,,,0)")),"N/A")</f>
        <v>N/A</v>
      </c>
      <c r="AA714" s="394" t="str">
        <f ca="1">IFERROR(IF(INDEX(MO_Common_QEndDate,0,COLUMN())&gt;TODAY(),FDS(MO.ReportCurrency&amp;HP.TradeCurrency,"FG_PRICE(NOW)"),FDS(MO.ReportCurrency&amp;HP.TradeCurrency,"P_PRICE_AVG("&amp;INDEX(MO_SNA_FPStartDate,0,COLUMN())&amp;","&amp;INDEX(MO_Common_QEndDate,0,COLUMN())&amp;",,,,0)")),"N/A")</f>
        <v>N/A</v>
      </c>
      <c r="AB714" s="394" t="str">
        <f ca="1">IFERROR(IF(INDEX(MO_Common_QEndDate,0,COLUMN())&gt;TODAY(),FDS(MO.ReportCurrency&amp;HP.TradeCurrency,"FG_PRICE(NOW)"),FDS(MO.ReportCurrency&amp;HP.TradeCurrency,"P_PRICE_AVG("&amp;INDEX(MO_SNA_FPStartDate,0,COLUMN())&amp;","&amp;INDEX(MO_Common_QEndDate,0,COLUMN())&amp;",,,,0)")),"N/A")</f>
        <v>N/A</v>
      </c>
      <c r="AC714" s="394" t="str">
        <f ca="1">IFERROR(IF(INDEX(MO_Common_QEndDate,0,COLUMN())&gt;TODAY(),FDS(MO.ReportCurrency&amp;HP.TradeCurrency,"FG_PRICE(NOW)"),FDS(MO.ReportCurrency&amp;HP.TradeCurrency,"P_PRICE_AVG("&amp;INDEX(MO_SNA_FPStartDate,0,COLUMN())&amp;","&amp;INDEX(MO_Common_QEndDate,0,COLUMN())&amp;",,,,0)")),"N/A")</f>
        <v>N/A</v>
      </c>
      <c r="AD714" s="394" t="str">
        <f ca="1">IFERROR(IF(INDEX(MO_Common_QEndDate,0,COLUMN())&gt;TODAY(),FDS(MO.ReportCurrency&amp;HP.TradeCurrency,"FG_PRICE(NOW)"),FDS(MO.ReportCurrency&amp;HP.TradeCurrency,"P_PRICE_AVG("&amp;INDEX(MO_SNA_FPStartDate,0,COLUMN())&amp;","&amp;INDEX(MO_Common_QEndDate,0,COLUMN())&amp;",,,,0)")),"N/A")</f>
        <v>N/A</v>
      </c>
      <c r="AE714" s="394" t="str">
        <f ca="1">IFERROR(IF(INDEX(MO_Common_QEndDate,0,COLUMN())&gt;TODAY(),FDS(MO.ReportCurrency&amp;HP.TradeCurrency,"FG_PRICE(NOW)"),FDS(MO.ReportCurrency&amp;HP.TradeCurrency,"P_PRICE_AVG("&amp;INDEX(MO_SNA_FPStartDate,0,COLUMN())&amp;","&amp;INDEX(MO_Common_QEndDate,0,COLUMN())&amp;",,,,0)")),"N/A")</f>
        <v>N/A</v>
      </c>
      <c r="AF714" s="394" t="str">
        <f ca="1">IFERROR(IF(INDEX(MO_Common_QEndDate,0,COLUMN())&gt;TODAY(),FDS(MO.ReportCurrency&amp;HP.TradeCurrency,"FG_PRICE(NOW)"),FDS(MO.ReportCurrency&amp;HP.TradeCurrency,"P_PRICE_AVG("&amp;INDEX(MO_SNA_FPStartDate,0,COLUMN())&amp;","&amp;INDEX(MO_Common_QEndDate,0,COLUMN())&amp;",,,,0)")),"N/A")</f>
        <v>N/A</v>
      </c>
      <c r="AG714" s="394" t="str">
        <f ca="1">IFERROR(IF(INDEX(MO_Common_QEndDate,0,COLUMN())&gt;TODAY(),FDS(MO.ReportCurrency&amp;HP.TradeCurrency,"FG_PRICE(NOW)"),FDS(MO.ReportCurrency&amp;HP.TradeCurrency,"P_PRICE_AVG("&amp;INDEX(MO_SNA_FPStartDate,0,COLUMN())&amp;","&amp;INDEX(MO_Common_QEndDate,0,COLUMN())&amp;",,,,0)")),"N/A")</f>
        <v>N/A</v>
      </c>
      <c r="AH714" s="394" t="str">
        <f ca="1">IFERROR(IF(INDEX(MO_Common_QEndDate,0,COLUMN())&gt;TODAY(),FDS(MO.ReportCurrency&amp;HP.TradeCurrency,"FG_PRICE(NOW)"),FDS(MO.ReportCurrency&amp;HP.TradeCurrency,"P_PRICE_AVG("&amp;INDEX(MO_SNA_FPStartDate,0,COLUMN())&amp;","&amp;INDEX(MO_Common_QEndDate,0,COLUMN())&amp;",,,,0)")),"N/A")</f>
        <v>N/A</v>
      </c>
      <c r="AI714" s="394" t="str">
        <f ca="1">IFERROR(IF(INDEX(MO_Common_QEndDate,0,COLUMN())&gt;TODAY(),FDS(MO.ReportCurrency&amp;HP.TradeCurrency,"FG_PRICE(NOW)"),FDS(MO.ReportCurrency&amp;HP.TradeCurrency,"P_PRICE_AVG("&amp;INDEX(MO_SNA_FPStartDate,0,COLUMN())&amp;","&amp;INDEX(MO_Common_QEndDate,0,COLUMN())&amp;",,,,0)")),"N/A")</f>
        <v>N/A</v>
      </c>
      <c r="AJ714" s="394" t="str">
        <f ca="1">IFERROR(IF(INDEX(MO_Common_QEndDate,0,COLUMN())&gt;TODAY(),FDS(MO.ReportCurrency&amp;HP.TradeCurrency,"FG_PRICE(NOW)"),FDS(MO.ReportCurrency&amp;HP.TradeCurrency,"P_PRICE_AVG("&amp;INDEX(MO_SNA_FPStartDate,0,COLUMN())&amp;","&amp;INDEX(MO_Common_QEndDate,0,COLUMN())&amp;",,,,0)")),"N/A")</f>
        <v>N/A</v>
      </c>
      <c r="AK714" s="394" t="str">
        <f ca="1">IFERROR(IF(INDEX(MO_Common_QEndDate,0,COLUMN())&gt;TODAY(),FDS(MO.ReportCurrency&amp;HP.TradeCurrency,"FG_PRICE(NOW)"),FDS(MO.ReportCurrency&amp;HP.TradeCurrency,"P_PRICE_AVG("&amp;INDEX(MO_SNA_FPStartDate,0,COLUMN())&amp;","&amp;INDEX(MO_Common_QEndDate,0,COLUMN())&amp;",,,,0)")),"N/A")</f>
        <v>N/A</v>
      </c>
      <c r="AL714" s="394" t="str">
        <f ca="1">IFERROR(IF(INDEX(MO_Common_QEndDate,0,COLUMN())&gt;TODAY(),FDS(MO.ReportCurrency&amp;HP.TradeCurrency,"FG_PRICE(NOW)"),FDS(MO.ReportCurrency&amp;HP.TradeCurrency,"P_PRICE_AVG("&amp;INDEX(MO_SNA_FPStartDate,0,COLUMN())&amp;","&amp;INDEX(MO_Common_QEndDate,0,COLUMN())&amp;",,,,0)")),"N/A")</f>
        <v>N/A</v>
      </c>
      <c r="AM714" s="610" t="str">
        <f ca="1">IFERROR(IF(INDEX(MO_Common_QEndDate,0,COLUMN())&gt;TODAY(),FDS(MO.ReportCurrency&amp;HP.TradeCurrency,"FG_PRICE(NOW)"),FDS(MO.ReportCurrency&amp;HP.TradeCurrency,"P_PRICE_AVG("&amp;INDEX(MO_SNA_FPStartDate,0,COLUMN())&amp;","&amp;INDEX(MO_Common_QEndDate,0,COLUMN())&amp;",,,,0)")),"N/A")</f>
        <v>N/A</v>
      </c>
      <c r="AN714" s="341" t="str">
        <f ca="1">IFERROR(IF(INDEX(MO_Common_QEndDate,0,COLUMN())&gt;TODAY(),FDS(MO.ReportCurrency&amp;HP.TradeCurrency,"FG_PRICE(NOW)"),FDS(MO.ReportCurrency&amp;HP.TradeCurrency,"P_PRICE_AVG("&amp;INDEX(MO_SNA_FPStartDate,0,COLUMN())&amp;","&amp;INDEX(MO_Common_QEndDate,0,COLUMN())&amp;",,,,0)")),"N/A")</f>
        <v>N/A</v>
      </c>
      <c r="AO714" s="341" t="str">
        <f ca="1">IFERROR(IF(INDEX(MO_Common_QEndDate,0,COLUMN())&gt;TODAY(),FDS(MO.ReportCurrency&amp;HP.TradeCurrency,"FG_PRICE(NOW)"),FDS(MO.ReportCurrency&amp;HP.TradeCurrency,"P_PRICE_AVG("&amp;INDEX(MO_SNA_FPStartDate,0,COLUMN())&amp;","&amp;INDEX(MO_Common_QEndDate,0,COLUMN())&amp;",,,,0)")),"N/A")</f>
        <v>N/A</v>
      </c>
      <c r="AP714" s="341" t="str">
        <f ca="1">IFERROR(IF(INDEX(MO_Common_QEndDate,0,COLUMN())&gt;TODAY(),FDS(MO.ReportCurrency&amp;HP.TradeCurrency,"FG_PRICE(NOW)"),FDS(MO.ReportCurrency&amp;HP.TradeCurrency,"P_PRICE_AVG("&amp;INDEX(MO_SNA_FPStartDate,0,COLUMN())&amp;","&amp;INDEX(MO_Common_QEndDate,0,COLUMN())&amp;",,,,0)")),"N/A")</f>
        <v>N/A</v>
      </c>
      <c r="AQ714" s="341" t="str">
        <f ca="1">IFERROR(IF(INDEX(MO_Common_QEndDate,0,COLUMN())&gt;TODAY(),FDS(MO.ReportCurrency&amp;HP.TradeCurrency,"FG_PRICE(NOW)"),FDS(MO.ReportCurrency&amp;HP.TradeCurrency,"P_PRICE_AVG("&amp;INDEX(MO_SNA_FPStartDate,0,COLUMN())&amp;","&amp;INDEX(MO_Common_QEndDate,0,COLUMN())&amp;",,,,0)")),"N/A")</f>
        <v>N/A</v>
      </c>
      <c r="AR714" s="341" t="str">
        <f ca="1">IFERROR(IF(INDEX(MO_Common_QEndDate,0,COLUMN())&gt;TODAY(),FDS(MO.ReportCurrency&amp;HP.TradeCurrency,"FG_PRICE(NOW)"),FDS(MO.ReportCurrency&amp;HP.TradeCurrency,"P_PRICE_AVG("&amp;INDEX(MO_SNA_FPStartDate,0,COLUMN())&amp;","&amp;INDEX(MO_Common_QEndDate,0,COLUMN())&amp;",,,,0)")),"N/A")</f>
        <v>N/A</v>
      </c>
      <c r="AS714" s="341" t="str">
        <f ca="1">IFERROR(IF(INDEX(MO_Common_QEndDate,0,COLUMN())&gt;TODAY(),FDS(MO.ReportCurrency&amp;HP.TradeCurrency,"FG_PRICE(NOW)"),FDS(MO.ReportCurrency&amp;HP.TradeCurrency,"P_PRICE_AVG("&amp;INDEX(MO_SNA_FPStartDate,0,COLUMN())&amp;","&amp;INDEX(MO_Common_QEndDate,0,COLUMN())&amp;",,,,0)")),"N/A")</f>
        <v>N/A</v>
      </c>
      <c r="AT714" s="341" t="str">
        <f ca="1">IFERROR(IF(INDEX(MO_Common_QEndDate,0,COLUMN())&gt;TODAY(),FDS(MO.ReportCurrency&amp;HP.TradeCurrency,"FG_PRICE(NOW)"),FDS(MO.ReportCurrency&amp;HP.TradeCurrency,"P_PRICE_AVG("&amp;INDEX(MO_SNA_FPStartDate,0,COLUMN())&amp;","&amp;INDEX(MO_Common_QEndDate,0,COLUMN())&amp;",,,,0)")),"N/A")</f>
        <v>N/A</v>
      </c>
      <c r="AU714" s="341" t="str">
        <f ca="1">IFERROR(IF(INDEX(MO_Common_QEndDate,0,COLUMN())&gt;TODAY(),FDS(MO.ReportCurrency&amp;HP.TradeCurrency,"FG_PRICE(NOW)"),FDS(MO.ReportCurrency&amp;HP.TradeCurrency,"P_PRICE_AVG("&amp;INDEX(MO_SNA_FPStartDate,0,COLUMN())&amp;","&amp;INDEX(MO_Common_QEndDate,0,COLUMN())&amp;",,,,0)")),"N/A")</f>
        <v>N/A</v>
      </c>
      <c r="AV714" s="341" t="str">
        <f ca="1">IFERROR(IF(INDEX(MO_Common_QEndDate,0,COLUMN())&gt;TODAY(),FDS(MO.ReportCurrency&amp;HP.TradeCurrency,"FG_PRICE(NOW)"),FDS(MO.ReportCurrency&amp;HP.TradeCurrency,"P_PRICE_AVG("&amp;INDEX(MO_SNA_FPStartDate,0,COLUMN())&amp;","&amp;INDEX(MO_Common_QEndDate,0,COLUMN())&amp;",,,,0)")),"N/A")</f>
        <v>N/A</v>
      </c>
      <c r="AW714" s="342" t="str">
        <f ca="1">IFERROR(IF(INDEX(MO_Common_QEndDate,0,COLUMN())&gt;TODAY(),FDS(MO.ReportCurrency&amp;HP.TradeCurrency,"FG_PRICE(NOW)"),FDS(MO.ReportCurrency&amp;HP.TradeCurrency,"P_PRICE_AVG("&amp;INDEX(MO_SNA_FPStartDate,0,COLUMN())&amp;","&amp;INDEX(MO_Common_QEndDate,0,COLUMN())&amp;",,,,0)")),"N/A")</f>
        <v>N/A</v>
      </c>
      <c r="AX714" s="516"/>
    </row>
    <row r="715" spans="1:50" s="344" customFormat="1" hidden="1" outlineLevel="1" x14ac:dyDescent="0.45">
      <c r="A715" s="345" t="s">
        <v>240</v>
      </c>
      <c r="B715" s="341"/>
      <c r="C715" s="558" t="str">
        <f t="shared" ref="C715:AW715" si="760">"N/A"</f>
        <v>N/A</v>
      </c>
      <c r="D715" s="558" t="str">
        <f t="shared" si="760"/>
        <v>N/A</v>
      </c>
      <c r="E715" s="394" t="str">
        <f t="shared" si="760"/>
        <v>N/A</v>
      </c>
      <c r="F715" s="394" t="str">
        <f t="shared" si="760"/>
        <v>N/A</v>
      </c>
      <c r="G715" s="394" t="str">
        <f t="shared" si="760"/>
        <v>N/A</v>
      </c>
      <c r="H715" s="394" t="str">
        <f t="shared" si="760"/>
        <v>N/A</v>
      </c>
      <c r="I715" s="394" t="str">
        <f t="shared" si="760"/>
        <v>N/A</v>
      </c>
      <c r="J715" s="394" t="str">
        <f t="shared" si="760"/>
        <v>N/A</v>
      </c>
      <c r="K715" s="394" t="str">
        <f t="shared" si="760"/>
        <v>N/A</v>
      </c>
      <c r="L715" s="394" t="str">
        <f t="shared" si="760"/>
        <v>N/A</v>
      </c>
      <c r="M715" s="394" t="str">
        <f t="shared" si="760"/>
        <v>N/A</v>
      </c>
      <c r="N715" s="394" t="str">
        <f t="shared" si="760"/>
        <v>N/A</v>
      </c>
      <c r="O715" s="394" t="str">
        <f t="shared" si="760"/>
        <v>N/A</v>
      </c>
      <c r="P715" s="394" t="str">
        <f t="shared" si="760"/>
        <v>N/A</v>
      </c>
      <c r="Q715" s="394" t="str">
        <f t="shared" si="760"/>
        <v>N/A</v>
      </c>
      <c r="R715" s="394" t="str">
        <f t="shared" si="760"/>
        <v>N/A</v>
      </c>
      <c r="S715" s="394" t="str">
        <f t="shared" si="760"/>
        <v>N/A</v>
      </c>
      <c r="T715" s="394" t="str">
        <f t="shared" si="760"/>
        <v>N/A</v>
      </c>
      <c r="U715" s="394" t="str">
        <f t="shared" si="760"/>
        <v>N/A</v>
      </c>
      <c r="V715" s="394" t="str">
        <f t="shared" si="760"/>
        <v>N/A</v>
      </c>
      <c r="W715" s="394" t="str">
        <f t="shared" si="760"/>
        <v>N/A</v>
      </c>
      <c r="X715" s="394" t="str">
        <f t="shared" si="760"/>
        <v>N/A</v>
      </c>
      <c r="Y715" s="394" t="str">
        <f t="shared" si="760"/>
        <v>N/A</v>
      </c>
      <c r="Z715" s="394" t="str">
        <f t="shared" si="760"/>
        <v>N/A</v>
      </c>
      <c r="AA715" s="394" t="str">
        <f t="shared" si="760"/>
        <v>N/A</v>
      </c>
      <c r="AB715" s="394" t="str">
        <f t="shared" si="760"/>
        <v>N/A</v>
      </c>
      <c r="AC715" s="394" t="str">
        <f t="shared" si="760"/>
        <v>N/A</v>
      </c>
      <c r="AD715" s="394" t="str">
        <f t="shared" si="760"/>
        <v>N/A</v>
      </c>
      <c r="AE715" s="394" t="str">
        <f t="shared" si="760"/>
        <v>N/A</v>
      </c>
      <c r="AF715" s="394" t="str">
        <f t="shared" si="760"/>
        <v>N/A</v>
      </c>
      <c r="AG715" s="394" t="str">
        <f t="shared" si="760"/>
        <v>N/A</v>
      </c>
      <c r="AH715" s="394" t="str">
        <f t="shared" si="760"/>
        <v>N/A</v>
      </c>
      <c r="AI715" s="394" t="str">
        <f t="shared" si="760"/>
        <v>N/A</v>
      </c>
      <c r="AJ715" s="394" t="str">
        <f t="shared" si="760"/>
        <v>N/A</v>
      </c>
      <c r="AK715" s="394" t="str">
        <f t="shared" si="760"/>
        <v>N/A</v>
      </c>
      <c r="AL715" s="394" t="str">
        <f t="shared" si="760"/>
        <v>N/A</v>
      </c>
      <c r="AM715" s="610" t="str">
        <f t="shared" si="760"/>
        <v>N/A</v>
      </c>
      <c r="AN715" s="341" t="str">
        <f t="shared" si="760"/>
        <v>N/A</v>
      </c>
      <c r="AO715" s="341" t="str">
        <f t="shared" si="760"/>
        <v>N/A</v>
      </c>
      <c r="AP715" s="341" t="str">
        <f t="shared" si="760"/>
        <v>N/A</v>
      </c>
      <c r="AQ715" s="341" t="str">
        <f t="shared" si="760"/>
        <v>N/A</v>
      </c>
      <c r="AR715" s="341" t="str">
        <f t="shared" si="760"/>
        <v>N/A</v>
      </c>
      <c r="AS715" s="341" t="str">
        <f t="shared" si="760"/>
        <v>N/A</v>
      </c>
      <c r="AT715" s="341" t="str">
        <f t="shared" si="760"/>
        <v>N/A</v>
      </c>
      <c r="AU715" s="341" t="str">
        <f t="shared" si="760"/>
        <v>N/A</v>
      </c>
      <c r="AV715" s="341" t="str">
        <f t="shared" si="760"/>
        <v>N/A</v>
      </c>
      <c r="AW715" s="342" t="str">
        <f t="shared" si="760"/>
        <v>N/A</v>
      </c>
      <c r="AX715" s="516"/>
    </row>
    <row r="716" spans="1:50" s="3" customFormat="1" collapsed="1" x14ac:dyDescent="0.45">
      <c r="A716" s="292"/>
      <c r="B716" s="800"/>
      <c r="C716" s="288"/>
      <c r="D716" s="288"/>
      <c r="E716" s="800"/>
      <c r="F716" s="800"/>
      <c r="G716" s="800"/>
      <c r="H716" s="800"/>
      <c r="I716" s="800"/>
      <c r="J716" s="800"/>
      <c r="K716" s="800"/>
      <c r="L716" s="800"/>
      <c r="M716" s="800"/>
      <c r="N716" s="800"/>
      <c r="O716" s="800"/>
      <c r="P716" s="800"/>
      <c r="Q716" s="800"/>
      <c r="R716" s="800"/>
      <c r="S716" s="800"/>
      <c r="T716" s="800"/>
      <c r="U716" s="800"/>
      <c r="V716" s="800"/>
      <c r="W716" s="800"/>
      <c r="X716" s="800"/>
      <c r="Y716" s="800"/>
      <c r="Z716" s="800"/>
      <c r="AA716" s="800"/>
      <c r="AB716" s="800"/>
      <c r="AC716" s="800"/>
      <c r="AD716" s="800"/>
      <c r="AE716" s="800"/>
      <c r="AF716" s="800"/>
      <c r="AG716" s="800"/>
      <c r="AH716" s="800"/>
      <c r="AI716" s="800"/>
      <c r="AJ716" s="800"/>
      <c r="AK716" s="800"/>
      <c r="AL716" s="800"/>
      <c r="AM716" s="611"/>
      <c r="AN716" s="800"/>
      <c r="AO716" s="800"/>
      <c r="AP716" s="800"/>
      <c r="AQ716" s="800"/>
      <c r="AR716" s="800"/>
      <c r="AS716" s="800"/>
      <c r="AT716" s="800"/>
      <c r="AU716" s="800"/>
      <c r="AV716" s="800"/>
      <c r="AW716" s="290"/>
      <c r="AX716" s="512"/>
    </row>
    <row r="717" spans="1:50" s="3" customFormat="1" x14ac:dyDescent="0.45">
      <c r="A717" s="508"/>
      <c r="B717" s="517"/>
      <c r="C717" s="518"/>
      <c r="D717" s="518"/>
      <c r="E717" s="308"/>
      <c r="F717" s="308"/>
      <c r="G717" s="308"/>
      <c r="H717" s="308"/>
      <c r="I717" s="308"/>
      <c r="J717" s="308"/>
      <c r="K717" s="308"/>
      <c r="L717" s="308"/>
      <c r="M717" s="308"/>
      <c r="N717" s="308"/>
      <c r="O717" s="308"/>
      <c r="P717" s="308"/>
      <c r="Q717" s="308"/>
      <c r="R717" s="308"/>
      <c r="S717" s="308"/>
      <c r="T717" s="308"/>
      <c r="U717" s="308"/>
      <c r="V717" s="308"/>
      <c r="W717" s="308"/>
      <c r="X717" s="308"/>
      <c r="Y717" s="519"/>
      <c r="Z717" s="519"/>
      <c r="AA717" s="519"/>
      <c r="AB717" s="308"/>
      <c r="AC717" s="308"/>
      <c r="AD717" s="519"/>
      <c r="AE717" s="519"/>
      <c r="AF717" s="308"/>
      <c r="AG717" s="308"/>
      <c r="AH717" s="308"/>
      <c r="AI717" s="519"/>
      <c r="AJ717" s="519"/>
      <c r="AK717" s="308"/>
      <c r="AL717" s="308"/>
      <c r="AM717" s="607"/>
      <c r="AN717" s="308"/>
      <c r="AO717" s="519"/>
      <c r="AP717" s="308"/>
      <c r="AQ717" s="308"/>
      <c r="AR717" s="308"/>
      <c r="AS717" s="308"/>
      <c r="AT717" s="519"/>
      <c r="AU717" s="308"/>
      <c r="AV717" s="308"/>
      <c r="AW717" s="308"/>
      <c r="AX717" s="287"/>
    </row>
    <row r="718" spans="1:50" s="3" customFormat="1" x14ac:dyDescent="0.45">
      <c r="A718" s="305" t="s">
        <v>241</v>
      </c>
      <c r="B718" s="308"/>
      <c r="C718" s="395"/>
      <c r="D718" s="395"/>
      <c r="E718" s="395"/>
      <c r="F718" s="395"/>
      <c r="G718" s="395"/>
      <c r="H718" s="395"/>
      <c r="I718" s="395"/>
      <c r="J718" s="395"/>
      <c r="K718" s="395"/>
      <c r="L718" s="395"/>
      <c r="M718" s="395"/>
      <c r="N718" s="395"/>
      <c r="O718" s="395"/>
      <c r="P718" s="395"/>
      <c r="Q718" s="395"/>
      <c r="R718" s="395"/>
      <c r="S718" s="395"/>
      <c r="T718" s="395"/>
      <c r="U718" s="395"/>
      <c r="V718" s="395"/>
      <c r="W718" s="395"/>
      <c r="X718" s="395"/>
      <c r="Y718" s="792"/>
      <c r="Z718" s="792"/>
      <c r="AA718" s="792"/>
      <c r="AB718" s="395"/>
      <c r="AC718" s="395"/>
      <c r="AD718" s="792"/>
      <c r="AE718" s="792"/>
      <c r="AF718" s="395"/>
      <c r="AG718" s="395"/>
      <c r="AH718" s="395"/>
      <c r="AI718" s="792"/>
      <c r="AJ718" s="792"/>
      <c r="AK718" s="395"/>
      <c r="AL718" s="395"/>
      <c r="AM718" s="803"/>
      <c r="AN718" s="287"/>
      <c r="AO718" s="793"/>
      <c r="AP718" s="287"/>
      <c r="AQ718" s="287"/>
      <c r="AR718" s="287"/>
      <c r="AS718" s="287"/>
      <c r="AT718" s="793"/>
      <c r="AU718" s="287"/>
      <c r="AV718" s="287"/>
      <c r="AW718" s="287"/>
      <c r="AX718" s="287"/>
    </row>
    <row r="719" spans="1:50" s="306" customFormat="1" x14ac:dyDescent="0.45">
      <c r="A719" s="309" t="s">
        <v>242</v>
      </c>
      <c r="B719" s="310">
        <f>FP.LastPrice</f>
        <v>10.1</v>
      </c>
      <c r="C719" s="396"/>
      <c r="D719" s="396"/>
      <c r="E719" s="396"/>
      <c r="F719" s="396"/>
      <c r="G719" s="396"/>
      <c r="H719" s="396"/>
      <c r="I719" s="396"/>
      <c r="J719" s="396"/>
      <c r="K719" s="396"/>
      <c r="L719" s="396"/>
      <c r="M719" s="396"/>
      <c r="N719" s="396"/>
      <c r="O719" s="396"/>
      <c r="P719" s="396"/>
      <c r="Q719" s="396"/>
      <c r="R719" s="396"/>
      <c r="S719" s="396"/>
      <c r="T719" s="396"/>
      <c r="U719" s="396"/>
      <c r="V719" s="396"/>
      <c r="W719" s="396"/>
      <c r="X719" s="396"/>
      <c r="Y719" s="424"/>
      <c r="Z719" s="424"/>
      <c r="AA719" s="424"/>
      <c r="AB719" s="396"/>
      <c r="AC719" s="396"/>
      <c r="AD719" s="424"/>
      <c r="AE719" s="424"/>
      <c r="AF719" s="396"/>
      <c r="AG719" s="396"/>
      <c r="AH719" s="396"/>
      <c r="AI719" s="424"/>
      <c r="AJ719" s="424"/>
      <c r="AK719" s="396"/>
      <c r="AL719" s="396"/>
      <c r="AM719" s="609"/>
      <c r="AN719" s="311"/>
      <c r="AO719" s="312"/>
      <c r="AP719" s="311"/>
      <c r="AQ719" s="311"/>
      <c r="AR719" s="311"/>
      <c r="AS719" s="311"/>
      <c r="AT719" s="312"/>
      <c r="AU719" s="311"/>
      <c r="AV719" s="311"/>
      <c r="AW719" s="311"/>
      <c r="AX719" s="311"/>
    </row>
    <row r="720" spans="1:50" x14ac:dyDescent="0.45">
      <c r="A720" s="313" t="s">
        <v>243</v>
      </c>
      <c r="B720" s="314">
        <f>FP.LastPriceDate</f>
        <v>43937</v>
      </c>
      <c r="C720" s="397"/>
      <c r="D720" s="397"/>
      <c r="E720" s="397"/>
      <c r="F720" s="397"/>
      <c r="G720" s="397"/>
      <c r="H720" s="397"/>
      <c r="I720" s="397"/>
      <c r="J720" s="397"/>
      <c r="K720" s="397"/>
      <c r="L720" s="397"/>
      <c r="M720" s="397"/>
      <c r="N720" s="397"/>
      <c r="O720" s="397"/>
      <c r="P720" s="397"/>
      <c r="Q720" s="397"/>
      <c r="R720" s="397"/>
      <c r="S720" s="397"/>
      <c r="T720" s="397"/>
      <c r="U720" s="397"/>
      <c r="V720" s="397"/>
      <c r="W720" s="397"/>
      <c r="X720" s="397"/>
      <c r="Y720" s="383"/>
      <c r="Z720" s="383"/>
      <c r="AA720" s="383"/>
      <c r="AB720" s="397"/>
      <c r="AC720" s="397"/>
      <c r="AD720" s="383"/>
      <c r="AE720" s="383"/>
      <c r="AF720" s="397"/>
      <c r="AG720" s="397"/>
      <c r="AH720" s="397"/>
      <c r="AI720" s="383"/>
      <c r="AJ720" s="383"/>
      <c r="AK720" s="397"/>
      <c r="AL720" s="397"/>
      <c r="AM720" s="612"/>
      <c r="AN720" s="315"/>
      <c r="AO720" s="224"/>
      <c r="AP720" s="315"/>
      <c r="AQ720" s="315"/>
      <c r="AR720" s="315"/>
      <c r="AS720" s="315"/>
      <c r="AT720" s="224"/>
      <c r="AU720" s="315"/>
      <c r="AV720" s="315"/>
      <c r="AW720" s="315"/>
      <c r="AX720" s="315"/>
    </row>
    <row r="721" spans="1:50" x14ac:dyDescent="0.45">
      <c r="A721" s="313" t="s">
        <v>244</v>
      </c>
      <c r="B721" s="315" t="b">
        <f>IF(FP.RealTimeToggle="ON",TRUE,FALSE)</f>
        <v>1</v>
      </c>
      <c r="C721" s="397"/>
      <c r="D721" s="397"/>
      <c r="E721" s="397"/>
      <c r="F721" s="397"/>
      <c r="G721" s="397"/>
      <c r="H721" s="397"/>
      <c r="I721" s="397"/>
      <c r="J721" s="397"/>
      <c r="K721" s="397"/>
      <c r="L721" s="397"/>
      <c r="M721" s="397"/>
      <c r="N721" s="397"/>
      <c r="O721" s="397"/>
      <c r="P721" s="397"/>
      <c r="Q721" s="397"/>
      <c r="R721" s="397"/>
      <c r="S721" s="397"/>
      <c r="T721" s="397"/>
      <c r="U721" s="397"/>
      <c r="V721" s="397"/>
      <c r="W721" s="397"/>
      <c r="X721" s="397"/>
      <c r="Y721" s="383"/>
      <c r="Z721" s="383"/>
      <c r="AA721" s="383"/>
      <c r="AB721" s="397"/>
      <c r="AC721" s="397"/>
      <c r="AD721" s="383"/>
      <c r="AE721" s="383"/>
      <c r="AF721" s="397"/>
      <c r="AG721" s="397"/>
      <c r="AH721" s="397"/>
      <c r="AI721" s="383"/>
      <c r="AJ721" s="383"/>
      <c r="AK721" s="397"/>
      <c r="AL721" s="397"/>
      <c r="AM721" s="612"/>
      <c r="AN721" s="315"/>
      <c r="AO721" s="224"/>
      <c r="AP721" s="315"/>
      <c r="AQ721" s="315"/>
      <c r="AR721" s="315"/>
      <c r="AS721" s="315"/>
      <c r="AT721" s="224"/>
      <c r="AU721" s="315"/>
      <c r="AV721" s="315"/>
      <c r="AW721" s="315"/>
      <c r="AX721" s="315"/>
    </row>
    <row r="722" spans="1:50" s="306" customFormat="1" x14ac:dyDescent="0.45">
      <c r="A722" s="309" t="s">
        <v>245</v>
      </c>
      <c r="B722" s="311" t="str">
        <f ca="1">IFERROR(CHOOSE(MO.DataSourceIndex,BDP(MO.Ticker.Bloomberg&amp;" EQUITY","LAST_PRICE"),CIQ(MO.Ticker.CapIQ,"IQ_LASTSALEPRICE"),FDS(MO.Ticker.FactSet,"FG_PRICE(NOW)"),_xll.TR(MO.Ticker.Thomson,"TRDPRC_1")),"N/A")</f>
        <v>N/A</v>
      </c>
      <c r="C722" s="396"/>
      <c r="D722" s="396"/>
      <c r="E722" s="396"/>
      <c r="F722" s="396"/>
      <c r="G722" s="396"/>
      <c r="H722" s="396"/>
      <c r="I722" s="396"/>
      <c r="J722" s="396"/>
      <c r="K722" s="396"/>
      <c r="L722" s="396"/>
      <c r="M722" s="396"/>
      <c r="N722" s="396"/>
      <c r="O722" s="396"/>
      <c r="P722" s="396"/>
      <c r="Q722" s="396"/>
      <c r="R722" s="396"/>
      <c r="S722" s="396"/>
      <c r="T722" s="396"/>
      <c r="U722" s="396"/>
      <c r="V722" s="396"/>
      <c r="W722" s="396"/>
      <c r="X722" s="396"/>
      <c r="Y722" s="424"/>
      <c r="Z722" s="424"/>
      <c r="AA722" s="424"/>
      <c r="AB722" s="396"/>
      <c r="AC722" s="396"/>
      <c r="AD722" s="424"/>
      <c r="AE722" s="424"/>
      <c r="AF722" s="396"/>
      <c r="AG722" s="396"/>
      <c r="AH722" s="396"/>
      <c r="AI722" s="424"/>
      <c r="AJ722" s="424"/>
      <c r="AK722" s="396"/>
      <c r="AL722" s="396"/>
      <c r="AM722" s="609"/>
      <c r="AN722" s="311"/>
      <c r="AO722" s="312"/>
      <c r="AP722" s="311"/>
      <c r="AQ722" s="311"/>
      <c r="AR722" s="311"/>
      <c r="AS722" s="311"/>
      <c r="AT722" s="312"/>
      <c r="AU722" s="311"/>
      <c r="AV722" s="311"/>
      <c r="AW722" s="311"/>
      <c r="AX722" s="311"/>
    </row>
    <row r="723" spans="1:50" s="306" customFormat="1" x14ac:dyDescent="0.45">
      <c r="A723" s="309" t="s">
        <v>246</v>
      </c>
      <c r="B723" s="311" t="str">
        <f ca="1">IFERROR(CHOOSE(MO.DataSourceIndex,BDP(HP.Ticker&amp;" Equity","CRNCY"),CIQ(HP.Ticker,"IQ_TRADING_CURRENCY"),FDS(HP.Ticker,"P_CURRENCY(""ISO"")"),_xll.TR(HP.Ticker,"Currency")),HP.TradeCurrency.HardCoded)</f>
        <v>USD</v>
      </c>
      <c r="C723" s="396"/>
      <c r="D723" s="396"/>
      <c r="E723" s="396"/>
      <c r="F723" s="396"/>
      <c r="G723" s="396"/>
      <c r="H723" s="396"/>
      <c r="I723" s="396"/>
      <c r="J723" s="396"/>
      <c r="K723" s="396"/>
      <c r="L723" s="396"/>
      <c r="M723" s="396"/>
      <c r="N723" s="396"/>
      <c r="O723" s="396"/>
      <c r="P723" s="396"/>
      <c r="Q723" s="396"/>
      <c r="R723" s="396"/>
      <c r="S723" s="396"/>
      <c r="T723" s="396"/>
      <c r="U723" s="396"/>
      <c r="V723" s="396"/>
      <c r="W723" s="396"/>
      <c r="X723" s="396"/>
      <c r="Y723" s="424"/>
      <c r="Z723" s="424"/>
      <c r="AA723" s="424"/>
      <c r="AB723" s="396"/>
      <c r="AC723" s="396"/>
      <c r="AD723" s="424"/>
      <c r="AE723" s="424"/>
      <c r="AF723" s="396"/>
      <c r="AG723" s="396"/>
      <c r="AH723" s="396"/>
      <c r="AI723" s="424"/>
      <c r="AJ723" s="424"/>
      <c r="AK723" s="396"/>
      <c r="AL723" s="396"/>
      <c r="AM723" s="609"/>
      <c r="AN723" s="311"/>
      <c r="AO723" s="312"/>
      <c r="AP723" s="311"/>
      <c r="AQ723" s="311"/>
      <c r="AR723" s="311"/>
      <c r="AS723" s="311"/>
      <c r="AT723" s="312"/>
      <c r="AU723" s="311"/>
      <c r="AV723" s="311"/>
      <c r="AW723" s="311"/>
      <c r="AX723" s="311"/>
    </row>
    <row r="724" spans="1:50" s="306" customFormat="1" x14ac:dyDescent="0.45">
      <c r="A724" s="309" t="s">
        <v>247</v>
      </c>
      <c r="B724" s="311" t="s">
        <v>11</v>
      </c>
      <c r="C724" s="396"/>
      <c r="D724" s="396"/>
      <c r="E724" s="396"/>
      <c r="F724" s="396"/>
      <c r="G724" s="396"/>
      <c r="H724" s="396"/>
      <c r="I724" s="396"/>
      <c r="J724" s="396"/>
      <c r="K724" s="396"/>
      <c r="L724" s="396"/>
      <c r="M724" s="396"/>
      <c r="N724" s="396"/>
      <c r="O724" s="396"/>
      <c r="P724" s="396"/>
      <c r="Q724" s="396"/>
      <c r="R724" s="396"/>
      <c r="S724" s="396"/>
      <c r="T724" s="396"/>
      <c r="U724" s="396"/>
      <c r="V724" s="396"/>
      <c r="W724" s="396"/>
      <c r="X724" s="396"/>
      <c r="Y724" s="424"/>
      <c r="Z724" s="424"/>
      <c r="AA724" s="424"/>
      <c r="AB724" s="396"/>
      <c r="AC724" s="396"/>
      <c r="AD724" s="424"/>
      <c r="AE724" s="424"/>
      <c r="AF724" s="396"/>
      <c r="AG724" s="396"/>
      <c r="AH724" s="396"/>
      <c r="AI724" s="424"/>
      <c r="AJ724" s="424"/>
      <c r="AK724" s="396"/>
      <c r="AL724" s="396"/>
      <c r="AM724" s="609"/>
      <c r="AN724" s="311"/>
      <c r="AO724" s="312"/>
      <c r="AP724" s="311"/>
      <c r="AQ724" s="311"/>
      <c r="AR724" s="311"/>
      <c r="AS724" s="311"/>
      <c r="AT724" s="312"/>
      <c r="AU724" s="311"/>
      <c r="AV724" s="311"/>
      <c r="AW724" s="311"/>
      <c r="AX724" s="311"/>
    </row>
    <row r="725" spans="1:50" s="306" customFormat="1" x14ac:dyDescent="0.45">
      <c r="A725" s="309" t="s">
        <v>248</v>
      </c>
      <c r="B725" s="311" t="s">
        <v>11</v>
      </c>
      <c r="C725" s="396"/>
      <c r="D725" s="396"/>
      <c r="E725" s="396"/>
      <c r="F725" s="396"/>
      <c r="G725" s="396"/>
      <c r="H725" s="396"/>
      <c r="I725" s="396"/>
      <c r="J725" s="396"/>
      <c r="K725" s="396"/>
      <c r="L725" s="396"/>
      <c r="M725" s="396"/>
      <c r="N725" s="396"/>
      <c r="O725" s="396"/>
      <c r="P725" s="396"/>
      <c r="Q725" s="396"/>
      <c r="R725" s="396"/>
      <c r="S725" s="396"/>
      <c r="T725" s="396"/>
      <c r="U725" s="396"/>
      <c r="V725" s="396"/>
      <c r="W725" s="396"/>
      <c r="X725" s="396"/>
      <c r="Y725" s="424"/>
      <c r="Z725" s="424"/>
      <c r="AA725" s="424"/>
      <c r="AB725" s="396"/>
      <c r="AC725" s="396"/>
      <c r="AD725" s="424"/>
      <c r="AE725" s="424"/>
      <c r="AF725" s="396"/>
      <c r="AG725" s="396"/>
      <c r="AH725" s="396"/>
      <c r="AI725" s="424"/>
      <c r="AJ725" s="424"/>
      <c r="AK725" s="396"/>
      <c r="AL725" s="396"/>
      <c r="AM725" s="609"/>
      <c r="AN725" s="311"/>
      <c r="AO725" s="312"/>
      <c r="AP725" s="311"/>
      <c r="AQ725" s="311"/>
      <c r="AR725" s="311"/>
      <c r="AS725" s="311"/>
      <c r="AT725" s="312"/>
      <c r="AU725" s="311"/>
      <c r="AV725" s="311"/>
      <c r="AW725" s="311"/>
      <c r="AX725" s="311"/>
    </row>
    <row r="726" spans="1:50" s="306" customFormat="1" x14ac:dyDescent="0.45">
      <c r="A726" s="309" t="s">
        <v>249</v>
      </c>
      <c r="B726" s="326">
        <f ca="1">IF(EXACT(MO.ReportFX,HP.TradeCurrency),1,IF(OR(INDEX(MO_SPT_FXAverage,1,MO.MRFPColumnNumber+1)="N/A",ISERROR(INDEX(MO_SPT_FXAverage,1,MO.MRFPColumnNumber+1))),MO.MRFX.Hardcoded,INDEX(MO_SPT_FXAverage,1,MO.MRFPColumnNumber+1)))</f>
        <v>1</v>
      </c>
      <c r="C726" s="396"/>
      <c r="D726" s="396"/>
      <c r="E726" s="396"/>
      <c r="F726" s="396"/>
      <c r="G726" s="396"/>
      <c r="H726" s="396"/>
      <c r="I726" s="396"/>
      <c r="J726" s="396"/>
      <c r="K726" s="396"/>
      <c r="L726" s="396"/>
      <c r="M726" s="396"/>
      <c r="N726" s="396"/>
      <c r="O726" s="396"/>
      <c r="P726" s="396"/>
      <c r="Q726" s="396"/>
      <c r="R726" s="396"/>
      <c r="S726" s="396"/>
      <c r="T726" s="396"/>
      <c r="U726" s="396"/>
      <c r="V726" s="396"/>
      <c r="W726" s="396"/>
      <c r="X726" s="396"/>
      <c r="Y726" s="424"/>
      <c r="Z726" s="424"/>
      <c r="AA726" s="424"/>
      <c r="AB726" s="396"/>
      <c r="AC726" s="396"/>
      <c r="AD726" s="424"/>
      <c r="AE726" s="424"/>
      <c r="AF726" s="396"/>
      <c r="AG726" s="396"/>
      <c r="AH726" s="396"/>
      <c r="AI726" s="424"/>
      <c r="AJ726" s="424"/>
      <c r="AK726" s="396"/>
      <c r="AL726" s="396"/>
      <c r="AM726" s="609"/>
      <c r="AN726" s="311"/>
      <c r="AO726" s="312"/>
      <c r="AP726" s="311"/>
      <c r="AQ726" s="311"/>
      <c r="AR726" s="311"/>
      <c r="AS726" s="311"/>
      <c r="AT726" s="312"/>
      <c r="AU726" s="311"/>
      <c r="AV726" s="311"/>
      <c r="AW726" s="311"/>
      <c r="AX726" s="311"/>
    </row>
    <row r="727" spans="1:50" s="306" customFormat="1" x14ac:dyDescent="0.45">
      <c r="A727" s="309" t="s">
        <v>250</v>
      </c>
      <c r="B727" s="327">
        <v>1</v>
      </c>
      <c r="C727" s="396"/>
      <c r="D727" s="396"/>
      <c r="E727" s="396"/>
      <c r="F727" s="396"/>
      <c r="G727" s="396"/>
      <c r="H727" s="396"/>
      <c r="I727" s="396"/>
      <c r="J727" s="396"/>
      <c r="K727" s="396"/>
      <c r="L727" s="396"/>
      <c r="M727" s="396"/>
      <c r="N727" s="396"/>
      <c r="O727" s="396"/>
      <c r="P727" s="396"/>
      <c r="Q727" s="396"/>
      <c r="R727" s="396"/>
      <c r="S727" s="396"/>
      <c r="T727" s="396"/>
      <c r="U727" s="396"/>
      <c r="V727" s="396"/>
      <c r="W727" s="396"/>
      <c r="X727" s="396"/>
      <c r="Y727" s="424"/>
      <c r="Z727" s="424"/>
      <c r="AA727" s="424"/>
      <c r="AB727" s="396"/>
      <c r="AC727" s="396"/>
      <c r="AD727" s="424"/>
      <c r="AE727" s="424"/>
      <c r="AF727" s="396"/>
      <c r="AG727" s="396"/>
      <c r="AH727" s="396"/>
      <c r="AI727" s="424"/>
      <c r="AJ727" s="424"/>
      <c r="AK727" s="396"/>
      <c r="AL727" s="396"/>
      <c r="AM727" s="609"/>
      <c r="AN727" s="311"/>
      <c r="AO727" s="312"/>
      <c r="AP727" s="311"/>
      <c r="AQ727" s="311"/>
      <c r="AR727" s="311"/>
      <c r="AS727" s="311"/>
      <c r="AT727" s="312"/>
      <c r="AU727" s="311"/>
      <c r="AV727" s="311"/>
      <c r="AW727" s="311"/>
      <c r="AX727" s="311"/>
    </row>
    <row r="728" spans="1:50" s="307" customFormat="1" x14ac:dyDescent="0.45">
      <c r="A728" s="316" t="s">
        <v>251</v>
      </c>
      <c r="B728" s="317">
        <f>MATCH(MO.MRFP,MO_Common_ColumnHeader,0)</f>
        <v>39</v>
      </c>
      <c r="C728" s="398"/>
      <c r="D728" s="398"/>
      <c r="E728" s="398"/>
      <c r="F728" s="398"/>
      <c r="G728" s="398"/>
      <c r="H728" s="398"/>
      <c r="I728" s="398"/>
      <c r="J728" s="398"/>
      <c r="K728" s="398"/>
      <c r="L728" s="398"/>
      <c r="M728" s="398"/>
      <c r="N728" s="398"/>
      <c r="O728" s="398"/>
      <c r="P728" s="398"/>
      <c r="Q728" s="398"/>
      <c r="R728" s="398"/>
      <c r="S728" s="398"/>
      <c r="T728" s="398"/>
      <c r="U728" s="398"/>
      <c r="V728" s="398"/>
      <c r="W728" s="398"/>
      <c r="X728" s="398"/>
      <c r="Y728" s="390"/>
      <c r="Z728" s="390"/>
      <c r="AA728" s="390"/>
      <c r="AB728" s="398"/>
      <c r="AC728" s="398"/>
      <c r="AD728" s="390"/>
      <c r="AE728" s="390"/>
      <c r="AF728" s="398"/>
      <c r="AG728" s="398"/>
      <c r="AH728" s="398"/>
      <c r="AI728" s="390"/>
      <c r="AJ728" s="390"/>
      <c r="AK728" s="398"/>
      <c r="AL728" s="398"/>
      <c r="AM728" s="560"/>
      <c r="AN728" s="317"/>
      <c r="AO728" s="72"/>
      <c r="AP728" s="317"/>
      <c r="AQ728" s="317"/>
      <c r="AR728" s="317"/>
      <c r="AS728" s="317"/>
      <c r="AT728" s="72"/>
      <c r="AU728" s="317"/>
      <c r="AV728" s="317"/>
      <c r="AW728" s="317"/>
      <c r="AX728" s="317"/>
    </row>
    <row r="729" spans="1:50" s="307" customFormat="1" x14ac:dyDescent="0.45">
      <c r="A729" s="316" t="s">
        <v>252</v>
      </c>
      <c r="B729" s="317" t="s">
        <v>374</v>
      </c>
      <c r="C729" s="398"/>
      <c r="D729" s="398"/>
      <c r="E729" s="398"/>
      <c r="F729" s="398"/>
      <c r="G729" s="398"/>
      <c r="H729" s="398"/>
      <c r="I729" s="398"/>
      <c r="J729" s="398"/>
      <c r="K729" s="398"/>
      <c r="L729" s="398"/>
      <c r="M729" s="398"/>
      <c r="N729" s="398"/>
      <c r="O729" s="398"/>
      <c r="P729" s="398"/>
      <c r="Q729" s="398"/>
      <c r="R729" s="398"/>
      <c r="S729" s="398"/>
      <c r="T729" s="398"/>
      <c r="U729" s="398"/>
      <c r="V729" s="398"/>
      <c r="W729" s="398"/>
      <c r="X729" s="398"/>
      <c r="Y729" s="390"/>
      <c r="Z729" s="390"/>
      <c r="AA729" s="390"/>
      <c r="AB729" s="398"/>
      <c r="AC729" s="398"/>
      <c r="AD729" s="390"/>
      <c r="AE729" s="390"/>
      <c r="AF729" s="398"/>
      <c r="AG729" s="398"/>
      <c r="AH729" s="398"/>
      <c r="AI729" s="390"/>
      <c r="AJ729" s="390"/>
      <c r="AK729" s="398"/>
      <c r="AL729" s="398"/>
      <c r="AM729" s="560"/>
      <c r="AN729" s="317"/>
      <c r="AO729" s="72"/>
      <c r="AP729" s="317"/>
      <c r="AQ729" s="317"/>
      <c r="AR729" s="317"/>
      <c r="AS729" s="317"/>
      <c r="AT729" s="72"/>
      <c r="AU729" s="317"/>
      <c r="AV729" s="317"/>
      <c r="AW729" s="317"/>
      <c r="AX729" s="317"/>
    </row>
    <row r="730" spans="1:50" s="307" customFormat="1" x14ac:dyDescent="0.45">
      <c r="A730" s="316" t="s">
        <v>253</v>
      </c>
      <c r="B730" s="317" t="str">
        <f>"FY"&amp;RIGHT(MO.MRFP,4)</f>
        <v>FY2020</v>
      </c>
      <c r="C730" s="398"/>
      <c r="D730" s="398"/>
      <c r="E730" s="398"/>
      <c r="F730" s="398"/>
      <c r="G730" s="398"/>
      <c r="H730" s="398"/>
      <c r="I730" s="398"/>
      <c r="J730" s="398"/>
      <c r="K730" s="398"/>
      <c r="L730" s="398"/>
      <c r="M730" s="398"/>
      <c r="N730" s="398"/>
      <c r="O730" s="398"/>
      <c r="P730" s="398"/>
      <c r="Q730" s="398"/>
      <c r="R730" s="398"/>
      <c r="S730" s="398"/>
      <c r="T730" s="398"/>
      <c r="U730" s="398"/>
      <c r="V730" s="398"/>
      <c r="W730" s="398"/>
      <c r="X730" s="398"/>
      <c r="Y730" s="390"/>
      <c r="Z730" s="390"/>
      <c r="AA730" s="390"/>
      <c r="AB730" s="398"/>
      <c r="AC730" s="398"/>
      <c r="AD730" s="390"/>
      <c r="AE730" s="390"/>
      <c r="AF730" s="398"/>
      <c r="AG730" s="398"/>
      <c r="AH730" s="398"/>
      <c r="AI730" s="390"/>
      <c r="AJ730" s="390"/>
      <c r="AK730" s="398"/>
      <c r="AL730" s="398"/>
      <c r="AM730" s="560"/>
      <c r="AN730" s="317"/>
      <c r="AO730" s="72"/>
      <c r="AP730" s="317"/>
      <c r="AQ730" s="317"/>
      <c r="AR730" s="317"/>
      <c r="AS730" s="317"/>
      <c r="AT730" s="72"/>
      <c r="AU730" s="317"/>
      <c r="AV730" s="317"/>
      <c r="AW730" s="317"/>
      <c r="AX730" s="317"/>
    </row>
    <row r="731" spans="1:50" s="307" customFormat="1" x14ac:dyDescent="0.45">
      <c r="A731" s="316" t="s">
        <v>364</v>
      </c>
      <c r="B731" s="317" t="str">
        <f>"FY"&amp;RIGHT(MO.MRFP,4)+IF(LEFT(MO.MRFP,2)="FY",1,0)</f>
        <v>FY2020</v>
      </c>
      <c r="C731" s="398"/>
      <c r="D731" s="398"/>
      <c r="E731" s="398"/>
      <c r="F731" s="398"/>
      <c r="G731" s="398"/>
      <c r="H731" s="398"/>
      <c r="I731" s="398"/>
      <c r="J731" s="398"/>
      <c r="K731" s="398"/>
      <c r="L731" s="398"/>
      <c r="M731" s="398"/>
      <c r="N731" s="398"/>
      <c r="O731" s="398"/>
      <c r="P731" s="398"/>
      <c r="Q731" s="398"/>
      <c r="R731" s="398"/>
      <c r="S731" s="398"/>
      <c r="T731" s="398"/>
      <c r="U731" s="398"/>
      <c r="V731" s="398"/>
      <c r="W731" s="398"/>
      <c r="X731" s="398"/>
      <c r="Y731" s="390"/>
      <c r="Z731" s="390"/>
      <c r="AA731" s="390"/>
      <c r="AB731" s="398"/>
      <c r="AC731" s="398"/>
      <c r="AD731" s="390"/>
      <c r="AE731" s="390"/>
      <c r="AF731" s="398"/>
      <c r="AG731" s="398"/>
      <c r="AH731" s="398"/>
      <c r="AI731" s="390"/>
      <c r="AJ731" s="390"/>
      <c r="AK731" s="398"/>
      <c r="AL731" s="398"/>
      <c r="AM731" s="560"/>
      <c r="AN731" s="317"/>
      <c r="AO731" s="72"/>
      <c r="AP731" s="317"/>
      <c r="AQ731" s="317"/>
      <c r="AR731" s="317"/>
      <c r="AS731" s="317"/>
      <c r="AT731" s="72"/>
      <c r="AU731" s="317"/>
      <c r="AV731" s="317"/>
      <c r="AW731" s="317"/>
      <c r="AX731" s="317"/>
    </row>
    <row r="732" spans="1:50" s="307" customFormat="1" x14ac:dyDescent="0.45">
      <c r="A732" s="318" t="s">
        <v>254</v>
      </c>
      <c r="B732" s="319">
        <f>IF(MO.DataSourceName="Bloomberg",1,IF(MO.DataSourceName="Capital IQ",2,IF(MO.DataSourceName="FactSet",3,IF(MO.DataSourceName="Thomson",4,1))))</f>
        <v>1</v>
      </c>
      <c r="C732" s="398"/>
      <c r="D732" s="398"/>
      <c r="E732" s="398"/>
      <c r="F732" s="398"/>
      <c r="G732" s="398"/>
      <c r="H732" s="398"/>
      <c r="I732" s="398"/>
      <c r="J732" s="398"/>
      <c r="K732" s="398"/>
      <c r="L732" s="398"/>
      <c r="M732" s="398"/>
      <c r="N732" s="398"/>
      <c r="O732" s="398"/>
      <c r="P732" s="398"/>
      <c r="Q732" s="398"/>
      <c r="R732" s="398"/>
      <c r="S732" s="398"/>
      <c r="T732" s="398"/>
      <c r="U732" s="398"/>
      <c r="V732" s="398"/>
      <c r="W732" s="398"/>
      <c r="X732" s="398"/>
      <c r="Y732" s="390"/>
      <c r="Z732" s="390"/>
      <c r="AA732" s="390"/>
      <c r="AB732" s="398"/>
      <c r="AC732" s="398"/>
      <c r="AD732" s="390"/>
      <c r="AE732" s="390"/>
      <c r="AF732" s="398"/>
      <c r="AG732" s="398"/>
      <c r="AH732" s="398"/>
      <c r="AI732" s="390"/>
      <c r="AJ732" s="390"/>
      <c r="AK732" s="398"/>
      <c r="AL732" s="398"/>
      <c r="AM732" s="560"/>
      <c r="AN732" s="317"/>
      <c r="AO732" s="72"/>
      <c r="AP732" s="317"/>
      <c r="AQ732" s="317"/>
      <c r="AR732" s="317"/>
      <c r="AS732" s="317"/>
      <c r="AT732" s="72"/>
      <c r="AU732" s="317"/>
      <c r="AV732" s="317"/>
      <c r="AW732" s="317"/>
      <c r="AX732" s="317"/>
    </row>
    <row r="733" spans="1:50" x14ac:dyDescent="0.45">
      <c r="A733" s="520"/>
      <c r="B733" s="520"/>
      <c r="C733" s="397"/>
      <c r="D733" s="397"/>
      <c r="E733" s="397"/>
      <c r="F733" s="397"/>
      <c r="G733" s="397"/>
      <c r="H733" s="397"/>
      <c r="I733" s="397"/>
      <c r="J733" s="397"/>
      <c r="K733" s="397"/>
      <c r="L733" s="397"/>
      <c r="M733" s="397"/>
      <c r="N733" s="397"/>
      <c r="O733" s="397"/>
      <c r="P733" s="397"/>
      <c r="Q733" s="397"/>
      <c r="R733" s="397"/>
      <c r="S733" s="397"/>
      <c r="T733" s="397"/>
      <c r="U733" s="397"/>
      <c r="V733" s="397"/>
      <c r="W733" s="397"/>
      <c r="X733" s="397"/>
      <c r="Y733" s="383"/>
      <c r="Z733" s="383"/>
      <c r="AA733" s="383"/>
      <c r="AB733" s="397"/>
      <c r="AC733" s="397"/>
      <c r="AD733" s="383"/>
      <c r="AE733" s="383"/>
      <c r="AF733" s="397"/>
      <c r="AG733" s="397"/>
      <c r="AH733" s="397"/>
      <c r="AI733" s="383"/>
      <c r="AJ733" s="383"/>
      <c r="AK733" s="397"/>
      <c r="AL733" s="397"/>
      <c r="AM733" s="612"/>
      <c r="AN733" s="315"/>
      <c r="AO733" s="224"/>
      <c r="AP733" s="315"/>
      <c r="AQ733" s="315"/>
      <c r="AR733" s="315"/>
      <c r="AS733" s="315"/>
      <c r="AT733" s="224"/>
      <c r="AU733" s="315"/>
      <c r="AV733" s="315"/>
      <c r="AW733" s="315"/>
      <c r="AX733" s="315"/>
    </row>
    <row r="734" spans="1:50" x14ac:dyDescent="0.45">
      <c r="A734" s="320" t="s">
        <v>357</v>
      </c>
      <c r="B734" s="320"/>
      <c r="C734" s="399"/>
      <c r="D734" s="399"/>
      <c r="E734" s="399"/>
      <c r="F734" s="399"/>
      <c r="G734" s="399"/>
      <c r="H734" s="399"/>
      <c r="I734" s="399"/>
      <c r="J734" s="399"/>
      <c r="K734" s="399"/>
      <c r="L734" s="399"/>
      <c r="M734" s="399"/>
      <c r="N734" s="399"/>
      <c r="O734" s="399"/>
      <c r="P734" s="399"/>
      <c r="Q734" s="399"/>
      <c r="R734" s="399"/>
      <c r="S734" s="399"/>
      <c r="T734" s="399"/>
      <c r="U734" s="399"/>
      <c r="V734" s="399"/>
      <c r="W734" s="399"/>
      <c r="X734" s="399"/>
      <c r="Y734" s="399"/>
      <c r="Z734" s="399"/>
      <c r="AA734" s="399"/>
      <c r="AB734" s="399"/>
      <c r="AC734" s="399"/>
      <c r="AD734" s="399"/>
      <c r="AE734" s="399"/>
      <c r="AF734" s="399"/>
      <c r="AG734" s="399"/>
      <c r="AH734" s="399"/>
      <c r="AI734" s="399"/>
      <c r="AJ734" s="399"/>
      <c r="AK734" s="399"/>
      <c r="AL734" s="399"/>
      <c r="AM734" s="621"/>
      <c r="AN734" s="320"/>
      <c r="AO734" s="320"/>
      <c r="AP734" s="320"/>
      <c r="AQ734" s="320"/>
      <c r="AR734" s="320"/>
      <c r="AS734" s="320"/>
      <c r="AT734" s="320"/>
      <c r="AU734" s="320"/>
      <c r="AV734" s="320"/>
      <c r="AW734" s="320"/>
      <c r="AX734" s="315"/>
    </row>
    <row r="735" spans="1:50" x14ac:dyDescent="0.45">
      <c r="A735" s="315"/>
      <c r="B735" s="315"/>
      <c r="C735" s="315"/>
      <c r="D735" s="315"/>
      <c r="E735" s="315"/>
      <c r="F735" s="315"/>
      <c r="G735" s="315"/>
      <c r="H735" s="315"/>
      <c r="I735" s="315"/>
      <c r="J735" s="315"/>
      <c r="K735" s="315"/>
      <c r="L735" s="315"/>
      <c r="M735" s="315"/>
      <c r="N735" s="315"/>
      <c r="O735" s="315"/>
      <c r="P735" s="315"/>
      <c r="Q735" s="315"/>
      <c r="R735" s="315"/>
      <c r="S735" s="315"/>
      <c r="T735" s="315"/>
      <c r="U735" s="315"/>
      <c r="V735" s="315"/>
      <c r="W735" s="315"/>
      <c r="X735" s="315"/>
      <c r="Y735" s="224"/>
      <c r="Z735" s="224"/>
      <c r="AA735" s="224"/>
      <c r="AB735" s="315"/>
      <c r="AC735" s="315"/>
      <c r="AD735" s="224"/>
      <c r="AE735" s="224"/>
      <c r="AF735" s="315"/>
      <c r="AG735" s="315"/>
      <c r="AH735" s="315"/>
      <c r="AI735" s="315"/>
      <c r="AJ735" s="224"/>
      <c r="AK735" s="397"/>
      <c r="AL735" s="397"/>
      <c r="AM735" s="481"/>
      <c r="AN735" s="315"/>
      <c r="AO735" s="224"/>
      <c r="AP735" s="315"/>
      <c r="AQ735" s="315"/>
      <c r="AR735" s="315"/>
      <c r="AS735" s="315"/>
      <c r="AT735" s="224"/>
      <c r="AU735" s="315"/>
      <c r="AV735" s="315"/>
      <c r="AW735" s="315"/>
      <c r="AX735" s="315"/>
    </row>
  </sheetData>
  <conditionalFormatting sqref="C634:V640 C645:V645 D644:V644 C647:V651 C646:J646 L646:O646 C642:V643 C641:J641 L641:O641 Q641:T641 Q646:T646 V646 V641 X630:AA633 AD630:AE633 AO630:AO651 AD635:AE651 X635:AA651 X634:Z634 C630:Q633 V630:V633">
    <cfRule type="cellIs" dxfId="181" priority="251" operator="equal">
      <formula>0</formula>
    </cfRule>
    <cfRule type="cellIs" dxfId="180" priority="252" operator="notEqual">
      <formula>0</formula>
    </cfRule>
  </conditionalFormatting>
  <conditionalFormatting sqref="C627:V627 X627:AA627 AD627:AE627 AO627">
    <cfRule type="cellIs" dxfId="179" priority="185" operator="equal">
      <formula>0</formula>
    </cfRule>
    <cfRule type="cellIs" dxfId="178" priority="186" operator="notEqual">
      <formula>0</formula>
    </cfRule>
  </conditionalFormatting>
  <conditionalFormatting sqref="C546:V546 X546:Z546 AD546:AE546 AO546">
    <cfRule type="cellIs" dxfId="177" priority="191" operator="notEqual">
      <formula>0</formula>
    </cfRule>
    <cfRule type="cellIs" dxfId="176" priority="192" operator="equal">
      <formula>0</formula>
    </cfRule>
  </conditionalFormatting>
  <conditionalFormatting sqref="C265:V265 X265:AA265 AD265:AE265 AO265">
    <cfRule type="cellIs" dxfId="175" priority="183" operator="notEqual">
      <formula>0</formula>
    </cfRule>
    <cfRule type="cellIs" dxfId="174" priority="184" operator="equal">
      <formula>0</formula>
    </cfRule>
  </conditionalFormatting>
  <conditionalFormatting sqref="W627">
    <cfRule type="cellIs" dxfId="173" priority="162" operator="equal">
      <formula>0</formula>
    </cfRule>
    <cfRule type="cellIs" dxfId="172" priority="163" operator="notEqual">
      <formula>0</formula>
    </cfRule>
  </conditionalFormatting>
  <conditionalFormatting sqref="W546">
    <cfRule type="cellIs" dxfId="171" priority="164" operator="notEqual">
      <formula>0</formula>
    </cfRule>
    <cfRule type="cellIs" dxfId="170" priority="165" operator="equal">
      <formula>0</formula>
    </cfRule>
  </conditionalFormatting>
  <conditionalFormatting sqref="W265">
    <cfRule type="cellIs" dxfId="169" priority="160" operator="notEqual">
      <formula>0</formula>
    </cfRule>
    <cfRule type="cellIs" dxfId="168" priority="161" operator="equal">
      <formula>0</formula>
    </cfRule>
  </conditionalFormatting>
  <conditionalFormatting sqref="W630:W651">
    <cfRule type="cellIs" dxfId="167" priority="169" operator="equal">
      <formula>0</formula>
    </cfRule>
    <cfRule type="cellIs" dxfId="166" priority="170" operator="notEqual">
      <formula>0</formula>
    </cfRule>
  </conditionalFormatting>
  <conditionalFormatting sqref="AC627">
    <cfRule type="cellIs" dxfId="165" priority="110" operator="equal">
      <formula>0</formula>
    </cfRule>
    <cfRule type="cellIs" dxfId="164" priority="111" operator="notEqual">
      <formula>0</formula>
    </cfRule>
  </conditionalFormatting>
  <conditionalFormatting sqref="AC546">
    <cfRule type="cellIs" dxfId="163" priority="112" operator="notEqual">
      <formula>0</formula>
    </cfRule>
    <cfRule type="cellIs" dxfId="162" priority="113" operator="equal">
      <formula>0</formula>
    </cfRule>
  </conditionalFormatting>
  <conditionalFormatting sqref="AV546">
    <cfRule type="cellIs" dxfId="161" priority="134" operator="notEqual">
      <formula>0</formula>
    </cfRule>
    <cfRule type="cellIs" dxfId="160" priority="135" operator="equal">
      <formula>0</formula>
    </cfRule>
  </conditionalFormatting>
  <conditionalFormatting sqref="AV630:AV651">
    <cfRule type="cellIs" dxfId="159" priority="137" operator="equal">
      <formula>0</formula>
    </cfRule>
    <cfRule type="cellIs" dxfId="158" priority="138" operator="notEqual">
      <formula>0</formula>
    </cfRule>
  </conditionalFormatting>
  <conditionalFormatting sqref="AV627">
    <cfRule type="cellIs" dxfId="157" priority="132" operator="equal">
      <formula>0</formula>
    </cfRule>
    <cfRule type="cellIs" dxfId="156" priority="133" operator="notEqual">
      <formula>0</formula>
    </cfRule>
  </conditionalFormatting>
  <conditionalFormatting sqref="AC265">
    <cfRule type="cellIs" dxfId="155" priority="108" operator="notEqual">
      <formula>0</formula>
    </cfRule>
    <cfRule type="cellIs" dxfId="154" priority="109" operator="equal">
      <formula>0</formula>
    </cfRule>
  </conditionalFormatting>
  <conditionalFormatting sqref="AV265">
    <cfRule type="cellIs" dxfId="153" priority="130" operator="notEqual">
      <formula>0</formula>
    </cfRule>
    <cfRule type="cellIs" dxfId="152" priority="131" operator="equal">
      <formula>0</formula>
    </cfRule>
  </conditionalFormatting>
  <conditionalFormatting sqref="AB627">
    <cfRule type="cellIs" dxfId="151" priority="121" operator="equal">
      <formula>0</formula>
    </cfRule>
    <cfRule type="cellIs" dxfId="150" priority="122" operator="notEqual">
      <formula>0</formula>
    </cfRule>
  </conditionalFormatting>
  <conditionalFormatting sqref="AB546">
    <cfRule type="cellIs" dxfId="149" priority="123" operator="notEqual">
      <formula>0</formula>
    </cfRule>
    <cfRule type="cellIs" dxfId="148" priority="124" operator="equal">
      <formula>0</formula>
    </cfRule>
  </conditionalFormatting>
  <conditionalFormatting sqref="AB265">
    <cfRule type="cellIs" dxfId="147" priority="119" operator="notEqual">
      <formula>0</formula>
    </cfRule>
    <cfRule type="cellIs" dxfId="146" priority="120" operator="equal">
      <formula>0</formula>
    </cfRule>
  </conditionalFormatting>
  <conditionalFormatting sqref="AB630:AB633 AB635:AB637 AB639:AB651">
    <cfRule type="cellIs" dxfId="145" priority="128" operator="equal">
      <formula>0</formula>
    </cfRule>
    <cfRule type="cellIs" dxfId="144" priority="129" operator="notEqual">
      <formula>0</formula>
    </cfRule>
  </conditionalFormatting>
  <conditionalFormatting sqref="AC630:AC633 AC635:AC637 AC639:AC651">
    <cfRule type="cellIs" dxfId="143" priority="115" operator="equal">
      <formula>0</formula>
    </cfRule>
    <cfRule type="cellIs" dxfId="142" priority="116" operator="notEqual">
      <formula>0</formula>
    </cfRule>
  </conditionalFormatting>
  <conditionalFormatting sqref="AN630:AN651">
    <cfRule type="cellIs" dxfId="141" priority="104" operator="equal">
      <formula>0</formula>
    </cfRule>
    <cfRule type="cellIs" dxfId="140" priority="105" operator="notEqual">
      <formula>0</formula>
    </cfRule>
  </conditionalFormatting>
  <conditionalFormatting sqref="AN627">
    <cfRule type="cellIs" dxfId="139" priority="98" operator="equal">
      <formula>0</formula>
    </cfRule>
    <cfRule type="cellIs" dxfId="138" priority="99" operator="notEqual">
      <formula>0</formula>
    </cfRule>
  </conditionalFormatting>
  <conditionalFormatting sqref="AM546:AN546">
    <cfRule type="cellIs" dxfId="137" priority="100" operator="notEqual">
      <formula>0</formula>
    </cfRule>
    <cfRule type="cellIs" dxfId="136" priority="101" operator="equal">
      <formula>0</formula>
    </cfRule>
  </conditionalFormatting>
  <conditionalFormatting sqref="AN265">
    <cfRule type="cellIs" dxfId="135" priority="96" operator="notEqual">
      <formula>0</formula>
    </cfRule>
    <cfRule type="cellIs" dxfId="134" priority="97" operator="equal">
      <formula>0</formula>
    </cfRule>
  </conditionalFormatting>
  <conditionalFormatting sqref="AW630:AW651">
    <cfRule type="cellIs" dxfId="133" priority="91" operator="equal">
      <formula>0</formula>
    </cfRule>
    <cfRule type="cellIs" dxfId="132" priority="92" operator="notEqual">
      <formula>0</formula>
    </cfRule>
  </conditionalFormatting>
  <conditionalFormatting sqref="AW627">
    <cfRule type="cellIs" dxfId="131" priority="86" operator="equal">
      <formula>0</formula>
    </cfRule>
    <cfRule type="cellIs" dxfId="130" priority="87" operator="notEqual">
      <formula>0</formula>
    </cfRule>
  </conditionalFormatting>
  <conditionalFormatting sqref="AW546">
    <cfRule type="cellIs" dxfId="129" priority="88" operator="notEqual">
      <formula>0</formula>
    </cfRule>
    <cfRule type="cellIs" dxfId="128" priority="89" operator="equal">
      <formula>0</formula>
    </cfRule>
  </conditionalFormatting>
  <conditionalFormatting sqref="AW265">
    <cfRule type="cellIs" dxfId="127" priority="84" operator="notEqual">
      <formula>0</formula>
    </cfRule>
    <cfRule type="cellIs" dxfId="126" priority="85" operator="equal">
      <formula>0</formula>
    </cfRule>
  </conditionalFormatting>
  <conditionalFormatting sqref="AF630:AF651">
    <cfRule type="cellIs" dxfId="125" priority="80" operator="equal">
      <formula>0</formula>
    </cfRule>
    <cfRule type="cellIs" dxfId="124" priority="81" operator="notEqual">
      <formula>0</formula>
    </cfRule>
  </conditionalFormatting>
  <conditionalFormatting sqref="AF627">
    <cfRule type="cellIs" dxfId="123" priority="74" operator="equal">
      <formula>0</formula>
    </cfRule>
    <cfRule type="cellIs" dxfId="122" priority="75" operator="notEqual">
      <formula>0</formula>
    </cfRule>
  </conditionalFormatting>
  <conditionalFormatting sqref="AF546">
    <cfRule type="cellIs" dxfId="121" priority="76" operator="notEqual">
      <formula>0</formula>
    </cfRule>
    <cfRule type="cellIs" dxfId="120" priority="77" operator="equal">
      <formula>0</formula>
    </cfRule>
  </conditionalFormatting>
  <conditionalFormatting sqref="AF265">
    <cfRule type="cellIs" dxfId="119" priority="72" operator="notEqual">
      <formula>0</formula>
    </cfRule>
    <cfRule type="cellIs" dxfId="118" priority="73" operator="equal">
      <formula>0</formula>
    </cfRule>
  </conditionalFormatting>
  <conditionalFormatting sqref="AG627 AL627">
    <cfRule type="cellIs" dxfId="117" priority="65" operator="equal">
      <formula>0</formula>
    </cfRule>
    <cfRule type="cellIs" dxfId="116" priority="66" operator="notEqual">
      <formula>0</formula>
    </cfRule>
  </conditionalFormatting>
  <conditionalFormatting sqref="AG546 AL546">
    <cfRule type="cellIs" dxfId="115" priority="67" operator="notEqual">
      <formula>0</formula>
    </cfRule>
    <cfRule type="cellIs" dxfId="114" priority="68" operator="equal">
      <formula>0</formula>
    </cfRule>
  </conditionalFormatting>
  <conditionalFormatting sqref="AG265 AL265">
    <cfRule type="cellIs" dxfId="113" priority="63" operator="notEqual">
      <formula>0</formula>
    </cfRule>
    <cfRule type="cellIs" dxfId="112" priority="64" operator="equal">
      <formula>0</formula>
    </cfRule>
  </conditionalFormatting>
  <conditionalFormatting sqref="AG630:AG651 AL634:AL651">
    <cfRule type="cellIs" dxfId="111" priority="69" operator="equal">
      <formula>0</formula>
    </cfRule>
    <cfRule type="cellIs" dxfId="110" priority="70" operator="notEqual">
      <formula>0</formula>
    </cfRule>
  </conditionalFormatting>
  <conditionalFormatting sqref="AH634:AH651">
    <cfRule type="cellIs" dxfId="109" priority="61" operator="equal">
      <formula>0</formula>
    </cfRule>
    <cfRule type="cellIs" dxfId="108" priority="62" operator="notEqual">
      <formula>0</formula>
    </cfRule>
  </conditionalFormatting>
  <conditionalFormatting sqref="AH627">
    <cfRule type="cellIs" dxfId="107" priority="57" operator="equal">
      <formula>0</formula>
    </cfRule>
    <cfRule type="cellIs" dxfId="106" priority="58" operator="notEqual">
      <formula>0</formula>
    </cfRule>
  </conditionalFormatting>
  <conditionalFormatting sqref="AH546">
    <cfRule type="cellIs" dxfId="105" priority="59" operator="notEqual">
      <formula>0</formula>
    </cfRule>
    <cfRule type="cellIs" dxfId="104" priority="60" operator="equal">
      <formula>0</formula>
    </cfRule>
  </conditionalFormatting>
  <conditionalFormatting sqref="AH265">
    <cfRule type="cellIs" dxfId="103" priority="55" operator="notEqual">
      <formula>0</formula>
    </cfRule>
    <cfRule type="cellIs" dxfId="102" priority="56" operator="equal">
      <formula>0</formula>
    </cfRule>
  </conditionalFormatting>
  <conditionalFormatting sqref="AI634:AJ651 AJ630:AJ633">
    <cfRule type="cellIs" dxfId="101" priority="53" operator="equal">
      <formula>0</formula>
    </cfRule>
    <cfRule type="cellIs" dxfId="100" priority="54" operator="notEqual">
      <formula>0</formula>
    </cfRule>
  </conditionalFormatting>
  <conditionalFormatting sqref="AI627:AJ627">
    <cfRule type="cellIs" dxfId="99" priority="49" operator="equal">
      <formula>0</formula>
    </cfRule>
    <cfRule type="cellIs" dxfId="98" priority="50" operator="notEqual">
      <formula>0</formula>
    </cfRule>
  </conditionalFormatting>
  <conditionalFormatting sqref="AI546:AJ546">
    <cfRule type="cellIs" dxfId="97" priority="51" operator="notEqual">
      <formula>0</formula>
    </cfRule>
    <cfRule type="cellIs" dxfId="96" priority="52" operator="equal">
      <formula>0</formula>
    </cfRule>
  </conditionalFormatting>
  <conditionalFormatting sqref="AI265:AJ265">
    <cfRule type="cellIs" dxfId="95" priority="47" operator="notEqual">
      <formula>0</formula>
    </cfRule>
    <cfRule type="cellIs" dxfId="94" priority="48" operator="equal">
      <formula>0</formula>
    </cfRule>
  </conditionalFormatting>
  <conditionalFormatting sqref="AT630:AT651">
    <cfRule type="cellIs" dxfId="93" priority="45" operator="equal">
      <formula>0</formula>
    </cfRule>
    <cfRule type="cellIs" dxfId="92" priority="46" operator="notEqual">
      <formula>0</formula>
    </cfRule>
  </conditionalFormatting>
  <conditionalFormatting sqref="AT627">
    <cfRule type="cellIs" dxfId="91" priority="41" operator="equal">
      <formula>0</formula>
    </cfRule>
    <cfRule type="cellIs" dxfId="90" priority="42" operator="notEqual">
      <formula>0</formula>
    </cfRule>
  </conditionalFormatting>
  <conditionalFormatting sqref="AT546">
    <cfRule type="cellIs" dxfId="89" priority="43" operator="notEqual">
      <formula>0</formula>
    </cfRule>
    <cfRule type="cellIs" dxfId="88" priority="44" operator="equal">
      <formula>0</formula>
    </cfRule>
  </conditionalFormatting>
  <conditionalFormatting sqref="AT265">
    <cfRule type="cellIs" dxfId="87" priority="39" operator="notEqual">
      <formula>0</formula>
    </cfRule>
    <cfRule type="cellIs" dxfId="86" priority="40" operator="equal">
      <formula>0</formula>
    </cfRule>
  </conditionalFormatting>
  <conditionalFormatting sqref="AP630:AS651">
    <cfRule type="cellIs" dxfId="85" priority="37" operator="equal">
      <formula>0</formula>
    </cfRule>
    <cfRule type="cellIs" dxfId="84" priority="38" operator="notEqual">
      <formula>0</formula>
    </cfRule>
  </conditionalFormatting>
  <conditionalFormatting sqref="AP627:AS627">
    <cfRule type="cellIs" dxfId="83" priority="33" operator="equal">
      <formula>0</formula>
    </cfRule>
    <cfRule type="cellIs" dxfId="82" priority="34" operator="notEqual">
      <formula>0</formula>
    </cfRule>
  </conditionalFormatting>
  <conditionalFormatting sqref="AP546:AS546">
    <cfRule type="cellIs" dxfId="81" priority="35" operator="notEqual">
      <formula>0</formula>
    </cfRule>
    <cfRule type="cellIs" dxfId="80" priority="36" operator="equal">
      <formula>0</formula>
    </cfRule>
  </conditionalFormatting>
  <conditionalFormatting sqref="AP265:AS265">
    <cfRule type="cellIs" dxfId="79" priority="31" operator="notEqual">
      <formula>0</formula>
    </cfRule>
    <cfRule type="cellIs" dxfId="78" priority="32" operator="equal">
      <formula>0</formula>
    </cfRule>
  </conditionalFormatting>
  <conditionalFormatting sqref="AU546">
    <cfRule type="cellIs" dxfId="77" priority="27" operator="notEqual">
      <formula>0</formula>
    </cfRule>
    <cfRule type="cellIs" dxfId="76" priority="28" operator="equal">
      <formula>0</formula>
    </cfRule>
  </conditionalFormatting>
  <conditionalFormatting sqref="AU630:AU651">
    <cfRule type="cellIs" dxfId="75" priority="29" operator="equal">
      <formula>0</formula>
    </cfRule>
    <cfRule type="cellIs" dxfId="74" priority="30" operator="notEqual">
      <formula>0</formula>
    </cfRule>
  </conditionalFormatting>
  <conditionalFormatting sqref="AU627">
    <cfRule type="cellIs" dxfId="73" priority="25" operator="equal">
      <formula>0</formula>
    </cfRule>
    <cfRule type="cellIs" dxfId="72" priority="26" operator="notEqual">
      <formula>0</formula>
    </cfRule>
  </conditionalFormatting>
  <conditionalFormatting sqref="AU265">
    <cfRule type="cellIs" dxfId="71" priority="23" operator="notEqual">
      <formula>0</formula>
    </cfRule>
    <cfRule type="cellIs" dxfId="70" priority="24" operator="equal">
      <formula>0</formula>
    </cfRule>
  </conditionalFormatting>
  <conditionalFormatting sqref="AA634:AE634">
    <cfRule type="cellIs" dxfId="69" priority="21" operator="equal">
      <formula>0</formula>
    </cfRule>
    <cfRule type="cellIs" dxfId="68" priority="22" operator="notEqual">
      <formula>0</formula>
    </cfRule>
  </conditionalFormatting>
  <conditionalFormatting sqref="AK630:AK651">
    <cfRule type="cellIs" dxfId="67" priority="19" operator="equal">
      <formula>0</formula>
    </cfRule>
    <cfRule type="cellIs" dxfId="66" priority="20" operator="notEqual">
      <formula>0</formula>
    </cfRule>
  </conditionalFormatting>
  <conditionalFormatting sqref="AK627">
    <cfRule type="cellIs" dxfId="65" priority="15" operator="equal">
      <formula>0</formula>
    </cfRule>
    <cfRule type="cellIs" dxfId="64" priority="16" operator="notEqual">
      <formula>0</formula>
    </cfRule>
  </conditionalFormatting>
  <conditionalFormatting sqref="AK546">
    <cfRule type="cellIs" dxfId="63" priority="17" operator="notEqual">
      <formula>0</formula>
    </cfRule>
    <cfRule type="cellIs" dxfId="62" priority="18" operator="equal">
      <formula>0</formula>
    </cfRule>
  </conditionalFormatting>
  <conditionalFormatting sqref="AK265">
    <cfRule type="cellIs" dxfId="61" priority="13" operator="notEqual">
      <formula>0</formula>
    </cfRule>
    <cfRule type="cellIs" dxfId="60" priority="14" operator="equal">
      <formula>0</formula>
    </cfRule>
  </conditionalFormatting>
  <conditionalFormatting sqref="AM265">
    <cfRule type="cellIs" dxfId="59" priority="11" operator="notEqual">
      <formula>0</formula>
    </cfRule>
    <cfRule type="cellIs" dxfId="58" priority="12" operator="equal">
      <formula>0</formula>
    </cfRule>
  </conditionalFormatting>
  <conditionalFormatting sqref="AM630:AM651">
    <cfRule type="cellIs" dxfId="57" priority="9" operator="equal">
      <formula>0</formula>
    </cfRule>
    <cfRule type="cellIs" dxfId="56" priority="10" operator="notEqual">
      <formula>0</formula>
    </cfRule>
  </conditionalFormatting>
  <conditionalFormatting sqref="AM627">
    <cfRule type="cellIs" dxfId="55" priority="7" operator="equal">
      <formula>0</formula>
    </cfRule>
    <cfRule type="cellIs" dxfId="54" priority="8" operator="notEqual">
      <formula>0</formula>
    </cfRule>
  </conditionalFormatting>
  <conditionalFormatting sqref="AA546">
    <cfRule type="cellIs" dxfId="53" priority="5" operator="notEqual">
      <formula>0</formula>
    </cfRule>
    <cfRule type="cellIs" dxfId="52" priority="6" operator="equal">
      <formula>0</formula>
    </cfRule>
  </conditionalFormatting>
  <conditionalFormatting sqref="AC638">
    <cfRule type="cellIs" dxfId="51" priority="3" operator="equal">
      <formula>0</formula>
    </cfRule>
    <cfRule type="cellIs" dxfId="50" priority="4" operator="notEqual">
      <formula>0</formula>
    </cfRule>
  </conditionalFormatting>
  <conditionalFormatting sqref="AB638">
    <cfRule type="cellIs" dxfId="49" priority="1" operator="equal">
      <formula>0</formula>
    </cfRule>
    <cfRule type="cellIs" dxfId="48" priority="2" operator="notEqual">
      <formula>0</formula>
    </cfRule>
  </conditionalFormatting>
  <dataValidations count="1">
    <dataValidation type="list" allowBlank="1" showInputMessage="1" showErrorMessage="1" sqref="B396" xr:uid="{00000000-0002-0000-0100-000000000000}">
      <formula1>$A$662:$A$664</formula1>
    </dataValidation>
  </dataValidations>
  <hyperlinks>
    <hyperlink ref="A1" r:id="rId1" xr:uid="{00000000-0004-0000-0100-000000000000}"/>
  </hyperlinks>
  <pageMargins left="0" right="0" top="0.39370078740157499" bottom="0" header="0.196850393700787" footer="0"/>
  <pageSetup fitToHeight="0" orientation="landscape" r:id="rId2"/>
  <headerFooter>
    <oddHeader>&amp;CNextGen Healthcare&amp;RPage &amp;P</oddHeader>
  </headerFooter>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32"/>
  <sheetViews>
    <sheetView zoomScaleNormal="100" workbookViewId="0">
      <pane ySplit="5" topLeftCell="A6" activePane="bottomLeft" state="frozen"/>
      <selection pane="bottomLeft"/>
    </sheetView>
  </sheetViews>
  <sheetFormatPr defaultColWidth="8.86328125" defaultRowHeight="14.25" outlineLevelCol="1" x14ac:dyDescent="0.45"/>
  <cols>
    <col min="1" max="1" width="3" style="205" bestFit="1" customWidth="1"/>
    <col min="2" max="2" width="9.265625" style="50" bestFit="1" customWidth="1"/>
    <col min="3" max="3" width="2.73046875" style="50" customWidth="1"/>
    <col min="4" max="4" width="32.59765625" style="49" bestFit="1" customWidth="1"/>
    <col min="5" max="5" width="22.59765625" style="206" hidden="1" customWidth="1" outlineLevel="1"/>
    <col min="6" max="6" width="14.3984375" style="50" bestFit="1" customWidth="1" collapsed="1"/>
    <col min="7" max="7" width="2.73046875" style="50" customWidth="1"/>
    <col min="8" max="10" width="9.3984375" style="50" bestFit="1" customWidth="1"/>
    <col min="11" max="11" width="2.73046875" style="50" customWidth="1"/>
    <col min="12" max="12" width="8.73046875" style="50" bestFit="1" customWidth="1"/>
    <col min="13" max="13" width="11.86328125" style="49" bestFit="1" customWidth="1"/>
    <col min="14" max="14" width="2.73046875" style="50" customWidth="1"/>
    <col min="15" max="15" width="13.3984375" style="50" bestFit="1" customWidth="1"/>
    <col min="16" max="16" width="14.265625" style="51" bestFit="1" customWidth="1"/>
    <col min="17" max="17" width="2.73046875" style="50" customWidth="1"/>
    <col min="18" max="18" width="10.73046875" style="207" bestFit="1" customWidth="1"/>
    <col min="19" max="19" width="13.265625" style="208" bestFit="1" customWidth="1"/>
    <col min="20" max="23" width="8.86328125" customWidth="1"/>
  </cols>
  <sheetData>
    <row r="1" spans="1:20" s="50" customFormat="1" ht="28.5" x14ac:dyDescent="0.85">
      <c r="A1" s="223"/>
      <c r="B1" s="226" t="str">
        <f>MO.CompanyName</f>
        <v>NextGen Healthcare</v>
      </c>
      <c r="C1" s="230"/>
      <c r="D1" s="230"/>
      <c r="E1" s="228"/>
      <c r="F1" s="230"/>
      <c r="G1" s="230"/>
      <c r="H1" s="230"/>
      <c r="I1" s="230"/>
      <c r="J1" s="230"/>
      <c r="K1" s="230"/>
      <c r="L1" s="230"/>
      <c r="M1" s="230"/>
      <c r="N1" s="230"/>
      <c r="O1" s="230"/>
      <c r="P1" s="102"/>
      <c r="Q1" s="230"/>
      <c r="R1" s="229"/>
      <c r="S1" s="230"/>
      <c r="T1" s="230"/>
    </row>
    <row r="2" spans="1:20" s="50" customFormat="1" x14ac:dyDescent="0.45">
      <c r="A2" s="223"/>
      <c r="B2" s="227" t="s">
        <v>356</v>
      </c>
      <c r="C2" s="230"/>
      <c r="D2" s="230"/>
      <c r="E2" s="228"/>
      <c r="F2" s="230" t="str">
        <f>UL.MRQ</f>
        <v>Q3-2020</v>
      </c>
      <c r="G2" s="230"/>
      <c r="H2" s="230"/>
      <c r="I2" s="230"/>
      <c r="J2" s="230"/>
      <c r="K2" s="230"/>
      <c r="L2" s="230"/>
      <c r="M2" s="230"/>
      <c r="N2" s="230"/>
      <c r="O2" s="230"/>
      <c r="P2" s="102"/>
      <c r="Q2" s="230"/>
      <c r="R2" s="229"/>
      <c r="S2" s="230"/>
      <c r="T2" s="230"/>
    </row>
    <row r="3" spans="1:20" s="50" customFormat="1" x14ac:dyDescent="0.45">
      <c r="A3" s="223"/>
      <c r="B3" s="230"/>
      <c r="C3" s="230"/>
      <c r="D3" s="230"/>
      <c r="E3" s="228"/>
      <c r="F3" s="230"/>
      <c r="G3" s="230"/>
      <c r="H3" s="230"/>
      <c r="I3" s="230"/>
      <c r="J3" s="230"/>
      <c r="K3" s="230"/>
      <c r="L3" s="230"/>
      <c r="M3" s="230"/>
      <c r="N3" s="230"/>
      <c r="O3" s="230"/>
      <c r="P3" s="102"/>
      <c r="Q3" s="230"/>
      <c r="R3" s="230"/>
      <c r="S3" s="230"/>
      <c r="T3" s="230"/>
    </row>
    <row r="4" spans="1:20" s="203" customFormat="1" x14ac:dyDescent="0.45">
      <c r="A4" s="223"/>
      <c r="B4" s="235"/>
      <c r="C4" s="244"/>
      <c r="D4" s="235"/>
      <c r="E4" s="235"/>
      <c r="F4" s="235"/>
      <c r="G4" s="244"/>
      <c r="H4" s="236" t="s">
        <v>255</v>
      </c>
      <c r="I4" s="236"/>
      <c r="J4" s="236"/>
      <c r="K4" s="244"/>
      <c r="L4" s="236" t="s">
        <v>256</v>
      </c>
      <c r="M4" s="236"/>
      <c r="N4" s="244"/>
      <c r="O4" s="236" t="s">
        <v>257</v>
      </c>
      <c r="P4" s="236"/>
      <c r="Q4" s="244"/>
      <c r="R4" s="236" t="s">
        <v>258</v>
      </c>
      <c r="S4" s="236"/>
      <c r="T4" s="229"/>
    </row>
    <row r="5" spans="1:20" s="204" customFormat="1" x14ac:dyDescent="0.45">
      <c r="A5" s="223"/>
      <c r="B5" s="235" t="s">
        <v>259</v>
      </c>
      <c r="C5" s="245"/>
      <c r="D5" s="235" t="s">
        <v>260</v>
      </c>
      <c r="E5" s="235" t="s">
        <v>261</v>
      </c>
      <c r="F5" s="235" t="s">
        <v>262</v>
      </c>
      <c r="G5" s="245"/>
      <c r="H5" s="237" t="s">
        <v>231</v>
      </c>
      <c r="I5" s="237" t="s">
        <v>230</v>
      </c>
      <c r="J5" s="237" t="s">
        <v>263</v>
      </c>
      <c r="K5" s="245"/>
      <c r="L5" s="235" t="s">
        <v>259</v>
      </c>
      <c r="M5" s="237" t="s">
        <v>264</v>
      </c>
      <c r="N5" s="245"/>
      <c r="O5" s="237" t="s">
        <v>265</v>
      </c>
      <c r="P5" s="238" t="s">
        <v>266</v>
      </c>
      <c r="Q5" s="245"/>
      <c r="R5" s="237" t="s">
        <v>267</v>
      </c>
      <c r="S5" s="237" t="s">
        <v>268</v>
      </c>
      <c r="T5" s="234"/>
    </row>
    <row r="6" spans="1:20" x14ac:dyDescent="0.45">
      <c r="A6" s="223">
        <v>26</v>
      </c>
      <c r="B6" s="239" t="str">
        <f>IF(MATCH(F6,MO_Common_ColumnHeader,0)&gt;UL.MRQColNum,"Forward","Historical")</f>
        <v>Forward</v>
      </c>
      <c r="C6" s="230"/>
      <c r="D6" s="246" t="str">
        <f ca="1">INDEX(INDIRECT(E6),0,COLUMN(MO_Common_Column_A))</f>
        <v>Net Revenue</v>
      </c>
      <c r="E6" s="240" t="s">
        <v>269</v>
      </c>
      <c r="F6" s="239" t="s">
        <v>355</v>
      </c>
      <c r="G6" s="230"/>
      <c r="H6" s="241">
        <v>541</v>
      </c>
      <c r="I6" s="241">
        <v>547</v>
      </c>
      <c r="J6" s="241">
        <f>AVERAGE(H6:I6)</f>
        <v>544</v>
      </c>
      <c r="K6" s="230"/>
      <c r="L6" s="239" t="str">
        <f>IF(MATCH(F6,MO_Common_ColumnHeader,0)&gt;UL.MRQColNum,"Estimate","Actual")</f>
        <v>Estimate</v>
      </c>
      <c r="M6" s="241">
        <f ca="1">IFERROR(INDEX(INDIRECT(E6),0,MATCH(F6,MO_Common_ColumnHeader,0)),"N/A")</f>
        <v>542.50978999999995</v>
      </c>
      <c r="N6" s="230"/>
      <c r="O6" s="247">
        <f ca="1">IF(ISNUMBER(M6),M6-J6,"N/A")</f>
        <v>-1.4902100000000473</v>
      </c>
      <c r="P6" s="248">
        <f ca="1">IFERROR(IF(ISNUMBER(M6),M6/J6-1,"N/A"),"N/A")</f>
        <v>-2.7393566176471262E-3</v>
      </c>
      <c r="Q6" s="230"/>
      <c r="R6" s="242">
        <v>43853</v>
      </c>
      <c r="S6" s="250" t="s">
        <v>271</v>
      </c>
      <c r="T6" s="230"/>
    </row>
    <row r="7" spans="1:20" x14ac:dyDescent="0.45">
      <c r="A7" s="223">
        <v>25</v>
      </c>
      <c r="B7" s="239" t="str">
        <f>IF(MATCH(F7,MO_Common_ColumnHeader,0)&gt;UL.MRQColNum,"Forward","Historical")</f>
        <v>Forward</v>
      </c>
      <c r="C7" s="230"/>
      <c r="D7" s="246" t="str">
        <f ca="1">INDEX(INDIRECT(E7),0,COLUMN(MO_Common_Column_A))</f>
        <v>Adjusted Earnings Per Share - WAD</v>
      </c>
      <c r="E7" s="240" t="s">
        <v>272</v>
      </c>
      <c r="F7" s="239" t="s">
        <v>355</v>
      </c>
      <c r="G7" s="230"/>
      <c r="H7" s="243">
        <v>0.8</v>
      </c>
      <c r="I7" s="243">
        <v>0.84</v>
      </c>
      <c r="J7" s="243">
        <f>AVERAGE(H7:I7)</f>
        <v>0.82000000000000006</v>
      </c>
      <c r="K7" s="230"/>
      <c r="L7" s="239" t="str">
        <f>IF(MATCH(F7,MO_Common_ColumnHeader,0)&gt;UL.MRQColNum,"Estimate","Actual")</f>
        <v>Estimate</v>
      </c>
      <c r="M7" s="243">
        <f ca="1">IFERROR(INDEX(INDIRECT(E7),0,MATCH(F7,MO_Common_ColumnHeader,0)),"N/A")</f>
        <v>0.81359507868578607</v>
      </c>
      <c r="N7" s="230"/>
      <c r="O7" s="249">
        <f ca="1">IF(ISNUMBER(M7),M7-J7,"N/A")</f>
        <v>-6.404921314213996E-3</v>
      </c>
      <c r="P7" s="248">
        <f ca="1">IFERROR(IF(ISNUMBER(M7),M7/J7-1,"N/A"),"N/A")</f>
        <v>-7.810879651480529E-3</v>
      </c>
      <c r="Q7" s="230"/>
      <c r="R7" s="242">
        <v>43853</v>
      </c>
      <c r="S7" s="250" t="s">
        <v>271</v>
      </c>
      <c r="T7" s="230"/>
    </row>
    <row r="8" spans="1:20" x14ac:dyDescent="0.45">
      <c r="A8" s="223">
        <v>24</v>
      </c>
      <c r="B8" s="230"/>
      <c r="C8" s="230"/>
      <c r="D8" s="227"/>
      <c r="E8" s="228"/>
      <c r="F8" s="230"/>
      <c r="G8" s="230"/>
      <c r="H8" s="797"/>
      <c r="I8" s="797"/>
      <c r="J8" s="797"/>
      <c r="K8" s="230"/>
      <c r="L8" s="230"/>
      <c r="M8" s="797"/>
      <c r="N8" s="230"/>
      <c r="O8" s="232"/>
      <c r="P8" s="231"/>
      <c r="Q8" s="230"/>
      <c r="R8" s="233"/>
      <c r="S8" s="251"/>
      <c r="T8" s="230"/>
    </row>
    <row r="9" spans="1:20" x14ac:dyDescent="0.45">
      <c r="A9" s="223">
        <v>23</v>
      </c>
      <c r="B9" s="239" t="str">
        <f>IF(MATCH(F9,MO_Common_ColumnHeader,0)&gt;UL.MRQColNum,"Forward","Historical")</f>
        <v>Forward</v>
      </c>
      <c r="C9" s="230"/>
      <c r="D9" s="246" t="str">
        <f ca="1">INDEX(INDIRECT(E9),0,COLUMN(MO_Common_Column_A))</f>
        <v>Net Revenue</v>
      </c>
      <c r="E9" s="240" t="s">
        <v>269</v>
      </c>
      <c r="F9" s="239" t="s">
        <v>355</v>
      </c>
      <c r="G9" s="230"/>
      <c r="H9" s="241">
        <v>536</v>
      </c>
      <c r="I9" s="241">
        <v>550</v>
      </c>
      <c r="J9" s="241">
        <f>AVERAGE(H9:I9)</f>
        <v>543</v>
      </c>
      <c r="K9" s="230"/>
      <c r="L9" s="239" t="str">
        <f>IF(MATCH(F9,MO_Common_ColumnHeader,0)&gt;UL.MRQColNum,"Estimate","Actual")</f>
        <v>Estimate</v>
      </c>
      <c r="M9" s="241">
        <f ca="1">IFERROR(INDEX(INDIRECT(E9),0,MATCH(F9,MO_Common_ColumnHeader,0)),"N/A")</f>
        <v>542.50978999999995</v>
      </c>
      <c r="N9" s="230"/>
      <c r="O9" s="247">
        <f ca="1">IF(ISNUMBER(M9),M9-J9,"N/A")</f>
        <v>-0.49021000000004733</v>
      </c>
      <c r="P9" s="248">
        <f ca="1">IFERROR(IF(ISNUMBER(M9),M9/J9-1,"N/A"),"N/A")</f>
        <v>-9.0278084714556783E-4</v>
      </c>
      <c r="Q9" s="230"/>
      <c r="R9" s="242">
        <v>43761</v>
      </c>
      <c r="S9" s="250" t="s">
        <v>271</v>
      </c>
      <c r="T9" s="230"/>
    </row>
    <row r="10" spans="1:20" x14ac:dyDescent="0.45">
      <c r="A10" s="223">
        <v>22</v>
      </c>
      <c r="B10" s="239" t="str">
        <f>IF(MATCH(F10,MO_Common_ColumnHeader,0)&gt;UL.MRQColNum,"Forward","Historical")</f>
        <v>Forward</v>
      </c>
      <c r="C10" s="230"/>
      <c r="D10" s="246" t="str">
        <f ca="1">INDEX(INDIRECT(E10),0,COLUMN(MO_Common_Column_A))</f>
        <v>Adjusted Earnings Per Share - WAD</v>
      </c>
      <c r="E10" s="240" t="s">
        <v>272</v>
      </c>
      <c r="F10" s="239" t="s">
        <v>355</v>
      </c>
      <c r="G10" s="230"/>
      <c r="H10" s="243">
        <v>0.82</v>
      </c>
      <c r="I10" s="243">
        <v>0.9</v>
      </c>
      <c r="J10" s="243">
        <f>AVERAGE(H10:I10)</f>
        <v>0.86</v>
      </c>
      <c r="K10" s="230"/>
      <c r="L10" s="239" t="str">
        <f>IF(MATCH(F10,MO_Common_ColumnHeader,0)&gt;UL.MRQColNum,"Estimate","Actual")</f>
        <v>Estimate</v>
      </c>
      <c r="M10" s="243">
        <f ca="1">IFERROR(INDEX(INDIRECT(E10),0,MATCH(F10,MO_Common_ColumnHeader,0)),"N/A")</f>
        <v>0.81359507868578607</v>
      </c>
      <c r="N10" s="230"/>
      <c r="O10" s="249">
        <f ca="1">IF(ISNUMBER(M10),M10-J10,"N/A")</f>
        <v>-4.6404921314213921E-2</v>
      </c>
      <c r="P10" s="248">
        <f ca="1">IFERROR(IF(ISNUMBER(M10),M10/J10-1,"N/A"),"N/A")</f>
        <v>-5.3959210830481275E-2</v>
      </c>
      <c r="Q10" s="230"/>
      <c r="R10" s="242">
        <v>43761</v>
      </c>
      <c r="S10" s="250" t="s">
        <v>271</v>
      </c>
      <c r="T10" s="230"/>
    </row>
    <row r="11" spans="1:20" x14ac:dyDescent="0.45">
      <c r="A11" s="223">
        <v>21</v>
      </c>
      <c r="B11" s="230"/>
      <c r="C11" s="230"/>
      <c r="D11" s="227"/>
      <c r="E11" s="228"/>
      <c r="F11" s="230"/>
      <c r="G11" s="230"/>
      <c r="H11" s="797"/>
      <c r="I11" s="797"/>
      <c r="J11" s="797"/>
      <c r="K11" s="230"/>
      <c r="L11" s="230"/>
      <c r="M11" s="797"/>
      <c r="N11" s="230"/>
      <c r="O11" s="232"/>
      <c r="P11" s="231"/>
      <c r="Q11" s="230"/>
      <c r="R11" s="233"/>
      <c r="S11" s="251"/>
      <c r="T11" s="230"/>
    </row>
    <row r="12" spans="1:20" x14ac:dyDescent="0.45">
      <c r="A12" s="223">
        <v>20</v>
      </c>
      <c r="B12" s="239" t="str">
        <f>IF(MATCH(F12,MO_Common_ColumnHeader,0)&gt;UL.MRQColNum,"Forward","Historical")</f>
        <v>Forward</v>
      </c>
      <c r="C12" s="230"/>
      <c r="D12" s="246" t="str">
        <f ca="1">INDEX(INDIRECT(E12),0,COLUMN(MO_Common_Column_A))</f>
        <v>Net Revenue</v>
      </c>
      <c r="E12" s="240" t="s">
        <v>269</v>
      </c>
      <c r="F12" s="239" t="s">
        <v>355</v>
      </c>
      <c r="G12" s="230"/>
      <c r="H12" s="241">
        <v>536</v>
      </c>
      <c r="I12" s="241">
        <v>550</v>
      </c>
      <c r="J12" s="241">
        <f>AVERAGE(H12:I12)</f>
        <v>543</v>
      </c>
      <c r="K12" s="230"/>
      <c r="L12" s="239" t="str">
        <f>IF(MATCH(F12,MO_Common_ColumnHeader,0)&gt;UL.MRQColNum,"Estimate","Actual")</f>
        <v>Estimate</v>
      </c>
      <c r="M12" s="241">
        <f ca="1">IFERROR(INDEX(INDIRECT(E12),0,MATCH(F12,MO_Common_ColumnHeader,0)),"N/A")</f>
        <v>542.50978999999995</v>
      </c>
      <c r="N12" s="230"/>
      <c r="O12" s="247">
        <f ca="1">IF(ISNUMBER(M12),M12-J12,"N/A")</f>
        <v>-0.49021000000004733</v>
      </c>
      <c r="P12" s="248">
        <f ca="1">IFERROR(IF(ISNUMBER(M12),M12/J12-1,"N/A"),"N/A")</f>
        <v>-9.0278084714556783E-4</v>
      </c>
      <c r="Q12" s="230"/>
      <c r="R12" s="242">
        <v>43670</v>
      </c>
      <c r="S12" s="250" t="s">
        <v>271</v>
      </c>
      <c r="T12" s="230"/>
    </row>
    <row r="13" spans="1:20" x14ac:dyDescent="0.45">
      <c r="A13" s="223">
        <v>19</v>
      </c>
      <c r="B13" s="239" t="str">
        <f>IF(MATCH(F13,MO_Common_ColumnHeader,0)&gt;UL.MRQColNum,"Forward","Historical")</f>
        <v>Forward</v>
      </c>
      <c r="C13" s="230"/>
      <c r="D13" s="246" t="str">
        <f ca="1">INDEX(INDIRECT(E13),0,COLUMN(MO_Common_Column_A))</f>
        <v>Adjusted Earnings Per Share - WAD</v>
      </c>
      <c r="E13" s="240" t="s">
        <v>272</v>
      </c>
      <c r="F13" s="239" t="s">
        <v>355</v>
      </c>
      <c r="G13" s="230"/>
      <c r="H13" s="243">
        <v>0.82</v>
      </c>
      <c r="I13" s="243">
        <v>0.9</v>
      </c>
      <c r="J13" s="243">
        <f>AVERAGE(H13:I13)</f>
        <v>0.86</v>
      </c>
      <c r="K13" s="230"/>
      <c r="L13" s="239" t="str">
        <f>IF(MATCH(F13,MO_Common_ColumnHeader,0)&gt;UL.MRQColNum,"Estimate","Actual")</f>
        <v>Estimate</v>
      </c>
      <c r="M13" s="243">
        <f ca="1">IFERROR(INDEX(INDIRECT(E13),0,MATCH(F13,MO_Common_ColumnHeader,0)),"N/A")</f>
        <v>0.81359507868578607</v>
      </c>
      <c r="N13" s="230"/>
      <c r="O13" s="249">
        <f ca="1">IF(ISNUMBER(M13),M13-J13,"N/A")</f>
        <v>-4.6404921314213921E-2</v>
      </c>
      <c r="P13" s="248">
        <f ca="1">IFERROR(IF(ISNUMBER(M13),M13/J13-1,"N/A"),"N/A")</f>
        <v>-5.3959210830481275E-2</v>
      </c>
      <c r="Q13" s="230"/>
      <c r="R13" s="242">
        <v>43670</v>
      </c>
      <c r="S13" s="250" t="s">
        <v>271</v>
      </c>
      <c r="T13" s="230"/>
    </row>
    <row r="14" spans="1:20" x14ac:dyDescent="0.45">
      <c r="A14" s="223">
        <v>18</v>
      </c>
      <c r="B14" s="230"/>
      <c r="C14" s="230"/>
      <c r="D14" s="227"/>
      <c r="E14" s="228"/>
      <c r="F14" s="230"/>
      <c r="G14" s="230"/>
      <c r="H14" s="797"/>
      <c r="I14" s="797"/>
      <c r="J14" s="797"/>
      <c r="K14" s="230"/>
      <c r="L14" s="230"/>
      <c r="M14" s="797"/>
      <c r="N14" s="230"/>
      <c r="O14" s="232"/>
      <c r="P14" s="231"/>
      <c r="Q14" s="230"/>
      <c r="R14" s="233"/>
      <c r="S14" s="251"/>
      <c r="T14" s="230"/>
    </row>
    <row r="15" spans="1:20" x14ac:dyDescent="0.45">
      <c r="A15" s="223">
        <v>17</v>
      </c>
      <c r="B15" s="239" t="str">
        <f>IF(MATCH(F15,MO_Common_ColumnHeader,0)&gt;UL.MRQColNum,"Forward","Historical")</f>
        <v>Forward</v>
      </c>
      <c r="C15" s="230"/>
      <c r="D15" s="246" t="str">
        <f ca="1">INDEX(INDIRECT(E15),0,COLUMN(MO_Common_Column_A))</f>
        <v>Net Revenue</v>
      </c>
      <c r="E15" s="240" t="s">
        <v>269</v>
      </c>
      <c r="F15" s="239" t="s">
        <v>355</v>
      </c>
      <c r="G15" s="230"/>
      <c r="H15" s="241">
        <v>543</v>
      </c>
      <c r="I15" s="241">
        <v>559</v>
      </c>
      <c r="J15" s="241">
        <f>AVERAGE(H15:I15)</f>
        <v>551</v>
      </c>
      <c r="K15" s="230"/>
      <c r="L15" s="239" t="str">
        <f>IF(MATCH(F15,MO_Common_ColumnHeader,0)&gt;UL.MRQColNum,"Estimate","Actual")</f>
        <v>Estimate</v>
      </c>
      <c r="M15" s="241">
        <f ca="1">IFERROR(INDEX(INDIRECT(E15),0,MATCH(F15,MO_Common_ColumnHeader,0)),"N/A")</f>
        <v>542.50978999999995</v>
      </c>
      <c r="N15" s="230"/>
      <c r="O15" s="247">
        <f ca="1">IF(ISNUMBER(M15),M15-J15,"N/A")</f>
        <v>-8.4902100000000473</v>
      </c>
      <c r="P15" s="248">
        <f ca="1">IFERROR(IF(ISNUMBER(M15),M15/J15-1,"N/A"),"N/A")</f>
        <v>-1.5408729582577219E-2</v>
      </c>
      <c r="Q15" s="230"/>
      <c r="R15" s="242">
        <v>43613</v>
      </c>
      <c r="S15" s="250" t="s">
        <v>271</v>
      </c>
      <c r="T15" s="230"/>
    </row>
    <row r="16" spans="1:20" x14ac:dyDescent="0.45">
      <c r="A16" s="223">
        <v>16</v>
      </c>
      <c r="B16" s="239" t="str">
        <f>IF(MATCH(F16,MO_Common_ColumnHeader,0)&gt;UL.MRQColNum,"Forward","Historical")</f>
        <v>Forward</v>
      </c>
      <c r="C16" s="230"/>
      <c r="D16" s="246" t="str">
        <f ca="1">INDEX(INDIRECT(E16),0,COLUMN(MO_Common_Column_A))</f>
        <v>Adjusted Earnings Per Share - WAD</v>
      </c>
      <c r="E16" s="240" t="s">
        <v>272</v>
      </c>
      <c r="F16" s="239" t="s">
        <v>355</v>
      </c>
      <c r="G16" s="230"/>
      <c r="H16" s="243">
        <v>0.86</v>
      </c>
      <c r="I16" s="243">
        <v>0.94</v>
      </c>
      <c r="J16" s="243">
        <f>AVERAGE(H16:I16)</f>
        <v>0.89999999999999991</v>
      </c>
      <c r="K16" s="230"/>
      <c r="L16" s="239" t="str">
        <f>IF(MATCH(F16,MO_Common_ColumnHeader,0)&gt;UL.MRQColNum,"Estimate","Actual")</f>
        <v>Estimate</v>
      </c>
      <c r="M16" s="243">
        <f ca="1">IFERROR(INDEX(INDIRECT(E16),0,MATCH(F16,MO_Common_ColumnHeader,0)),"N/A")</f>
        <v>0.81359507868578607</v>
      </c>
      <c r="N16" s="230"/>
      <c r="O16" s="249">
        <f ca="1">IF(ISNUMBER(M16),M16-J16,"N/A")</f>
        <v>-8.6404921314213845E-2</v>
      </c>
      <c r="P16" s="248">
        <f ca="1">IFERROR(IF(ISNUMBER(M16),M16/J16-1,"N/A"),"N/A")</f>
        <v>-9.6005468126904248E-2</v>
      </c>
      <c r="Q16" s="230"/>
      <c r="R16" s="242">
        <v>43613</v>
      </c>
      <c r="S16" s="250" t="s">
        <v>271</v>
      </c>
      <c r="T16" s="230"/>
    </row>
    <row r="17" spans="1:20" x14ac:dyDescent="0.45">
      <c r="A17" s="223">
        <v>15</v>
      </c>
      <c r="B17" s="230"/>
      <c r="C17" s="230"/>
      <c r="D17" s="227"/>
      <c r="E17" s="228"/>
      <c r="F17" s="230"/>
      <c r="G17" s="230"/>
      <c r="H17" s="797"/>
      <c r="I17" s="797"/>
      <c r="J17" s="797"/>
      <c r="K17" s="230"/>
      <c r="L17" s="230"/>
      <c r="M17" s="797"/>
      <c r="N17" s="230"/>
      <c r="O17" s="232"/>
      <c r="P17" s="231"/>
      <c r="Q17" s="230"/>
      <c r="R17" s="233"/>
      <c r="S17" s="251"/>
      <c r="T17" s="230"/>
    </row>
    <row r="18" spans="1:20" x14ac:dyDescent="0.45">
      <c r="A18" s="223">
        <v>14</v>
      </c>
      <c r="B18" s="239" t="str">
        <f>IF(MATCH(F18,MO_Common_ColumnHeader,0)&gt;UL.MRQColNum,"Forward","Historical")</f>
        <v>Historical</v>
      </c>
      <c r="C18" s="230"/>
      <c r="D18" s="246" t="str">
        <f ca="1">INDEX(INDIRECT(E18),0,COLUMN(MO_Common_Column_A))</f>
        <v>Net Revenue</v>
      </c>
      <c r="E18" s="240" t="s">
        <v>269</v>
      </c>
      <c r="F18" s="239" t="s">
        <v>270</v>
      </c>
      <c r="G18" s="230"/>
      <c r="H18" s="241">
        <v>525</v>
      </c>
      <c r="I18" s="241">
        <v>535</v>
      </c>
      <c r="J18" s="241">
        <f>AVERAGE(H18:I18)</f>
        <v>530</v>
      </c>
      <c r="K18" s="230"/>
      <c r="L18" s="239" t="str">
        <f>IF(MATCH(F18,MO_Common_ColumnHeader,0)&gt;UL.MRQColNum,"Estimate","Actual")</f>
        <v>Actual</v>
      </c>
      <c r="M18" s="241">
        <f ca="1">IFERROR(INDEX(INDIRECT(E18),0,MATCH(F18,MO_Common_ColumnHeader,0)),"N/A")</f>
        <v>529.173</v>
      </c>
      <c r="N18" s="230"/>
      <c r="O18" s="247">
        <f ca="1">IF(ISNUMBER(M18),M18-J18,"N/A")</f>
        <v>-0.82699999999999818</v>
      </c>
      <c r="P18" s="248">
        <f ca="1">IFERROR(IF(ISNUMBER(M18),M18/J18-1,"N/A"),"N/A")</f>
        <v>-1.5603773584905722E-3</v>
      </c>
      <c r="Q18" s="230"/>
      <c r="R18" s="242">
        <v>43488</v>
      </c>
      <c r="S18" s="250" t="s">
        <v>271</v>
      </c>
      <c r="T18" s="230"/>
    </row>
    <row r="19" spans="1:20" x14ac:dyDescent="0.45">
      <c r="A19" s="223">
        <v>13</v>
      </c>
      <c r="B19" s="239" t="str">
        <f>IF(MATCH(F19,MO_Common_ColumnHeader,0)&gt;UL.MRQColNum,"Forward","Historical")</f>
        <v>Historical</v>
      </c>
      <c r="C19" s="230"/>
      <c r="D19" s="246" t="str">
        <f ca="1">INDEX(INDIRECT(E19),0,COLUMN(MO_Common_Column_A))</f>
        <v>Adjusted Earnings Per Share - WAD</v>
      </c>
      <c r="E19" s="240" t="s">
        <v>272</v>
      </c>
      <c r="F19" s="239" t="s">
        <v>270</v>
      </c>
      <c r="G19" s="230"/>
      <c r="H19" s="243">
        <v>0.72</v>
      </c>
      <c r="I19" s="243">
        <v>0.76</v>
      </c>
      <c r="J19" s="243">
        <f>AVERAGE(H19:I19)</f>
        <v>0.74</v>
      </c>
      <c r="K19" s="230"/>
      <c r="L19" s="239" t="str">
        <f>IF(MATCH(F19,MO_Common_ColumnHeader,0)&gt;UL.MRQColNum,"Estimate","Actual")</f>
        <v>Actual</v>
      </c>
      <c r="M19" s="243">
        <f ca="1">IFERROR(INDEX(INDIRECT(E19),0,MATCH(F19,MO_Common_ColumnHeader,0)),"N/A")</f>
        <v>0.86416408668730749</v>
      </c>
      <c r="N19" s="230"/>
      <c r="O19" s="249">
        <f ca="1">IF(ISNUMBER(M19),M19-J19,"N/A")</f>
        <v>0.1241640866873075</v>
      </c>
      <c r="P19" s="248">
        <f ca="1">IFERROR(IF(ISNUMBER(M19),M19/J19-1,"N/A"),"N/A")</f>
        <v>0.16778930633419931</v>
      </c>
      <c r="Q19" s="230"/>
      <c r="R19" s="242">
        <v>43488</v>
      </c>
      <c r="S19" s="250" t="s">
        <v>271</v>
      </c>
      <c r="T19" s="230"/>
    </row>
    <row r="20" spans="1:20" x14ac:dyDescent="0.45">
      <c r="A20" s="223">
        <v>12</v>
      </c>
      <c r="B20" s="230"/>
      <c r="C20" s="230"/>
      <c r="D20" s="227"/>
      <c r="E20" s="228"/>
      <c r="F20" s="230"/>
      <c r="G20" s="230"/>
      <c r="H20" s="797"/>
      <c r="I20" s="797"/>
      <c r="J20" s="797"/>
      <c r="K20" s="230"/>
      <c r="L20" s="230"/>
      <c r="M20" s="797"/>
      <c r="N20" s="230"/>
      <c r="O20" s="232"/>
      <c r="P20" s="231"/>
      <c r="Q20" s="230"/>
      <c r="R20" s="233"/>
      <c r="S20" s="251"/>
      <c r="T20" s="230"/>
    </row>
    <row r="21" spans="1:20" x14ac:dyDescent="0.45">
      <c r="A21" s="223">
        <v>11</v>
      </c>
      <c r="B21" s="239" t="str">
        <f>IF(MATCH(F21,MO_Common_ColumnHeader,0)&gt;UL.MRQColNum,"Forward","Historical")</f>
        <v>Historical</v>
      </c>
      <c r="C21" s="230"/>
      <c r="D21" s="246" t="str">
        <f ca="1">INDEX(INDIRECT(E21),0,COLUMN(MO_Common_Column_A))</f>
        <v>Net Revenue</v>
      </c>
      <c r="E21" s="240" t="s">
        <v>269</v>
      </c>
      <c r="F21" s="239" t="s">
        <v>270</v>
      </c>
      <c r="G21" s="230"/>
      <c r="H21" s="241">
        <v>525</v>
      </c>
      <c r="I21" s="241">
        <v>535</v>
      </c>
      <c r="J21" s="241">
        <f>AVERAGE(H21:I21)</f>
        <v>530</v>
      </c>
      <c r="K21" s="230"/>
      <c r="L21" s="239" t="str">
        <f>IF(MATCH(F21,MO_Common_ColumnHeader,0)&gt;UL.MRQColNum,"Estimate","Actual")</f>
        <v>Actual</v>
      </c>
      <c r="M21" s="241">
        <f ca="1">IFERROR(INDEX(INDIRECT(E21),0,MATCH(F21,MO_Common_ColumnHeader,0)),"N/A")</f>
        <v>529.173</v>
      </c>
      <c r="N21" s="230"/>
      <c r="O21" s="247">
        <f ca="1">IF(ISNUMBER(M21),M21-J21,"N/A")</f>
        <v>-0.82699999999999818</v>
      </c>
      <c r="P21" s="248">
        <f ca="1">IFERROR(IF(ISNUMBER(M21),M21/J21-1,"N/A"),"N/A")</f>
        <v>-1.5603773584905722E-3</v>
      </c>
      <c r="Q21" s="230"/>
      <c r="R21" s="242">
        <v>43403</v>
      </c>
      <c r="S21" s="250" t="s">
        <v>271</v>
      </c>
      <c r="T21" s="230"/>
    </row>
    <row r="22" spans="1:20" x14ac:dyDescent="0.45">
      <c r="A22" s="223">
        <v>10</v>
      </c>
      <c r="B22" s="239" t="str">
        <f>IF(MATCH(F22,MO_Common_ColumnHeader,0)&gt;UL.MRQColNum,"Forward","Historical")</f>
        <v>Historical</v>
      </c>
      <c r="C22" s="230"/>
      <c r="D22" s="246" t="str">
        <f ca="1">INDEX(INDIRECT(E22),0,COLUMN(MO_Common_Column_A))</f>
        <v>Adjusted Earnings Per Share - WAD</v>
      </c>
      <c r="E22" s="240" t="s">
        <v>272</v>
      </c>
      <c r="F22" s="239" t="s">
        <v>270</v>
      </c>
      <c r="G22" s="230"/>
      <c r="H22" s="243">
        <v>0.7</v>
      </c>
      <c r="I22" s="243">
        <v>0.74</v>
      </c>
      <c r="J22" s="243">
        <f>AVERAGE(H22:I22)</f>
        <v>0.72</v>
      </c>
      <c r="K22" s="230"/>
      <c r="L22" s="239" t="str">
        <f>IF(MATCH(F22,MO_Common_ColumnHeader,0)&gt;UL.MRQColNum,"Estimate","Actual")</f>
        <v>Actual</v>
      </c>
      <c r="M22" s="243">
        <f ca="1">IFERROR(INDEX(INDIRECT(E22),0,MATCH(F22,MO_Common_ColumnHeader,0)),"N/A")</f>
        <v>0.86416408668730749</v>
      </c>
      <c r="N22" s="230"/>
      <c r="O22" s="249">
        <f ca="1">IF(ISNUMBER(M22),M22-J22,"N/A")</f>
        <v>0.14416408668730751</v>
      </c>
      <c r="P22" s="248">
        <f ca="1">IFERROR(IF(ISNUMBER(M22),M22/J22-1,"N/A"),"N/A")</f>
        <v>0.20022789817681597</v>
      </c>
      <c r="Q22" s="230"/>
      <c r="R22" s="242">
        <v>43403</v>
      </c>
      <c r="S22" s="250" t="s">
        <v>271</v>
      </c>
      <c r="T22" s="230"/>
    </row>
    <row r="23" spans="1:20" x14ac:dyDescent="0.45">
      <c r="A23" s="223">
        <v>9</v>
      </c>
      <c r="B23" s="230"/>
      <c r="C23" s="230"/>
      <c r="D23" s="227"/>
      <c r="E23" s="228"/>
      <c r="F23" s="230"/>
      <c r="G23" s="230"/>
      <c r="H23" s="797"/>
      <c r="I23" s="797"/>
      <c r="J23" s="797"/>
      <c r="K23" s="230"/>
      <c r="L23" s="230"/>
      <c r="M23" s="797"/>
      <c r="N23" s="230"/>
      <c r="O23" s="232"/>
      <c r="P23" s="231"/>
      <c r="Q23" s="230"/>
      <c r="R23" s="233"/>
      <c r="S23" s="251"/>
      <c r="T23" s="230"/>
    </row>
    <row r="24" spans="1:20" x14ac:dyDescent="0.45">
      <c r="A24" s="223">
        <v>8</v>
      </c>
      <c r="B24" s="239" t="str">
        <f>IF(MATCH(F24,MO_Common_ColumnHeader,0)&gt;UL.MRQColNum,"Forward","Historical")</f>
        <v>Historical</v>
      </c>
      <c r="C24" s="230"/>
      <c r="D24" s="246" t="str">
        <f ca="1">INDEX(INDIRECT(E24),0,COLUMN(MO_Common_Column_A))</f>
        <v>Net Revenue</v>
      </c>
      <c r="E24" s="240" t="s">
        <v>269</v>
      </c>
      <c r="F24" s="239" t="s">
        <v>270</v>
      </c>
      <c r="G24" s="230"/>
      <c r="H24" s="241">
        <v>532</v>
      </c>
      <c r="I24" s="241">
        <v>548</v>
      </c>
      <c r="J24" s="241">
        <f>AVERAGE(H24:I24)</f>
        <v>540</v>
      </c>
      <c r="K24" s="230"/>
      <c r="L24" s="239" t="str">
        <f>IF(MATCH(F24,MO_Common_ColumnHeader,0)&gt;UL.MRQColNum,"Estimate","Actual")</f>
        <v>Actual</v>
      </c>
      <c r="M24" s="241">
        <f ca="1">IFERROR(INDEX(INDIRECT(E24),0,MATCH(F24,MO_Common_ColumnHeader,0)),"N/A")</f>
        <v>529.173</v>
      </c>
      <c r="N24" s="230"/>
      <c r="O24" s="247">
        <f ca="1">IF(ISNUMBER(M24),M24-J24,"N/A")</f>
        <v>-10.826999999999998</v>
      </c>
      <c r="P24" s="248">
        <f ca="1">IFERROR(IF(ISNUMBER(M24),M24/J24-1,"N/A"),"N/A")</f>
        <v>-2.0050000000000012E-2</v>
      </c>
      <c r="Q24" s="230"/>
      <c r="R24" s="242">
        <v>43312</v>
      </c>
      <c r="S24" s="250" t="s">
        <v>271</v>
      </c>
      <c r="T24" s="230"/>
    </row>
    <row r="25" spans="1:20" x14ac:dyDescent="0.45">
      <c r="A25" s="223">
        <v>7</v>
      </c>
      <c r="B25" s="239" t="str">
        <f>IF(MATCH(F25,MO_Common_ColumnHeader,0)&gt;UL.MRQColNum,"Forward","Historical")</f>
        <v>Historical</v>
      </c>
      <c r="C25" s="230"/>
      <c r="D25" s="246" t="str">
        <f ca="1">INDEX(INDIRECT(E25),0,COLUMN(MO_Common_Column_A))</f>
        <v>Adjusted Earnings Per Share - WAD</v>
      </c>
      <c r="E25" s="240" t="s">
        <v>272</v>
      </c>
      <c r="F25" s="239" t="s">
        <v>270</v>
      </c>
      <c r="G25" s="230"/>
      <c r="H25" s="243">
        <v>0.7</v>
      </c>
      <c r="I25" s="243">
        <v>0.78</v>
      </c>
      <c r="J25" s="243">
        <f>AVERAGE(H25:I25)</f>
        <v>0.74</v>
      </c>
      <c r="K25" s="230"/>
      <c r="L25" s="239" t="str">
        <f>IF(MATCH(F25,MO_Common_ColumnHeader,0)&gt;UL.MRQColNum,"Estimate","Actual")</f>
        <v>Actual</v>
      </c>
      <c r="M25" s="243">
        <f ca="1">IFERROR(INDEX(INDIRECT(E25),0,MATCH(F25,MO_Common_ColumnHeader,0)),"N/A")</f>
        <v>0.86416408668730749</v>
      </c>
      <c r="N25" s="230"/>
      <c r="O25" s="249">
        <f ca="1">IF(ISNUMBER(M25),M25-J25,"N/A")</f>
        <v>0.1241640866873075</v>
      </c>
      <c r="P25" s="248">
        <f ca="1">IFERROR(IF(ISNUMBER(M25),M25/J25-1,"N/A"),"N/A")</f>
        <v>0.16778930633419931</v>
      </c>
      <c r="Q25" s="230"/>
      <c r="R25" s="242">
        <v>43312</v>
      </c>
      <c r="S25" s="250" t="s">
        <v>271</v>
      </c>
      <c r="T25" s="230"/>
    </row>
    <row r="26" spans="1:20" x14ac:dyDescent="0.45">
      <c r="A26" s="223">
        <v>6</v>
      </c>
      <c r="B26" s="230"/>
      <c r="C26" s="230"/>
      <c r="D26" s="227"/>
      <c r="E26" s="228"/>
      <c r="F26" s="230"/>
      <c r="G26" s="230"/>
      <c r="H26" s="797"/>
      <c r="I26" s="797"/>
      <c r="J26" s="797"/>
      <c r="K26" s="230"/>
      <c r="L26" s="230"/>
      <c r="M26" s="797"/>
      <c r="N26" s="230"/>
      <c r="O26" s="232"/>
      <c r="P26" s="231"/>
      <c r="Q26" s="230"/>
      <c r="R26" s="233"/>
      <c r="S26" s="251"/>
      <c r="T26" s="230"/>
    </row>
    <row r="27" spans="1:20" x14ac:dyDescent="0.45">
      <c r="A27" s="223">
        <v>5</v>
      </c>
      <c r="B27" s="239" t="str">
        <f>IF(MATCH(F27,MO_Common_ColumnHeader,0)&gt;UL.MRQColNum,"Forward","Historical")</f>
        <v>Historical</v>
      </c>
      <c r="C27" s="230"/>
      <c r="D27" s="246" t="str">
        <f ca="1">INDEX(INDIRECT(E27),0,COLUMN(MO_Common_Column_A))</f>
        <v>Net Revenue</v>
      </c>
      <c r="E27" s="240" t="s">
        <v>269</v>
      </c>
      <c r="F27" s="239" t="s">
        <v>270</v>
      </c>
      <c r="G27" s="230"/>
      <c r="H27" s="241">
        <v>532</v>
      </c>
      <c r="I27" s="241">
        <v>548</v>
      </c>
      <c r="J27" s="241">
        <f>AVERAGE(H27:I27)</f>
        <v>540</v>
      </c>
      <c r="K27" s="230"/>
      <c r="L27" s="239" t="str">
        <f>IF(MATCH(F27,MO_Common_ColumnHeader,0)&gt;UL.MRQColNum,"Estimate","Actual")</f>
        <v>Actual</v>
      </c>
      <c r="M27" s="241">
        <f ca="1">IFERROR(INDEX(INDIRECT(E27),0,MATCH(F27,MO_Common_ColumnHeader,0)),"N/A")</f>
        <v>529.173</v>
      </c>
      <c r="N27" s="230"/>
      <c r="O27" s="247">
        <f ca="1">IF(ISNUMBER(M27),M27-J27,"N/A")</f>
        <v>-10.826999999999998</v>
      </c>
      <c r="P27" s="248">
        <f ca="1">IFERROR(IF(ISNUMBER(M27),M27/J27-1,"N/A"),"N/A")</f>
        <v>-2.0050000000000012E-2</v>
      </c>
      <c r="Q27" s="230"/>
      <c r="R27" s="242">
        <v>43244</v>
      </c>
      <c r="S27" s="250" t="s">
        <v>271</v>
      </c>
      <c r="T27" s="230"/>
    </row>
    <row r="28" spans="1:20" x14ac:dyDescent="0.45">
      <c r="A28" s="223">
        <v>4</v>
      </c>
      <c r="B28" s="239" t="str">
        <f>IF(MATCH(F28,MO_Common_ColumnHeader,0)&gt;UL.MRQColNum,"Forward","Historical")</f>
        <v>Historical</v>
      </c>
      <c r="C28" s="230"/>
      <c r="D28" s="246" t="str">
        <f ca="1">INDEX(INDIRECT(E28),0,COLUMN(MO_Common_Column_A))</f>
        <v>Adjusted Earnings Per Share - WAD</v>
      </c>
      <c r="E28" s="240" t="s">
        <v>272</v>
      </c>
      <c r="F28" s="239" t="s">
        <v>270</v>
      </c>
      <c r="G28" s="230"/>
      <c r="H28" s="243">
        <v>0.7</v>
      </c>
      <c r="I28" s="243">
        <v>0.78</v>
      </c>
      <c r="J28" s="243">
        <f>AVERAGE(H28:I28)</f>
        <v>0.74</v>
      </c>
      <c r="K28" s="230"/>
      <c r="L28" s="239" t="str">
        <f>IF(MATCH(F28,MO_Common_ColumnHeader,0)&gt;UL.MRQColNum,"Estimate","Actual")</f>
        <v>Actual</v>
      </c>
      <c r="M28" s="243">
        <f ca="1">IFERROR(INDEX(INDIRECT(E28),0,MATCH(F28,MO_Common_ColumnHeader,0)),"N/A")</f>
        <v>0.86416408668730749</v>
      </c>
      <c r="N28" s="230"/>
      <c r="O28" s="249">
        <f ca="1">IF(ISNUMBER(M28),M28-J28,"N/A")</f>
        <v>0.1241640866873075</v>
      </c>
      <c r="P28" s="248">
        <f ca="1">IFERROR(IF(ISNUMBER(M28),M28/J28-1,"N/A"),"N/A")</f>
        <v>0.16778930633419931</v>
      </c>
      <c r="Q28" s="230"/>
      <c r="R28" s="242">
        <v>43244</v>
      </c>
      <c r="S28" s="250" t="s">
        <v>271</v>
      </c>
      <c r="T28" s="230"/>
    </row>
    <row r="29" spans="1:20" x14ac:dyDescent="0.45">
      <c r="A29" s="223">
        <v>3</v>
      </c>
      <c r="B29" s="230"/>
      <c r="C29" s="230"/>
      <c r="D29" s="227"/>
      <c r="E29" s="228"/>
      <c r="F29" s="230"/>
      <c r="G29" s="230"/>
      <c r="H29" s="797"/>
      <c r="I29" s="797"/>
      <c r="J29" s="797"/>
      <c r="K29" s="230"/>
      <c r="L29" s="230"/>
      <c r="M29" s="797"/>
      <c r="N29" s="230"/>
      <c r="O29" s="232"/>
      <c r="P29" s="231"/>
      <c r="Q29" s="230"/>
      <c r="R29" s="233"/>
      <c r="S29" s="251"/>
      <c r="T29" s="230"/>
    </row>
    <row r="30" spans="1:20" x14ac:dyDescent="0.45">
      <c r="A30" s="223">
        <v>2</v>
      </c>
      <c r="B30" s="239" t="str">
        <f>IF(MATCH(F30,MO_Common_ColumnHeader,0)&gt;UL.MRQColNum,"Forward","Historical")</f>
        <v>Historical</v>
      </c>
      <c r="C30" s="230"/>
      <c r="D30" s="246" t="str">
        <f ca="1">INDEX(INDIRECT(E30),0,COLUMN(MO_Common_Column_A))</f>
        <v>Net Revenue</v>
      </c>
      <c r="E30" s="240" t="s">
        <v>269</v>
      </c>
      <c r="F30" s="239" t="s">
        <v>273</v>
      </c>
      <c r="G30" s="230"/>
      <c r="H30" s="241">
        <v>522</v>
      </c>
      <c r="I30" s="241">
        <v>530</v>
      </c>
      <c r="J30" s="241">
        <f>AVERAGE(H30:I30)</f>
        <v>526</v>
      </c>
      <c r="K30" s="230"/>
      <c r="L30" s="239" t="str">
        <f>IF(MATCH(F30,MO_Common_ColumnHeader,0)&gt;UL.MRQColNum,"Estimate","Actual")</f>
        <v>Actual</v>
      </c>
      <c r="M30" s="241">
        <f ca="1">IFERROR(INDEX(INDIRECT(E30),0,MATCH(F30,MO_Common_ColumnHeader,0)),"N/A")</f>
        <v>531.01900000000001</v>
      </c>
      <c r="N30" s="230"/>
      <c r="O30" s="247">
        <f ca="1">IF(ISNUMBER(M30),M30-J30,"N/A")</f>
        <v>5.0190000000000055</v>
      </c>
      <c r="P30" s="248">
        <f ca="1">IFERROR(IF(ISNUMBER(M30),M30/J30-1,"N/A"),"N/A")</f>
        <v>9.5418250950569661E-3</v>
      </c>
      <c r="Q30" s="230"/>
      <c r="R30" s="242">
        <v>43125</v>
      </c>
      <c r="S30" s="250" t="s">
        <v>271</v>
      </c>
      <c r="T30" s="230"/>
    </row>
    <row r="31" spans="1:20" x14ac:dyDescent="0.45">
      <c r="A31" s="223">
        <v>1</v>
      </c>
      <c r="B31" s="239" t="str">
        <f>IF(MATCH(F31,MO_Common_ColumnHeader,0)&gt;UL.MRQColNum,"Forward","Historical")</f>
        <v>Historical</v>
      </c>
      <c r="C31" s="230"/>
      <c r="D31" s="246" t="str">
        <f ca="1">INDEX(INDIRECT(E31),0,COLUMN(MO_Common_Column_A))</f>
        <v>Adjusted Earnings Per Share - WAD</v>
      </c>
      <c r="E31" s="240" t="s">
        <v>272</v>
      </c>
      <c r="F31" s="239" t="s">
        <v>273</v>
      </c>
      <c r="G31" s="230"/>
      <c r="H31" s="243">
        <v>0.64</v>
      </c>
      <c r="I31" s="243">
        <v>0.68</v>
      </c>
      <c r="J31" s="243">
        <f>AVERAGE(H31:I31)</f>
        <v>0.66</v>
      </c>
      <c r="K31" s="230"/>
      <c r="L31" s="239" t="str">
        <f>IF(MATCH(F31,MO_Common_ColumnHeader,0)&gt;UL.MRQColNum,"Estimate","Actual")</f>
        <v>Actual</v>
      </c>
      <c r="M31" s="243">
        <f ca="1">IFERROR(INDEX(INDIRECT(E31),0,MATCH(F31,MO_Common_ColumnHeader,0)),"N/A")</f>
        <v>0.70129255989911665</v>
      </c>
      <c r="N31" s="230"/>
      <c r="O31" s="249">
        <f ca="1">IF(ISNUMBER(M31),M31-J31,"N/A")</f>
        <v>4.1292559899116621E-2</v>
      </c>
      <c r="P31" s="248">
        <f ca="1">IFERROR(IF(ISNUMBER(M31),M31/J31-1,"N/A"),"N/A")</f>
        <v>6.2564484695631251E-2</v>
      </c>
      <c r="Q31" s="230"/>
      <c r="R31" s="242">
        <v>43125</v>
      </c>
      <c r="S31" s="250" t="s">
        <v>271</v>
      </c>
      <c r="T31" s="230"/>
    </row>
    <row r="32" spans="1:20" x14ac:dyDescent="0.45">
      <c r="A32" s="223">
        <v>0</v>
      </c>
      <c r="B32" s="230"/>
      <c r="C32" s="230"/>
      <c r="D32" s="230"/>
      <c r="E32" s="228"/>
      <c r="F32" s="230"/>
      <c r="G32" s="230"/>
      <c r="H32" s="230"/>
      <c r="I32" s="230"/>
      <c r="J32" s="230"/>
      <c r="K32" s="230"/>
      <c r="L32" s="230"/>
      <c r="M32" s="230"/>
      <c r="N32" s="230"/>
      <c r="O32" s="230"/>
      <c r="P32" s="102"/>
      <c r="Q32" s="230"/>
      <c r="R32" s="229"/>
      <c r="S32" s="230"/>
      <c r="T32" s="230"/>
    </row>
  </sheetData>
  <autoFilter ref="A5:T5" xr:uid="{00000000-0009-0000-0000-000002000000}">
    <sortState xmlns:xlrd2="http://schemas.microsoft.com/office/spreadsheetml/2017/richdata2" ref="A6:T29">
      <sortCondition descending="1" ref="A6:A29"/>
    </sortState>
  </autoFilter>
  <sortState xmlns:xlrd2="http://schemas.microsoft.com/office/spreadsheetml/2017/richdata2" ref="A12:T32">
    <sortCondition descending="1" ref="A12:A32"/>
  </sortState>
  <conditionalFormatting sqref="P1:P3 P5 P30:P31">
    <cfRule type="colorScale" priority="13">
      <colorScale>
        <cfvo type="num" val="-0.1"/>
        <cfvo type="num" val="0"/>
        <cfvo type="num" val="0.1"/>
        <color rgb="FFF8696B"/>
        <color rgb="FFFFEB84"/>
        <color rgb="FF63BE7B"/>
      </colorScale>
    </cfRule>
  </conditionalFormatting>
  <conditionalFormatting sqref="P27:P29">
    <cfRule type="colorScale" priority="11">
      <colorScale>
        <cfvo type="num" val="-0.1"/>
        <cfvo type="num" val="0"/>
        <cfvo type="num" val="0.1"/>
        <color rgb="FFF8696B"/>
        <color rgb="FFFFEB84"/>
        <color rgb="FF63BE7B"/>
      </colorScale>
    </cfRule>
  </conditionalFormatting>
  <conditionalFormatting sqref="P24:P25">
    <cfRule type="colorScale" priority="9">
      <colorScale>
        <cfvo type="num" val="-0.1"/>
        <cfvo type="num" val="0"/>
        <cfvo type="num" val="0.1"/>
        <color rgb="FFF8696B"/>
        <color rgb="FFFFEB84"/>
        <color rgb="FF63BE7B"/>
      </colorScale>
    </cfRule>
  </conditionalFormatting>
  <conditionalFormatting sqref="P26">
    <cfRule type="colorScale" priority="8">
      <colorScale>
        <cfvo type="num" val="-0.1"/>
        <cfvo type="num" val="0"/>
        <cfvo type="num" val="0.1"/>
        <color rgb="FFF8696B"/>
        <color rgb="FFFFEB84"/>
        <color rgb="FF63BE7B"/>
      </colorScale>
    </cfRule>
  </conditionalFormatting>
  <conditionalFormatting sqref="P18:P20">
    <cfRule type="colorScale" priority="7">
      <colorScale>
        <cfvo type="num" val="-0.1"/>
        <cfvo type="num" val="0"/>
        <cfvo type="num" val="0.1"/>
        <color rgb="FFF8696B"/>
        <color rgb="FFFFEB84"/>
        <color rgb="FF63BE7B"/>
      </colorScale>
    </cfRule>
  </conditionalFormatting>
  <conditionalFormatting sqref="P23">
    <cfRule type="colorScale" priority="6">
      <colorScale>
        <cfvo type="num" val="-0.1"/>
        <cfvo type="num" val="0"/>
        <cfvo type="num" val="0.1"/>
        <color rgb="FFF8696B"/>
        <color rgb="FFFFEB84"/>
        <color rgb="FF63BE7B"/>
      </colorScale>
    </cfRule>
  </conditionalFormatting>
  <conditionalFormatting sqref="P21:P22">
    <cfRule type="colorScale" priority="5">
      <colorScale>
        <cfvo type="num" val="-0.1"/>
        <cfvo type="num" val="0"/>
        <cfvo type="num" val="0.1"/>
        <color rgb="FFF8696B"/>
        <color rgb="FFFFEB84"/>
        <color rgb="FF63BE7B"/>
      </colorScale>
    </cfRule>
  </conditionalFormatting>
  <conditionalFormatting sqref="P15:P17">
    <cfRule type="colorScale" priority="4">
      <colorScale>
        <cfvo type="num" val="-0.1"/>
        <cfvo type="num" val="0"/>
        <cfvo type="num" val="0.1"/>
        <color rgb="FFF8696B"/>
        <color rgb="FFFFEB84"/>
        <color rgb="FF63BE7B"/>
      </colorScale>
    </cfRule>
  </conditionalFormatting>
  <conditionalFormatting sqref="P12:P14">
    <cfRule type="colorScale" priority="3">
      <colorScale>
        <cfvo type="num" val="-0.1"/>
        <cfvo type="num" val="0"/>
        <cfvo type="num" val="0.1"/>
        <color rgb="FFF8696B"/>
        <color rgb="FFFFEB84"/>
        <color rgb="FF63BE7B"/>
      </colorScale>
    </cfRule>
  </conditionalFormatting>
  <conditionalFormatting sqref="P9:P11">
    <cfRule type="colorScale" priority="2">
      <colorScale>
        <cfvo type="num" val="-0.1"/>
        <cfvo type="num" val="0"/>
        <cfvo type="num" val="0.1"/>
        <color rgb="FFF8696B"/>
        <color rgb="FFFFEB84"/>
        <color rgb="FF63BE7B"/>
      </colorScale>
    </cfRule>
  </conditionalFormatting>
  <conditionalFormatting sqref="P6:P8">
    <cfRule type="colorScale" priority="1">
      <colorScale>
        <cfvo type="num" val="-0.1"/>
        <cfvo type="num" val="0"/>
        <cfvo type="num" val="0.1"/>
        <color rgb="FFF8696B"/>
        <color rgb="FFFFEB84"/>
        <color rgb="FF63BE7B"/>
      </colorScale>
    </cfRule>
  </conditionalFormatting>
  <hyperlinks>
    <hyperlink ref="S18" r:id="rId1" xr:uid="{00000000-0004-0000-0200-000000000000}"/>
    <hyperlink ref="S19" r:id="rId2" xr:uid="{00000000-0004-0000-0200-000001000000}"/>
    <hyperlink ref="S21" r:id="rId3" xr:uid="{00000000-0004-0000-0200-000002000000}"/>
    <hyperlink ref="S24" r:id="rId4" xr:uid="{00000000-0004-0000-0200-000003000000}"/>
    <hyperlink ref="S15" r:id="rId5" xr:uid="{00000000-0004-0000-0200-000004000000}"/>
    <hyperlink ref="S16" r:id="rId6" xr:uid="{00000000-0004-0000-0200-000005000000}"/>
    <hyperlink ref="S12" r:id="rId7" xr:uid="{00000000-0004-0000-0200-000006000000}"/>
    <hyperlink ref="S13" r:id="rId8" xr:uid="{00000000-0004-0000-0200-000007000000}"/>
    <hyperlink ref="S9" r:id="rId9" xr:uid="{00000000-0004-0000-0200-000008000000}"/>
    <hyperlink ref="S10" r:id="rId10" xr:uid="{00000000-0004-0000-0200-000009000000}"/>
    <hyperlink ref="S9:S10" r:id="rId11" display="Press Release" xr:uid="{00000000-0004-0000-0200-00000A000000}"/>
    <hyperlink ref="S6" r:id="rId12" xr:uid="{00000000-0004-0000-0200-00000B000000}"/>
    <hyperlink ref="S7" r:id="rId13" xr:uid="{00000000-0004-0000-0200-00000C000000}"/>
    <hyperlink ref="S22" r:id="rId14" xr:uid="{00000000-0004-0000-0200-00000D000000}"/>
    <hyperlink ref="S25" r:id="rId15" xr:uid="{00000000-0004-0000-0200-00000E000000}"/>
    <hyperlink ref="S27" r:id="rId16" xr:uid="{00000000-0004-0000-0200-00000F000000}"/>
    <hyperlink ref="S28" r:id="rId17" xr:uid="{00000000-0004-0000-0200-000010000000}"/>
    <hyperlink ref="S30" r:id="rId18" xr:uid="{00000000-0004-0000-0200-000011000000}"/>
    <hyperlink ref="S31" r:id="rId19" xr:uid="{00000000-0004-0000-0200-000012000000}"/>
  </hyperlinks>
  <pageMargins left="0.7" right="0.7" top="0.75" bottom="0.75" header="0.3" footer="0.3"/>
  <pageSetup orientation="portrait"/>
  <legacy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AX140"/>
  <sheetViews>
    <sheetView tabSelected="1" zoomScaleNormal="100" workbookViewId="0">
      <pane xSplit="2" ySplit="2" topLeftCell="C63" activePane="bottomRight" state="frozen"/>
      <selection pane="topRight" activeCell="C1" sqref="C1"/>
      <selection pane="bottomLeft" activeCell="A3" sqref="A3"/>
      <selection pane="bottomRight" activeCell="AK71" activeCellId="1" sqref="AI71 AK71:AM71"/>
    </sheetView>
  </sheetViews>
  <sheetFormatPr defaultColWidth="9.1328125" defaultRowHeight="14.25" outlineLevelRow="1" outlineLevelCol="1" x14ac:dyDescent="0.45"/>
  <cols>
    <col min="1" max="1" width="41.265625" style="2" customWidth="1"/>
    <col min="2" max="6" width="9.73046875" style="2" customWidth="1"/>
    <col min="7" max="10" width="9.73046875" style="2" hidden="1" customWidth="1" outlineLevel="1"/>
    <col min="11" max="11" width="9.73046875" style="2" customWidth="1" collapsed="1"/>
    <col min="12" max="15" width="9.73046875" style="2" hidden="1" customWidth="1" outlineLevel="1"/>
    <col min="16" max="16" width="9.73046875" style="2" customWidth="1" collapsed="1"/>
    <col min="17" max="20" width="9.73046875" style="2" hidden="1" customWidth="1" outlineLevel="1"/>
    <col min="21" max="21" width="9.73046875" style="2" customWidth="1" collapsed="1"/>
    <col min="22" max="25" width="9.73046875" style="2" hidden="1" customWidth="1" outlineLevel="1"/>
    <col min="26" max="26" width="9.73046875" style="2" customWidth="1" collapsed="1"/>
    <col min="27" max="30" width="9.73046875" style="2" hidden="1" customWidth="1" outlineLevel="1"/>
    <col min="31" max="31" width="9.73046875" style="2" customWidth="1" collapsed="1"/>
    <col min="32" max="35" width="9.73046875" style="2" customWidth="1" outlineLevel="1"/>
    <col min="36" max="36" width="9.73046875" style="2" customWidth="1"/>
    <col min="37" max="40" width="9.73046875" style="2" customWidth="1" outlineLevel="1"/>
    <col min="41" max="41" width="9.73046875" style="2" customWidth="1"/>
    <col min="42" max="45" width="9.73046875" style="2" hidden="1" customWidth="1" outlineLevel="1"/>
    <col min="46" max="46" width="9.73046875" style="2" customWidth="1" collapsed="1"/>
    <col min="47" max="49" width="9.73046875" style="2" customWidth="1"/>
    <col min="50" max="50" width="8.86328125" style="2" customWidth="1"/>
    <col min="51" max="54" width="9.1328125" style="2" customWidth="1"/>
    <col min="55" max="16384" width="9.1328125" style="2"/>
  </cols>
  <sheetData>
    <row r="1" spans="1:50" ht="28.5" x14ac:dyDescent="0.85">
      <c r="A1" s="226" t="str">
        <f>MO.CompanyName</f>
        <v>NextGen Healthcare</v>
      </c>
      <c r="B1" s="806"/>
      <c r="C1" s="475">
        <f t="shared" ref="C1:AW1" si="0">INDEX(MO_Common_QEndDate,0,COLUMN())</f>
        <v>40268</v>
      </c>
      <c r="D1" s="425">
        <f t="shared" si="0"/>
        <v>40633</v>
      </c>
      <c r="E1" s="425">
        <f t="shared" si="0"/>
        <v>40999</v>
      </c>
      <c r="F1" s="425">
        <f t="shared" si="0"/>
        <v>41364</v>
      </c>
      <c r="G1" s="425">
        <f t="shared" si="0"/>
        <v>41455</v>
      </c>
      <c r="H1" s="425">
        <f t="shared" si="0"/>
        <v>41547</v>
      </c>
      <c r="I1" s="425">
        <f t="shared" si="0"/>
        <v>41639</v>
      </c>
      <c r="J1" s="425">
        <f t="shared" si="0"/>
        <v>41729</v>
      </c>
      <c r="K1" s="425">
        <f t="shared" si="0"/>
        <v>41729</v>
      </c>
      <c r="L1" s="425">
        <f t="shared" si="0"/>
        <v>41820</v>
      </c>
      <c r="M1" s="425">
        <f t="shared" si="0"/>
        <v>41912</v>
      </c>
      <c r="N1" s="425">
        <f t="shared" si="0"/>
        <v>42004</v>
      </c>
      <c r="O1" s="425">
        <f t="shared" si="0"/>
        <v>42094</v>
      </c>
      <c r="P1" s="425">
        <f t="shared" si="0"/>
        <v>42094</v>
      </c>
      <c r="Q1" s="425">
        <f t="shared" si="0"/>
        <v>42185</v>
      </c>
      <c r="R1" s="425">
        <f t="shared" si="0"/>
        <v>42277</v>
      </c>
      <c r="S1" s="425">
        <f t="shared" si="0"/>
        <v>42369</v>
      </c>
      <c r="T1" s="425">
        <f t="shared" si="0"/>
        <v>42460</v>
      </c>
      <c r="U1" s="425">
        <f t="shared" si="0"/>
        <v>42460</v>
      </c>
      <c r="V1" s="425">
        <f t="shared" si="0"/>
        <v>42551</v>
      </c>
      <c r="W1" s="425">
        <f t="shared" si="0"/>
        <v>42643</v>
      </c>
      <c r="X1" s="425">
        <f t="shared" si="0"/>
        <v>42735</v>
      </c>
      <c r="Y1" s="425">
        <f t="shared" si="0"/>
        <v>42825</v>
      </c>
      <c r="Z1" s="425">
        <f t="shared" si="0"/>
        <v>42825</v>
      </c>
      <c r="AA1" s="425">
        <f t="shared" si="0"/>
        <v>42916</v>
      </c>
      <c r="AB1" s="425">
        <f t="shared" si="0"/>
        <v>43008</v>
      </c>
      <c r="AC1" s="425">
        <f t="shared" si="0"/>
        <v>43100</v>
      </c>
      <c r="AD1" s="425">
        <f t="shared" si="0"/>
        <v>43190</v>
      </c>
      <c r="AE1" s="425">
        <f t="shared" si="0"/>
        <v>43190</v>
      </c>
      <c r="AF1" s="425">
        <f t="shared" si="0"/>
        <v>43281</v>
      </c>
      <c r="AG1" s="425">
        <f t="shared" si="0"/>
        <v>43373</v>
      </c>
      <c r="AH1" s="425">
        <f t="shared" si="0"/>
        <v>43465</v>
      </c>
      <c r="AI1" s="425">
        <f t="shared" si="0"/>
        <v>43555</v>
      </c>
      <c r="AJ1" s="425">
        <f t="shared" si="0"/>
        <v>43555</v>
      </c>
      <c r="AK1" s="425">
        <f t="shared" si="0"/>
        <v>43646</v>
      </c>
      <c r="AL1" s="425">
        <f t="shared" si="0"/>
        <v>43738</v>
      </c>
      <c r="AM1" s="578">
        <f t="shared" si="0"/>
        <v>43830</v>
      </c>
      <c r="AN1" s="211">
        <f t="shared" si="0"/>
        <v>43921</v>
      </c>
      <c r="AO1" s="211">
        <f t="shared" si="0"/>
        <v>43921</v>
      </c>
      <c r="AP1" s="211">
        <f t="shared" si="0"/>
        <v>44012</v>
      </c>
      <c r="AQ1" s="211">
        <f t="shared" si="0"/>
        <v>44104</v>
      </c>
      <c r="AR1" s="211">
        <f t="shared" si="0"/>
        <v>44196</v>
      </c>
      <c r="AS1" s="211">
        <f t="shared" si="0"/>
        <v>44286</v>
      </c>
      <c r="AT1" s="211">
        <f t="shared" si="0"/>
        <v>44286</v>
      </c>
      <c r="AU1" s="211">
        <f t="shared" si="0"/>
        <v>44651</v>
      </c>
      <c r="AV1" s="211">
        <f t="shared" si="0"/>
        <v>45016</v>
      </c>
      <c r="AW1" s="211">
        <f t="shared" si="0"/>
        <v>45382</v>
      </c>
      <c r="AX1" s="806"/>
    </row>
    <row r="2" spans="1:50" s="91" customFormat="1" x14ac:dyDescent="0.45">
      <c r="A2" s="252" t="s">
        <v>274</v>
      </c>
      <c r="B2" s="253" t="str">
        <f>MO.ReportFX</f>
        <v>USD</v>
      </c>
      <c r="C2" s="545" t="str">
        <f t="shared" ref="C2:AW2" si="1">INDEX(MO_Common_ColumnHeader,0,COLUMN())</f>
        <v>FY2010</v>
      </c>
      <c r="D2" s="426" t="str">
        <f t="shared" si="1"/>
        <v>FY2011</v>
      </c>
      <c r="E2" s="426" t="str">
        <f t="shared" si="1"/>
        <v>FY2012</v>
      </c>
      <c r="F2" s="426" t="str">
        <f t="shared" si="1"/>
        <v>FY2013</v>
      </c>
      <c r="G2" s="426" t="str">
        <f t="shared" si="1"/>
        <v>Q1-2014</v>
      </c>
      <c r="H2" s="426" t="str">
        <f t="shared" si="1"/>
        <v>Q2-2014</v>
      </c>
      <c r="I2" s="426" t="str">
        <f t="shared" si="1"/>
        <v>Q3-2014</v>
      </c>
      <c r="J2" s="426" t="str">
        <f t="shared" si="1"/>
        <v>Q4-2014</v>
      </c>
      <c r="K2" s="426" t="str">
        <f t="shared" si="1"/>
        <v>FY2014</v>
      </c>
      <c r="L2" s="426" t="str">
        <f t="shared" si="1"/>
        <v>Q1-2015</v>
      </c>
      <c r="M2" s="426" t="str">
        <f t="shared" si="1"/>
        <v>Q2-2015</v>
      </c>
      <c r="N2" s="426" t="str">
        <f t="shared" si="1"/>
        <v>Q3-2015</v>
      </c>
      <c r="O2" s="426" t="str">
        <f t="shared" si="1"/>
        <v>Q4-2015</v>
      </c>
      <c r="P2" s="426" t="str">
        <f t="shared" si="1"/>
        <v>FY2015</v>
      </c>
      <c r="Q2" s="426" t="str">
        <f t="shared" si="1"/>
        <v>Q1-2016</v>
      </c>
      <c r="R2" s="426" t="str">
        <f t="shared" si="1"/>
        <v>Q2-2016</v>
      </c>
      <c r="S2" s="426" t="str">
        <f t="shared" si="1"/>
        <v>Q3-2016</v>
      </c>
      <c r="T2" s="426" t="str">
        <f t="shared" si="1"/>
        <v>Q4-2016</v>
      </c>
      <c r="U2" s="426" t="str">
        <f t="shared" si="1"/>
        <v>FY2016</v>
      </c>
      <c r="V2" s="426" t="str">
        <f t="shared" si="1"/>
        <v>Q1-2017</v>
      </c>
      <c r="W2" s="426" t="str">
        <f t="shared" si="1"/>
        <v>Q2-2017</v>
      </c>
      <c r="X2" s="426" t="str">
        <f t="shared" si="1"/>
        <v>Q3-2017</v>
      </c>
      <c r="Y2" s="426" t="str">
        <f t="shared" si="1"/>
        <v>Q4-2017</v>
      </c>
      <c r="Z2" s="426" t="str">
        <f t="shared" si="1"/>
        <v>FY2017</v>
      </c>
      <c r="AA2" s="426" t="str">
        <f t="shared" si="1"/>
        <v>Q1-2018</v>
      </c>
      <c r="AB2" s="426" t="str">
        <f t="shared" si="1"/>
        <v>Q2-2018</v>
      </c>
      <c r="AC2" s="426" t="str">
        <f t="shared" si="1"/>
        <v>Q3-2018</v>
      </c>
      <c r="AD2" s="426" t="str">
        <f t="shared" si="1"/>
        <v>Q4-2018</v>
      </c>
      <c r="AE2" s="426" t="str">
        <f t="shared" si="1"/>
        <v>FY2018</v>
      </c>
      <c r="AF2" s="426" t="str">
        <f t="shared" si="1"/>
        <v>Q1-2019</v>
      </c>
      <c r="AG2" s="426" t="str">
        <f t="shared" si="1"/>
        <v>Q2-2019</v>
      </c>
      <c r="AH2" s="426" t="str">
        <f t="shared" si="1"/>
        <v>Q3-2019</v>
      </c>
      <c r="AI2" s="426" t="str">
        <f t="shared" si="1"/>
        <v>Q4-2019</v>
      </c>
      <c r="AJ2" s="426" t="str">
        <f t="shared" si="1"/>
        <v>FY2019</v>
      </c>
      <c r="AK2" s="426" t="str">
        <f t="shared" si="1"/>
        <v>Q1-2020</v>
      </c>
      <c r="AL2" s="426" t="str">
        <f t="shared" si="1"/>
        <v>Q2-2020</v>
      </c>
      <c r="AM2" s="579" t="str">
        <f t="shared" si="1"/>
        <v>Q3-2020</v>
      </c>
      <c r="AN2" s="159" t="str">
        <f t="shared" si="1"/>
        <v>Q4-2020</v>
      </c>
      <c r="AO2" s="159" t="str">
        <f t="shared" si="1"/>
        <v>FY2020</v>
      </c>
      <c r="AP2" s="159" t="str">
        <f t="shared" si="1"/>
        <v>Q1-2021</v>
      </c>
      <c r="AQ2" s="159" t="str">
        <f t="shared" si="1"/>
        <v>Q2-2021</v>
      </c>
      <c r="AR2" s="159" t="str">
        <f t="shared" si="1"/>
        <v>Q3-2021</v>
      </c>
      <c r="AS2" s="159" t="str">
        <f t="shared" si="1"/>
        <v>Q4-2021</v>
      </c>
      <c r="AT2" s="159" t="str">
        <f t="shared" si="1"/>
        <v>FY2021</v>
      </c>
      <c r="AU2" s="159" t="str">
        <f t="shared" si="1"/>
        <v>FY2022</v>
      </c>
      <c r="AV2" s="159" t="str">
        <f t="shared" si="1"/>
        <v>FY2023</v>
      </c>
      <c r="AW2" s="159" t="str">
        <f t="shared" si="1"/>
        <v>FY2024</v>
      </c>
      <c r="AX2" s="806"/>
    </row>
    <row r="3" spans="1:50" x14ac:dyDescent="0.45">
      <c r="A3" s="155" t="s">
        <v>275</v>
      </c>
      <c r="B3" s="155"/>
      <c r="C3" s="427"/>
      <c r="D3" s="427"/>
      <c r="E3" s="427"/>
      <c r="F3" s="427"/>
      <c r="G3" s="427"/>
      <c r="H3" s="427"/>
      <c r="I3" s="427"/>
      <c r="J3" s="427"/>
      <c r="K3" s="427"/>
      <c r="L3" s="427"/>
      <c r="M3" s="427"/>
      <c r="N3" s="427"/>
      <c r="O3" s="427"/>
      <c r="P3" s="427"/>
      <c r="Q3" s="427"/>
      <c r="R3" s="427"/>
      <c r="S3" s="427"/>
      <c r="T3" s="427"/>
      <c r="U3" s="427"/>
      <c r="V3" s="427"/>
      <c r="W3" s="427"/>
      <c r="X3" s="427"/>
      <c r="Y3" s="427"/>
      <c r="Z3" s="427"/>
      <c r="AA3" s="427"/>
      <c r="AB3" s="427"/>
      <c r="AC3" s="427"/>
      <c r="AD3" s="427"/>
      <c r="AE3" s="427"/>
      <c r="AF3" s="427"/>
      <c r="AG3" s="427"/>
      <c r="AH3" s="427"/>
      <c r="AI3" s="427"/>
      <c r="AJ3" s="427"/>
      <c r="AK3" s="427"/>
      <c r="AL3" s="427"/>
      <c r="AM3" s="580"/>
      <c r="AN3" s="155"/>
      <c r="AO3" s="155"/>
      <c r="AP3" s="155"/>
      <c r="AQ3" s="155"/>
      <c r="AR3" s="155"/>
      <c r="AS3" s="155"/>
      <c r="AT3" s="155"/>
      <c r="AU3" s="155"/>
      <c r="AV3" s="155"/>
      <c r="AW3" s="155"/>
      <c r="AX3" s="269"/>
    </row>
    <row r="4" spans="1:50" s="92" customFormat="1" x14ac:dyDescent="0.45">
      <c r="A4" s="254" t="str">
        <f>"Stock Price - "&amp;SP.ValuationToggle</f>
        <v>Stock Price - Avg</v>
      </c>
      <c r="B4" s="212" t="s">
        <v>108</v>
      </c>
      <c r="C4" s="476">
        <f t="shared" ref="C4:AW4" ca="1" si="2">IF(INDEX(MO_SNA_IsHistoricalPeriod,1,COLUMN())=FALSE,MO.LastPrice/HP.MRFX,CHOOSE(VLOOKUP(SP.ValuationToggle,tb_ValuationToggle,COLUMNS(tb_ValuationToggle),FALSE),INDEX(MO_SPT_StockHigh,1,COLUMN()),INDEX(MO_SPT_StockLow,1,COLUMN()),INDEX(MO_SPT_StockAverage,1,COLUMN()))/IF(INDEX(MO_SPT_FXAverage,1,COLUMN())=0,1,INDEX(MO_SPT_FXAverage,1,COLUMN())))</f>
        <v>28.998125000000002</v>
      </c>
      <c r="D4" s="476">
        <f t="shared" ca="1" si="2"/>
        <v>32.883749999999999</v>
      </c>
      <c r="E4" s="476">
        <f t="shared" ca="1" si="2"/>
        <v>41.912500000000001</v>
      </c>
      <c r="F4" s="476">
        <f t="shared" ca="1" si="2"/>
        <v>23.0825</v>
      </c>
      <c r="G4" s="428">
        <f t="shared" ca="1" si="2"/>
        <v>18.239999999999998</v>
      </c>
      <c r="H4" s="428">
        <f t="shared" ca="1" si="2"/>
        <v>21.105</v>
      </c>
      <c r="I4" s="428">
        <f t="shared" ca="1" si="2"/>
        <v>22.22</v>
      </c>
      <c r="J4" s="428">
        <f t="shared" ca="1" si="2"/>
        <v>18.675000000000001</v>
      </c>
      <c r="K4" s="476">
        <f t="shared" ca="1" si="2"/>
        <v>20.059999999999999</v>
      </c>
      <c r="L4" s="428">
        <f t="shared" ca="1" si="2"/>
        <v>16.495000000000001</v>
      </c>
      <c r="M4" s="428">
        <f t="shared" ca="1" si="2"/>
        <v>15.16</v>
      </c>
      <c r="N4" s="428">
        <f t="shared" ca="1" si="2"/>
        <v>14.5</v>
      </c>
      <c r="O4" s="428">
        <f t="shared" ca="1" si="2"/>
        <v>17.03</v>
      </c>
      <c r="P4" s="476">
        <f t="shared" ca="1" si="2"/>
        <v>15.796250000000001</v>
      </c>
      <c r="Q4" s="428">
        <f t="shared" ca="1" si="2"/>
        <v>16.64</v>
      </c>
      <c r="R4" s="428">
        <f t="shared" ca="1" si="2"/>
        <v>14.535</v>
      </c>
      <c r="S4" s="428">
        <f t="shared" ca="1" si="2"/>
        <v>14.425000000000001</v>
      </c>
      <c r="T4" s="428">
        <f t="shared" ca="1" si="2"/>
        <v>15.005000000000001</v>
      </c>
      <c r="U4" s="476">
        <f t="shared" ca="1" si="2"/>
        <v>15.151249999999999</v>
      </c>
      <c r="V4" s="428">
        <f t="shared" ca="1" si="2"/>
        <v>13.205</v>
      </c>
      <c r="W4" s="428">
        <f t="shared" ca="1" si="2"/>
        <v>12.085000000000001</v>
      </c>
      <c r="X4" s="428">
        <f t="shared" ca="1" si="2"/>
        <v>12.395</v>
      </c>
      <c r="Y4" s="428">
        <f t="shared" ca="1" si="2"/>
        <v>14.484999999999999</v>
      </c>
      <c r="Z4" s="439">
        <f t="shared" ca="1" si="2"/>
        <v>13.0425</v>
      </c>
      <c r="AA4" s="428">
        <f t="shared" ca="1" si="2"/>
        <v>15.5</v>
      </c>
      <c r="AB4" s="428">
        <f t="shared" ca="1" si="2"/>
        <v>16.18</v>
      </c>
      <c r="AC4" s="428">
        <f t="shared" ca="1" si="2"/>
        <v>14.4</v>
      </c>
      <c r="AD4" s="428">
        <f t="shared" ca="1" si="2"/>
        <v>13.295</v>
      </c>
      <c r="AE4" s="439">
        <f t="shared" ca="1" si="2"/>
        <v>14.84375</v>
      </c>
      <c r="AF4" s="428">
        <f t="shared" ca="1" si="2"/>
        <v>15.805468749999999</v>
      </c>
      <c r="AG4" s="428">
        <f t="shared" ca="1" si="2"/>
        <v>21.200952380952401</v>
      </c>
      <c r="AH4" s="428">
        <f t="shared" ca="1" si="2"/>
        <v>17.155396825396799</v>
      </c>
      <c r="AI4" s="428">
        <f t="shared" ca="1" si="2"/>
        <v>17.3393442622951</v>
      </c>
      <c r="AJ4" s="439">
        <f t="shared" ca="1" si="2"/>
        <v>17.8713147410358</v>
      </c>
      <c r="AK4" s="428">
        <f t="shared" ca="1" si="2"/>
        <v>18.674761904761901</v>
      </c>
      <c r="AL4" s="428">
        <f t="shared" ca="1" si="2"/>
        <v>16.632578124999998</v>
      </c>
      <c r="AM4" s="581">
        <f t="shared" ca="1" si="2"/>
        <v>16.522421874999999</v>
      </c>
      <c r="AN4" s="160">
        <f t="shared" ca="1" si="2"/>
        <v>10.1</v>
      </c>
      <c r="AO4" s="161">
        <f t="shared" ca="1" si="2"/>
        <v>10.1</v>
      </c>
      <c r="AP4" s="160">
        <f t="shared" ca="1" si="2"/>
        <v>10.1</v>
      </c>
      <c r="AQ4" s="160">
        <f t="shared" ca="1" si="2"/>
        <v>10.1</v>
      </c>
      <c r="AR4" s="160">
        <f t="shared" ca="1" si="2"/>
        <v>10.1</v>
      </c>
      <c r="AS4" s="160">
        <f t="shared" ca="1" si="2"/>
        <v>10.1</v>
      </c>
      <c r="AT4" s="161">
        <f t="shared" ca="1" si="2"/>
        <v>10.1</v>
      </c>
      <c r="AU4" s="161">
        <f t="shared" ca="1" si="2"/>
        <v>10.1</v>
      </c>
      <c r="AV4" s="161">
        <f t="shared" ca="1" si="2"/>
        <v>10.1</v>
      </c>
      <c r="AW4" s="161">
        <f t="shared" ca="1" si="2"/>
        <v>10.1</v>
      </c>
      <c r="AX4" s="164"/>
    </row>
    <row r="5" spans="1:50" s="91" customFormat="1" x14ac:dyDescent="0.45">
      <c r="A5" s="539" t="str">
        <f>INDEX(MO_RIS_ShareCount_WAD_Adj,0,COLUMN())</f>
        <v>Adjusted Shares Outstanding - WAD</v>
      </c>
      <c r="B5" s="540"/>
      <c r="C5" s="953">
        <f t="shared" ref="C5:AW5" si="3">INDEX(MO_RIS_ShareCount_WAD_Adj,0,COLUMN())</f>
        <v>57.591999999999999</v>
      </c>
      <c r="D5" s="953">
        <f t="shared" si="3"/>
        <v>58.235999999999997</v>
      </c>
      <c r="E5" s="953">
        <f t="shared" si="3"/>
        <v>59.048999999999999</v>
      </c>
      <c r="F5" s="953">
        <f t="shared" si="3"/>
        <v>59.462000000000003</v>
      </c>
      <c r="G5" s="954">
        <f t="shared" si="3"/>
        <v>59.572000000000003</v>
      </c>
      <c r="H5" s="954">
        <f t="shared" si="3"/>
        <v>59.750999999999998</v>
      </c>
      <c r="I5" s="954">
        <f t="shared" si="3"/>
        <v>60.545999999999999</v>
      </c>
      <c r="J5" s="954">
        <f t="shared" si="3"/>
        <v>60.591999999999999</v>
      </c>
      <c r="K5" s="953">
        <f t="shared" si="3"/>
        <v>60.134</v>
      </c>
      <c r="L5" s="954">
        <f t="shared" si="3"/>
        <v>60.77</v>
      </c>
      <c r="M5" s="954">
        <f t="shared" si="3"/>
        <v>60.787999999999997</v>
      </c>
      <c r="N5" s="954">
        <f t="shared" si="3"/>
        <v>60.854999999999997</v>
      </c>
      <c r="O5" s="954">
        <f t="shared" si="3"/>
        <v>60.956000000000003</v>
      </c>
      <c r="P5" s="953">
        <f t="shared" si="3"/>
        <v>60.848999999999997</v>
      </c>
      <c r="Q5" s="954">
        <f t="shared" si="3"/>
        <v>61.064</v>
      </c>
      <c r="R5" s="954">
        <f t="shared" si="3"/>
        <v>61.194000000000003</v>
      </c>
      <c r="S5" s="954">
        <f t="shared" si="3"/>
        <v>61.279000000000003</v>
      </c>
      <c r="T5" s="954">
        <f t="shared" si="3"/>
        <v>61.375</v>
      </c>
      <c r="U5" s="953">
        <f t="shared" si="3"/>
        <v>61.232999999999997</v>
      </c>
      <c r="V5" s="954">
        <f t="shared" si="3"/>
        <v>61.676000000000002</v>
      </c>
      <c r="W5" s="954">
        <f t="shared" si="3"/>
        <v>62.052</v>
      </c>
      <c r="X5" s="954">
        <f t="shared" si="3"/>
        <v>62.093000000000004</v>
      </c>
      <c r="Y5" s="954">
        <f t="shared" si="3"/>
        <v>62.347999999999999</v>
      </c>
      <c r="Z5" s="953">
        <f t="shared" si="3"/>
        <v>62.01</v>
      </c>
      <c r="AA5" s="954">
        <f t="shared" si="3"/>
        <v>62.643000000000001</v>
      </c>
      <c r="AB5" s="954">
        <f t="shared" si="3"/>
        <v>63.53</v>
      </c>
      <c r="AC5" s="954">
        <f t="shared" si="3"/>
        <v>63.707999999999998</v>
      </c>
      <c r="AD5" s="954">
        <f t="shared" si="3"/>
        <v>63.887999999999998</v>
      </c>
      <c r="AE5" s="953">
        <f t="shared" si="3"/>
        <v>63.44</v>
      </c>
      <c r="AF5" s="954">
        <f t="shared" si="3"/>
        <v>64.054000000000002</v>
      </c>
      <c r="AG5" s="954">
        <f t="shared" si="3"/>
        <v>64.856999999999999</v>
      </c>
      <c r="AH5" s="954">
        <f t="shared" si="3"/>
        <v>64.775999999999996</v>
      </c>
      <c r="AI5" s="954">
        <f t="shared" si="3"/>
        <v>64.917000000000002</v>
      </c>
      <c r="AJ5" s="953">
        <f t="shared" si="3"/>
        <v>64.599999999999994</v>
      </c>
      <c r="AK5" s="954">
        <f t="shared" si="3"/>
        <v>65.352999999999994</v>
      </c>
      <c r="AL5" s="954">
        <f t="shared" si="3"/>
        <v>65.56</v>
      </c>
      <c r="AM5" s="955">
        <f t="shared" si="3"/>
        <v>65.664000000000001</v>
      </c>
      <c r="AN5" s="954">
        <f t="shared" ca="1" si="3"/>
        <v>65.664000000000001</v>
      </c>
      <c r="AO5" s="953">
        <f t="shared" ca="1" si="3"/>
        <v>65.560249999999996</v>
      </c>
      <c r="AP5" s="954">
        <f t="shared" ca="1" si="3"/>
        <v>65.664000000000001</v>
      </c>
      <c r="AQ5" s="954">
        <f t="shared" ca="1" si="3"/>
        <v>65.664000000000001</v>
      </c>
      <c r="AR5" s="954">
        <f t="shared" ca="1" si="3"/>
        <v>65.664000000000001</v>
      </c>
      <c r="AS5" s="954">
        <f t="shared" ca="1" si="3"/>
        <v>65.664000000000001</v>
      </c>
      <c r="AT5" s="953">
        <f t="shared" ca="1" si="3"/>
        <v>65.664000000000001</v>
      </c>
      <c r="AU5" s="953">
        <f t="shared" ca="1" si="3"/>
        <v>65.664000000000001</v>
      </c>
      <c r="AV5" s="953">
        <f t="shared" ca="1" si="3"/>
        <v>65.664000000000001</v>
      </c>
      <c r="AW5" s="953">
        <f t="shared" ca="1" si="3"/>
        <v>65.664000000000001</v>
      </c>
      <c r="AX5" s="806"/>
    </row>
    <row r="6" spans="1:50" s="93" customFormat="1" x14ac:dyDescent="0.45">
      <c r="A6" s="258" t="str">
        <f>"Market Cap - "&amp;SP.ValuationToggle</f>
        <v>Market Cap - Avg</v>
      </c>
      <c r="B6" s="259"/>
      <c r="C6" s="956">
        <f t="shared" ref="C6:AW6" ca="1" si="4">INDEX(SP_CS_StockPrice,0,COLUMN())*INDEX(SP_CS_ShareCount,0,COLUMN())</f>
        <v>1670.060015</v>
      </c>
      <c r="D6" s="956">
        <f t="shared" ca="1" si="4"/>
        <v>1915.0180649999998</v>
      </c>
      <c r="E6" s="956">
        <f t="shared" ca="1" si="4"/>
        <v>2474.8912125000002</v>
      </c>
      <c r="F6" s="956">
        <f t="shared" ca="1" si="4"/>
        <v>1372.5316150000001</v>
      </c>
      <c r="G6" s="957">
        <f t="shared" ca="1" si="4"/>
        <v>1086.59328</v>
      </c>
      <c r="H6" s="957">
        <f t="shared" ca="1" si="4"/>
        <v>1261.0448549999999</v>
      </c>
      <c r="I6" s="957">
        <f t="shared" ca="1" si="4"/>
        <v>1345.3321199999998</v>
      </c>
      <c r="J6" s="957">
        <f t="shared" ca="1" si="4"/>
        <v>1131.5555999999999</v>
      </c>
      <c r="K6" s="956">
        <f t="shared" ca="1" si="4"/>
        <v>1206.2880399999999</v>
      </c>
      <c r="L6" s="957">
        <f t="shared" ca="1" si="4"/>
        <v>1002.4011500000001</v>
      </c>
      <c r="M6" s="957">
        <f t="shared" ca="1" si="4"/>
        <v>921.54607999999996</v>
      </c>
      <c r="N6" s="957">
        <f t="shared" ca="1" si="4"/>
        <v>882.39749999999992</v>
      </c>
      <c r="O6" s="957">
        <f t="shared" ca="1" si="4"/>
        <v>1038.08068</v>
      </c>
      <c r="P6" s="956">
        <f t="shared" ca="1" si="4"/>
        <v>961.18601624999997</v>
      </c>
      <c r="Q6" s="957">
        <f t="shared" ca="1" si="4"/>
        <v>1016.10496</v>
      </c>
      <c r="R6" s="957">
        <f t="shared" ca="1" si="4"/>
        <v>889.45479</v>
      </c>
      <c r="S6" s="957">
        <f t="shared" ca="1" si="4"/>
        <v>883.9495750000001</v>
      </c>
      <c r="T6" s="957">
        <f t="shared" ca="1" si="4"/>
        <v>920.9318750000001</v>
      </c>
      <c r="U6" s="956">
        <f t="shared" ca="1" si="4"/>
        <v>927.75649124999995</v>
      </c>
      <c r="V6" s="957">
        <f t="shared" ca="1" si="4"/>
        <v>814.43158000000005</v>
      </c>
      <c r="W6" s="957">
        <f t="shared" ca="1" si="4"/>
        <v>749.8984200000001</v>
      </c>
      <c r="X6" s="957">
        <f t="shared" ca="1" si="4"/>
        <v>769.64273500000002</v>
      </c>
      <c r="Y6" s="957">
        <f t="shared" ca="1" si="4"/>
        <v>903.11077999999998</v>
      </c>
      <c r="Z6" s="956">
        <f t="shared" ca="1" si="4"/>
        <v>808.76542500000005</v>
      </c>
      <c r="AA6" s="957">
        <f t="shared" ca="1" si="4"/>
        <v>970.9665</v>
      </c>
      <c r="AB6" s="957">
        <f t="shared" ca="1" si="4"/>
        <v>1027.9154000000001</v>
      </c>
      <c r="AC6" s="957">
        <f t="shared" ca="1" si="4"/>
        <v>917.39520000000005</v>
      </c>
      <c r="AD6" s="957">
        <f t="shared" ca="1" si="4"/>
        <v>849.39095999999995</v>
      </c>
      <c r="AE6" s="956">
        <f t="shared" ca="1" si="4"/>
        <v>941.6875</v>
      </c>
      <c r="AF6" s="957">
        <f t="shared" ca="1" si="4"/>
        <v>1012.4034953125</v>
      </c>
      <c r="AG6" s="957">
        <f t="shared" ca="1" si="4"/>
        <v>1375.0301685714298</v>
      </c>
      <c r="AH6" s="957">
        <f t="shared" ca="1" si="4"/>
        <v>1111.2579847619031</v>
      </c>
      <c r="AI6" s="957">
        <f t="shared" ca="1" si="4"/>
        <v>1125.618211475411</v>
      </c>
      <c r="AJ6" s="956">
        <f t="shared" ca="1" si="4"/>
        <v>1154.4869322709126</v>
      </c>
      <c r="AK6" s="957">
        <f t="shared" ca="1" si="4"/>
        <v>1220.4517147619044</v>
      </c>
      <c r="AL6" s="957">
        <f t="shared" ca="1" si="4"/>
        <v>1090.431821875</v>
      </c>
      <c r="AM6" s="958">
        <f t="shared" ca="1" si="4"/>
        <v>1084.92831</v>
      </c>
      <c r="AN6" s="957">
        <f t="shared" ca="1" si="4"/>
        <v>663.20640000000003</v>
      </c>
      <c r="AO6" s="956">
        <f t="shared" ca="1" si="4"/>
        <v>662.15852499999994</v>
      </c>
      <c r="AP6" s="957">
        <f t="shared" ca="1" si="4"/>
        <v>663.20640000000003</v>
      </c>
      <c r="AQ6" s="957">
        <f t="shared" ca="1" si="4"/>
        <v>663.20640000000003</v>
      </c>
      <c r="AR6" s="957">
        <f t="shared" ca="1" si="4"/>
        <v>663.20640000000003</v>
      </c>
      <c r="AS6" s="957">
        <f t="shared" ca="1" si="4"/>
        <v>663.20640000000003</v>
      </c>
      <c r="AT6" s="956">
        <f t="shared" ca="1" si="4"/>
        <v>663.20640000000003</v>
      </c>
      <c r="AU6" s="956">
        <f t="shared" ca="1" si="4"/>
        <v>663.20640000000003</v>
      </c>
      <c r="AV6" s="956">
        <f t="shared" ca="1" si="4"/>
        <v>663.20640000000003</v>
      </c>
      <c r="AW6" s="956">
        <f t="shared" ca="1" si="4"/>
        <v>663.20640000000003</v>
      </c>
      <c r="AX6" s="807"/>
    </row>
    <row r="7" spans="1:50" s="91" customFormat="1" x14ac:dyDescent="0.45">
      <c r="A7" s="256" t="str">
        <f>INDEX(MO_BSS_Cash,0,COLUMN())</f>
        <v>Cash</v>
      </c>
      <c r="B7" s="257"/>
      <c r="C7" s="959">
        <f t="shared" ref="C7:AW7" si="5">INDEX(MO_BSS_Cash,0,COLUMN())</f>
        <v>91.769000000000005</v>
      </c>
      <c r="D7" s="959">
        <f t="shared" si="5"/>
        <v>117.73700000000001</v>
      </c>
      <c r="E7" s="959">
        <f t="shared" si="5"/>
        <v>139.43099999999998</v>
      </c>
      <c r="F7" s="959">
        <f t="shared" si="5"/>
        <v>118.011</v>
      </c>
      <c r="G7" s="960">
        <f t="shared" si="5"/>
        <v>130.02600000000001</v>
      </c>
      <c r="H7" s="960">
        <f t="shared" si="5"/>
        <v>84.305000000000007</v>
      </c>
      <c r="I7" s="960">
        <f t="shared" si="5"/>
        <v>93.989000000000004</v>
      </c>
      <c r="J7" s="960">
        <f t="shared" si="5"/>
        <v>113.801</v>
      </c>
      <c r="K7" s="959">
        <f t="shared" si="5"/>
        <v>113.801</v>
      </c>
      <c r="L7" s="960">
        <f t="shared" si="5"/>
        <v>116.435</v>
      </c>
      <c r="M7" s="960">
        <f t="shared" si="5"/>
        <v>123.51600000000001</v>
      </c>
      <c r="N7" s="960">
        <f t="shared" si="5"/>
        <v>124.822</v>
      </c>
      <c r="O7" s="960">
        <f t="shared" si="5"/>
        <v>130.58500000000001</v>
      </c>
      <c r="P7" s="959">
        <f t="shared" si="5"/>
        <v>130.58500000000001</v>
      </c>
      <c r="Q7" s="960">
        <f t="shared" si="5"/>
        <v>116.797</v>
      </c>
      <c r="R7" s="960">
        <f t="shared" si="5"/>
        <v>110.777</v>
      </c>
      <c r="S7" s="960">
        <f t="shared" si="5"/>
        <v>104.81299999999999</v>
      </c>
      <c r="T7" s="960">
        <f t="shared" si="5"/>
        <v>36.472999999999999</v>
      </c>
      <c r="U7" s="959">
        <f t="shared" si="5"/>
        <v>36.472999999999999</v>
      </c>
      <c r="V7" s="960">
        <f t="shared" si="5"/>
        <v>26.349</v>
      </c>
      <c r="W7" s="960">
        <f t="shared" si="5"/>
        <v>26.245999999999999</v>
      </c>
      <c r="X7" s="960">
        <f t="shared" si="5"/>
        <v>23.994</v>
      </c>
      <c r="Y7" s="960">
        <f t="shared" si="5"/>
        <v>37.673000000000002</v>
      </c>
      <c r="Z7" s="959">
        <f t="shared" si="5"/>
        <v>37.673000000000002</v>
      </c>
      <c r="AA7" s="960">
        <f t="shared" si="5"/>
        <v>23.337</v>
      </c>
      <c r="AB7" s="960">
        <f t="shared" si="5"/>
        <v>26.553000000000001</v>
      </c>
      <c r="AC7" s="960">
        <f t="shared" si="5"/>
        <v>23.359000000000002</v>
      </c>
      <c r="AD7" s="960">
        <f t="shared" si="5"/>
        <v>28.844999999999999</v>
      </c>
      <c r="AE7" s="959">
        <f t="shared" si="5"/>
        <v>28.844999999999999</v>
      </c>
      <c r="AF7" s="960">
        <f t="shared" si="5"/>
        <v>26.544</v>
      </c>
      <c r="AG7" s="960">
        <f t="shared" si="5"/>
        <v>32.387</v>
      </c>
      <c r="AH7" s="960">
        <f t="shared" si="5"/>
        <v>30.053999999999998</v>
      </c>
      <c r="AI7" s="960">
        <f t="shared" si="5"/>
        <v>33.079000000000001</v>
      </c>
      <c r="AJ7" s="959">
        <f t="shared" si="5"/>
        <v>33.079000000000001</v>
      </c>
      <c r="AK7" s="960">
        <f t="shared" si="5"/>
        <v>28.606999999999999</v>
      </c>
      <c r="AL7" s="960">
        <f t="shared" si="5"/>
        <v>42.93</v>
      </c>
      <c r="AM7" s="961">
        <f t="shared" si="5"/>
        <v>26.79</v>
      </c>
      <c r="AN7" s="962">
        <f t="shared" ca="1" si="5"/>
        <v>36.442703115349744</v>
      </c>
      <c r="AO7" s="963">
        <f t="shared" ca="1" si="5"/>
        <v>36.442703115349744</v>
      </c>
      <c r="AP7" s="962">
        <f t="shared" ca="1" si="5"/>
        <v>48.244367848811002</v>
      </c>
      <c r="AQ7" s="962">
        <f t="shared" ca="1" si="5"/>
        <v>63.30288953115754</v>
      </c>
      <c r="AR7" s="962">
        <f t="shared" ca="1" si="5"/>
        <v>76.847766110181354</v>
      </c>
      <c r="AS7" s="962">
        <f t="shared" ca="1" si="5"/>
        <v>90.321745020718026</v>
      </c>
      <c r="AT7" s="963">
        <f t="shared" ca="1" si="5"/>
        <v>90.321745020718026</v>
      </c>
      <c r="AU7" s="963">
        <f t="shared" ca="1" si="5"/>
        <v>147.1652708244838</v>
      </c>
      <c r="AV7" s="963">
        <f t="shared" ca="1" si="5"/>
        <v>204.38712478446701</v>
      </c>
      <c r="AW7" s="963">
        <f t="shared" ca="1" si="5"/>
        <v>264.16191583222962</v>
      </c>
      <c r="AX7" s="806"/>
    </row>
    <row r="8" spans="1:50" s="91" customFormat="1" x14ac:dyDescent="0.45">
      <c r="A8" s="256" t="str">
        <f>INDEX(MO_BSS_Debt,0,COLUMN())</f>
        <v>Debt</v>
      </c>
      <c r="B8" s="257"/>
      <c r="C8" s="959">
        <f t="shared" ref="C8:AW8" si="6">INDEX(MO_BSS_Debt,0,COLUMN())</f>
        <v>0</v>
      </c>
      <c r="D8" s="959">
        <f t="shared" si="6"/>
        <v>0</v>
      </c>
      <c r="E8" s="959">
        <f t="shared" si="6"/>
        <v>0</v>
      </c>
      <c r="F8" s="959">
        <f t="shared" si="6"/>
        <v>0</v>
      </c>
      <c r="G8" s="960">
        <f t="shared" si="6"/>
        <v>0</v>
      </c>
      <c r="H8" s="960">
        <f t="shared" si="6"/>
        <v>0</v>
      </c>
      <c r="I8" s="960">
        <f t="shared" si="6"/>
        <v>0</v>
      </c>
      <c r="J8" s="960">
        <f t="shared" si="6"/>
        <v>0</v>
      </c>
      <c r="K8" s="959">
        <f t="shared" si="6"/>
        <v>0</v>
      </c>
      <c r="L8" s="960">
        <f t="shared" si="6"/>
        <v>0</v>
      </c>
      <c r="M8" s="960">
        <f t="shared" si="6"/>
        <v>0</v>
      </c>
      <c r="N8" s="960">
        <f t="shared" si="6"/>
        <v>0</v>
      </c>
      <c r="O8" s="960">
        <f t="shared" si="6"/>
        <v>0</v>
      </c>
      <c r="P8" s="959">
        <f t="shared" si="6"/>
        <v>0</v>
      </c>
      <c r="Q8" s="960">
        <f t="shared" si="6"/>
        <v>0</v>
      </c>
      <c r="R8" s="960">
        <f t="shared" si="6"/>
        <v>0</v>
      </c>
      <c r="S8" s="960">
        <f t="shared" si="6"/>
        <v>0</v>
      </c>
      <c r="T8" s="960">
        <f t="shared" si="6"/>
        <v>105</v>
      </c>
      <c r="U8" s="959">
        <f t="shared" si="6"/>
        <v>105</v>
      </c>
      <c r="V8" s="960">
        <f t="shared" si="6"/>
        <v>88</v>
      </c>
      <c r="W8" s="960">
        <f t="shared" si="6"/>
        <v>48</v>
      </c>
      <c r="X8" s="960">
        <f t="shared" si="6"/>
        <v>25</v>
      </c>
      <c r="Y8" s="960">
        <f t="shared" si="6"/>
        <v>15</v>
      </c>
      <c r="Z8" s="959">
        <f t="shared" si="6"/>
        <v>15</v>
      </c>
      <c r="AA8" s="960">
        <f t="shared" si="6"/>
        <v>45</v>
      </c>
      <c r="AB8" s="960">
        <f t="shared" si="6"/>
        <v>55</v>
      </c>
      <c r="AC8" s="960">
        <f t="shared" si="6"/>
        <v>39</v>
      </c>
      <c r="AD8" s="960">
        <f t="shared" si="6"/>
        <v>37</v>
      </c>
      <c r="AE8" s="959">
        <f t="shared" si="6"/>
        <v>37</v>
      </c>
      <c r="AF8" s="960">
        <f t="shared" si="6"/>
        <v>44</v>
      </c>
      <c r="AG8" s="960">
        <f t="shared" si="6"/>
        <v>42</v>
      </c>
      <c r="AH8" s="960">
        <f t="shared" si="6"/>
        <v>27</v>
      </c>
      <c r="AI8" s="960">
        <f t="shared" si="6"/>
        <v>11</v>
      </c>
      <c r="AJ8" s="959">
        <f t="shared" si="6"/>
        <v>11</v>
      </c>
      <c r="AK8" s="960">
        <f t="shared" si="6"/>
        <v>6</v>
      </c>
      <c r="AL8" s="960">
        <f t="shared" si="6"/>
        <v>0</v>
      </c>
      <c r="AM8" s="961">
        <f t="shared" si="6"/>
        <v>37</v>
      </c>
      <c r="AN8" s="962">
        <f t="shared" si="6"/>
        <v>37</v>
      </c>
      <c r="AO8" s="963">
        <f t="shared" si="6"/>
        <v>37</v>
      </c>
      <c r="AP8" s="962">
        <f t="shared" si="6"/>
        <v>37</v>
      </c>
      <c r="AQ8" s="962">
        <f t="shared" si="6"/>
        <v>37</v>
      </c>
      <c r="AR8" s="962">
        <f t="shared" si="6"/>
        <v>37</v>
      </c>
      <c r="AS8" s="962">
        <f t="shared" si="6"/>
        <v>37</v>
      </c>
      <c r="AT8" s="963">
        <f t="shared" si="6"/>
        <v>37</v>
      </c>
      <c r="AU8" s="963">
        <f t="shared" si="6"/>
        <v>37</v>
      </c>
      <c r="AV8" s="963">
        <f t="shared" si="6"/>
        <v>37</v>
      </c>
      <c r="AW8" s="963">
        <f t="shared" si="6"/>
        <v>37</v>
      </c>
      <c r="AX8" s="806"/>
    </row>
    <row r="9" spans="1:50" s="91" customFormat="1" x14ac:dyDescent="0.45">
      <c r="A9" s="256" t="s">
        <v>369</v>
      </c>
      <c r="B9" s="257"/>
      <c r="C9" s="959">
        <f t="shared" ref="C9:AW9" si="7">INDEX(MO_BSS_OL,0,COLUMN())</f>
        <v>0</v>
      </c>
      <c r="D9" s="959">
        <f t="shared" si="7"/>
        <v>0</v>
      </c>
      <c r="E9" s="959">
        <f t="shared" si="7"/>
        <v>0</v>
      </c>
      <c r="F9" s="959">
        <f t="shared" si="7"/>
        <v>0</v>
      </c>
      <c r="G9" s="960">
        <f t="shared" si="7"/>
        <v>0</v>
      </c>
      <c r="H9" s="960">
        <f t="shared" si="7"/>
        <v>0</v>
      </c>
      <c r="I9" s="960">
        <f t="shared" si="7"/>
        <v>0</v>
      </c>
      <c r="J9" s="960">
        <f t="shared" si="7"/>
        <v>0</v>
      </c>
      <c r="K9" s="959">
        <f t="shared" si="7"/>
        <v>0</v>
      </c>
      <c r="L9" s="960">
        <f t="shared" si="7"/>
        <v>0</v>
      </c>
      <c r="M9" s="960">
        <f t="shared" si="7"/>
        <v>0</v>
      </c>
      <c r="N9" s="960">
        <f t="shared" si="7"/>
        <v>0</v>
      </c>
      <c r="O9" s="960">
        <f t="shared" si="7"/>
        <v>0</v>
      </c>
      <c r="P9" s="959">
        <f t="shared" si="7"/>
        <v>0</v>
      </c>
      <c r="Q9" s="960">
        <f t="shared" si="7"/>
        <v>0</v>
      </c>
      <c r="R9" s="960">
        <f t="shared" si="7"/>
        <v>0</v>
      </c>
      <c r="S9" s="960">
        <f t="shared" si="7"/>
        <v>0</v>
      </c>
      <c r="T9" s="960">
        <f t="shared" si="7"/>
        <v>0</v>
      </c>
      <c r="U9" s="959">
        <f t="shared" si="7"/>
        <v>0</v>
      </c>
      <c r="V9" s="960">
        <f t="shared" si="7"/>
        <v>0</v>
      </c>
      <c r="W9" s="960">
        <f t="shared" si="7"/>
        <v>0</v>
      </c>
      <c r="X9" s="960">
        <f t="shared" si="7"/>
        <v>0</v>
      </c>
      <c r="Y9" s="960">
        <f t="shared" si="7"/>
        <v>0</v>
      </c>
      <c r="Z9" s="959">
        <f t="shared" si="7"/>
        <v>0</v>
      </c>
      <c r="AA9" s="960">
        <f t="shared" si="7"/>
        <v>0</v>
      </c>
      <c r="AB9" s="960">
        <f t="shared" si="7"/>
        <v>0</v>
      </c>
      <c r="AC9" s="960">
        <f t="shared" si="7"/>
        <v>0</v>
      </c>
      <c r="AD9" s="960">
        <f t="shared" si="7"/>
        <v>0</v>
      </c>
      <c r="AE9" s="959">
        <f t="shared" si="7"/>
        <v>0</v>
      </c>
      <c r="AF9" s="960">
        <f t="shared" si="7"/>
        <v>0</v>
      </c>
      <c r="AG9" s="960">
        <f t="shared" si="7"/>
        <v>0</v>
      </c>
      <c r="AH9" s="960">
        <f t="shared" si="7"/>
        <v>0</v>
      </c>
      <c r="AI9" s="960">
        <f t="shared" si="7"/>
        <v>0</v>
      </c>
      <c r="AJ9" s="959">
        <f t="shared" si="7"/>
        <v>0</v>
      </c>
      <c r="AK9" s="960">
        <f t="shared" si="7"/>
        <v>54.024999999999999</v>
      </c>
      <c r="AL9" s="960">
        <f t="shared" si="7"/>
        <v>51.569000000000003</v>
      </c>
      <c r="AM9" s="961">
        <f t="shared" si="7"/>
        <v>49.62</v>
      </c>
      <c r="AN9" s="962">
        <f t="shared" si="7"/>
        <v>49.62</v>
      </c>
      <c r="AO9" s="963">
        <f t="shared" si="7"/>
        <v>49.62</v>
      </c>
      <c r="AP9" s="962">
        <f t="shared" si="7"/>
        <v>49.62</v>
      </c>
      <c r="AQ9" s="962">
        <f t="shared" si="7"/>
        <v>49.62</v>
      </c>
      <c r="AR9" s="962">
        <f t="shared" si="7"/>
        <v>49.62</v>
      </c>
      <c r="AS9" s="962">
        <f t="shared" si="7"/>
        <v>49.62</v>
      </c>
      <c r="AT9" s="963">
        <f t="shared" si="7"/>
        <v>49.62</v>
      </c>
      <c r="AU9" s="963">
        <f t="shared" si="7"/>
        <v>49.62</v>
      </c>
      <c r="AV9" s="963">
        <f t="shared" si="7"/>
        <v>49.62</v>
      </c>
      <c r="AW9" s="963">
        <f t="shared" si="7"/>
        <v>49.62</v>
      </c>
      <c r="AX9" s="806"/>
    </row>
    <row r="10" spans="1:50" s="91" customFormat="1" x14ac:dyDescent="0.45">
      <c r="A10" s="539" t="s">
        <v>112</v>
      </c>
      <c r="B10" s="540"/>
      <c r="C10" s="953">
        <f t="shared" ref="C10:AW10" si="8">INDEX(MO_VA_EVCalc_NCI,0,COLUMN())+INDEX(MO_VA_EVCalc_Prefs,0,COLUMN())+INDEX(MO_VA_EVCalc_Other,0,COLUMN())</f>
        <v>0</v>
      </c>
      <c r="D10" s="953">
        <f t="shared" si="8"/>
        <v>0</v>
      </c>
      <c r="E10" s="953">
        <f t="shared" si="8"/>
        <v>0</v>
      </c>
      <c r="F10" s="953">
        <f t="shared" si="8"/>
        <v>0</v>
      </c>
      <c r="G10" s="954">
        <f t="shared" si="8"/>
        <v>0</v>
      </c>
      <c r="H10" s="954">
        <f t="shared" si="8"/>
        <v>0</v>
      </c>
      <c r="I10" s="954">
        <f t="shared" si="8"/>
        <v>0</v>
      </c>
      <c r="J10" s="954">
        <f t="shared" si="8"/>
        <v>0</v>
      </c>
      <c r="K10" s="953">
        <f t="shared" si="8"/>
        <v>0</v>
      </c>
      <c r="L10" s="954">
        <f t="shared" si="8"/>
        <v>0</v>
      </c>
      <c r="M10" s="954">
        <f t="shared" si="8"/>
        <v>0</v>
      </c>
      <c r="N10" s="954">
        <f t="shared" si="8"/>
        <v>0</v>
      </c>
      <c r="O10" s="954">
        <f t="shared" si="8"/>
        <v>0</v>
      </c>
      <c r="P10" s="953">
        <f t="shared" si="8"/>
        <v>0</v>
      </c>
      <c r="Q10" s="954">
        <f t="shared" si="8"/>
        <v>0</v>
      </c>
      <c r="R10" s="954">
        <f t="shared" si="8"/>
        <v>0</v>
      </c>
      <c r="S10" s="954">
        <f t="shared" si="8"/>
        <v>0</v>
      </c>
      <c r="T10" s="954">
        <f t="shared" si="8"/>
        <v>0</v>
      </c>
      <c r="U10" s="953">
        <f t="shared" si="8"/>
        <v>0</v>
      </c>
      <c r="V10" s="954">
        <f t="shared" si="8"/>
        <v>0</v>
      </c>
      <c r="W10" s="954">
        <f t="shared" si="8"/>
        <v>0</v>
      </c>
      <c r="X10" s="954">
        <f t="shared" si="8"/>
        <v>0</v>
      </c>
      <c r="Y10" s="954">
        <f t="shared" si="8"/>
        <v>0</v>
      </c>
      <c r="Z10" s="953">
        <f t="shared" si="8"/>
        <v>0</v>
      </c>
      <c r="AA10" s="954">
        <f t="shared" si="8"/>
        <v>0</v>
      </c>
      <c r="AB10" s="954">
        <f t="shared" si="8"/>
        <v>0</v>
      </c>
      <c r="AC10" s="954">
        <f t="shared" si="8"/>
        <v>0</v>
      </c>
      <c r="AD10" s="954">
        <f t="shared" si="8"/>
        <v>0</v>
      </c>
      <c r="AE10" s="953">
        <f t="shared" si="8"/>
        <v>0</v>
      </c>
      <c r="AF10" s="954">
        <f t="shared" si="8"/>
        <v>0</v>
      </c>
      <c r="AG10" s="954">
        <f t="shared" si="8"/>
        <v>0</v>
      </c>
      <c r="AH10" s="954">
        <f t="shared" si="8"/>
        <v>0</v>
      </c>
      <c r="AI10" s="954">
        <f t="shared" si="8"/>
        <v>0</v>
      </c>
      <c r="AJ10" s="953">
        <f t="shared" si="8"/>
        <v>0</v>
      </c>
      <c r="AK10" s="954">
        <f t="shared" si="8"/>
        <v>0</v>
      </c>
      <c r="AL10" s="954">
        <f t="shared" si="8"/>
        <v>0</v>
      </c>
      <c r="AM10" s="955">
        <f t="shared" si="8"/>
        <v>0</v>
      </c>
      <c r="AN10" s="954">
        <f t="shared" si="8"/>
        <v>0</v>
      </c>
      <c r="AO10" s="953">
        <f t="shared" si="8"/>
        <v>0</v>
      </c>
      <c r="AP10" s="954">
        <f t="shared" si="8"/>
        <v>0</v>
      </c>
      <c r="AQ10" s="954">
        <f t="shared" si="8"/>
        <v>0</v>
      </c>
      <c r="AR10" s="954">
        <f t="shared" si="8"/>
        <v>0</v>
      </c>
      <c r="AS10" s="954">
        <f t="shared" si="8"/>
        <v>0</v>
      </c>
      <c r="AT10" s="953">
        <f t="shared" si="8"/>
        <v>0</v>
      </c>
      <c r="AU10" s="953">
        <f t="shared" si="8"/>
        <v>0</v>
      </c>
      <c r="AV10" s="953">
        <f t="shared" si="8"/>
        <v>0</v>
      </c>
      <c r="AW10" s="953">
        <f t="shared" si="8"/>
        <v>0</v>
      </c>
      <c r="AX10" s="806"/>
    </row>
    <row r="11" spans="1:50" s="93" customFormat="1" x14ac:dyDescent="0.45">
      <c r="A11" s="258" t="str">
        <f>"Enterprise Value - "&amp;SP.ValuationToggle</f>
        <v>Enterprise Value - Avg</v>
      </c>
      <c r="B11" s="259"/>
      <c r="C11" s="956">
        <f t="shared" ref="C11:AW11" ca="1" si="9">INDEX(SP_CS_MarketCap,0,COLUMN())-INDEX(SP_CS_Cash,0,COLUMN())+INDEX(SP_CS_Debt,0,COLUMN())+INDEX(SP_CS_OL,0,COLUMN())+INDEX(SP_CS_EVCalc_Other,0,COLUMN())</f>
        <v>1578.291015</v>
      </c>
      <c r="D11" s="956">
        <f t="shared" ca="1" si="9"/>
        <v>1797.2810649999997</v>
      </c>
      <c r="E11" s="956">
        <f t="shared" ca="1" si="9"/>
        <v>2335.4602125000001</v>
      </c>
      <c r="F11" s="956">
        <f t="shared" ca="1" si="9"/>
        <v>1254.5206150000001</v>
      </c>
      <c r="G11" s="957">
        <f t="shared" ca="1" si="9"/>
        <v>956.56727999999998</v>
      </c>
      <c r="H11" s="957">
        <f t="shared" ca="1" si="9"/>
        <v>1176.7398549999998</v>
      </c>
      <c r="I11" s="957">
        <f t="shared" ca="1" si="9"/>
        <v>1251.3431199999998</v>
      </c>
      <c r="J11" s="957">
        <f t="shared" ca="1" si="9"/>
        <v>1017.7545999999999</v>
      </c>
      <c r="K11" s="956">
        <f t="shared" ca="1" si="9"/>
        <v>1092.48704</v>
      </c>
      <c r="L11" s="957">
        <f t="shared" ca="1" si="9"/>
        <v>885.9661500000002</v>
      </c>
      <c r="M11" s="957">
        <f t="shared" ca="1" si="9"/>
        <v>798.03008</v>
      </c>
      <c r="N11" s="957">
        <f t="shared" ca="1" si="9"/>
        <v>757.57549999999992</v>
      </c>
      <c r="O11" s="957">
        <f t="shared" ca="1" si="9"/>
        <v>907.49567999999999</v>
      </c>
      <c r="P11" s="956">
        <f t="shared" ca="1" si="9"/>
        <v>830.60101624999993</v>
      </c>
      <c r="Q11" s="957">
        <f t="shared" ca="1" si="9"/>
        <v>899.30795999999998</v>
      </c>
      <c r="R11" s="957">
        <f t="shared" ca="1" si="9"/>
        <v>778.67778999999996</v>
      </c>
      <c r="S11" s="957">
        <f t="shared" ca="1" si="9"/>
        <v>779.13657500000011</v>
      </c>
      <c r="T11" s="957">
        <f t="shared" ca="1" si="9"/>
        <v>989.45887500000015</v>
      </c>
      <c r="U11" s="956">
        <f t="shared" ca="1" si="9"/>
        <v>996.28349125</v>
      </c>
      <c r="V11" s="957">
        <f t="shared" ca="1" si="9"/>
        <v>876.08258000000001</v>
      </c>
      <c r="W11" s="957">
        <f t="shared" ca="1" si="9"/>
        <v>771.65242000000012</v>
      </c>
      <c r="X11" s="957">
        <f t="shared" ca="1" si="9"/>
        <v>770.64873499999999</v>
      </c>
      <c r="Y11" s="957">
        <f t="shared" ca="1" si="9"/>
        <v>880.43777999999998</v>
      </c>
      <c r="Z11" s="956">
        <f t="shared" ca="1" si="9"/>
        <v>786.09242500000005</v>
      </c>
      <c r="AA11" s="957">
        <f t="shared" ca="1" si="9"/>
        <v>992.62950000000001</v>
      </c>
      <c r="AB11" s="957">
        <f t="shared" ca="1" si="9"/>
        <v>1056.3624</v>
      </c>
      <c r="AC11" s="957">
        <f t="shared" ca="1" si="9"/>
        <v>933.03620000000001</v>
      </c>
      <c r="AD11" s="957">
        <f t="shared" ca="1" si="9"/>
        <v>857.54595999999992</v>
      </c>
      <c r="AE11" s="956">
        <f t="shared" ca="1" si="9"/>
        <v>949.84249999999997</v>
      </c>
      <c r="AF11" s="957">
        <f t="shared" ca="1" si="9"/>
        <v>1029.8594953125</v>
      </c>
      <c r="AG11" s="957">
        <f t="shared" ca="1" si="9"/>
        <v>1384.6431685714299</v>
      </c>
      <c r="AH11" s="957">
        <f t="shared" ca="1" si="9"/>
        <v>1108.203984761903</v>
      </c>
      <c r="AI11" s="957">
        <f t="shared" ca="1" si="9"/>
        <v>1103.5392114754111</v>
      </c>
      <c r="AJ11" s="956">
        <f t="shared" ca="1" si="9"/>
        <v>1132.4079322709126</v>
      </c>
      <c r="AK11" s="957">
        <f t="shared" ca="1" si="9"/>
        <v>1251.8697147619046</v>
      </c>
      <c r="AL11" s="957">
        <f t="shared" ca="1" si="9"/>
        <v>1099.0708218749999</v>
      </c>
      <c r="AM11" s="958">
        <f t="shared" ca="1" si="9"/>
        <v>1144.7583099999999</v>
      </c>
      <c r="AN11" s="957">
        <f t="shared" ca="1" si="9"/>
        <v>713.38369688465025</v>
      </c>
      <c r="AO11" s="956">
        <f t="shared" ca="1" si="9"/>
        <v>712.33582188465016</v>
      </c>
      <c r="AP11" s="957">
        <f t="shared" ca="1" si="9"/>
        <v>701.58203215118908</v>
      </c>
      <c r="AQ11" s="957">
        <f t="shared" ca="1" si="9"/>
        <v>686.52351046884246</v>
      </c>
      <c r="AR11" s="957">
        <f t="shared" ca="1" si="9"/>
        <v>672.97863388981864</v>
      </c>
      <c r="AS11" s="957">
        <f t="shared" ca="1" si="9"/>
        <v>659.50465497928201</v>
      </c>
      <c r="AT11" s="956">
        <f t="shared" ca="1" si="9"/>
        <v>659.50465497928201</v>
      </c>
      <c r="AU11" s="956">
        <f t="shared" ca="1" si="9"/>
        <v>602.66112917551629</v>
      </c>
      <c r="AV11" s="956">
        <f t="shared" ca="1" si="9"/>
        <v>545.43927521553303</v>
      </c>
      <c r="AW11" s="956">
        <f t="shared" ca="1" si="9"/>
        <v>485.66448416777041</v>
      </c>
      <c r="AX11" s="807"/>
    </row>
    <row r="12" spans="1:50" s="93" customFormat="1" x14ac:dyDescent="0.45">
      <c r="A12" s="255"/>
      <c r="B12" s="260"/>
      <c r="C12" s="964"/>
      <c r="D12" s="964"/>
      <c r="E12" s="964"/>
      <c r="F12" s="964"/>
      <c r="G12" s="965"/>
      <c r="H12" s="965"/>
      <c r="I12" s="965"/>
      <c r="J12" s="965"/>
      <c r="K12" s="964"/>
      <c r="L12" s="965"/>
      <c r="M12" s="965"/>
      <c r="N12" s="965"/>
      <c r="O12" s="965"/>
      <c r="P12" s="964"/>
      <c r="Q12" s="965"/>
      <c r="R12" s="965"/>
      <c r="S12" s="965"/>
      <c r="T12" s="965"/>
      <c r="U12" s="964"/>
      <c r="V12" s="965"/>
      <c r="W12" s="965"/>
      <c r="X12" s="965"/>
      <c r="Y12" s="965"/>
      <c r="Z12" s="964"/>
      <c r="AA12" s="965"/>
      <c r="AB12" s="965"/>
      <c r="AC12" s="965"/>
      <c r="AD12" s="965"/>
      <c r="AE12" s="964"/>
      <c r="AF12" s="965"/>
      <c r="AG12" s="965"/>
      <c r="AH12" s="965"/>
      <c r="AI12" s="965"/>
      <c r="AJ12" s="964"/>
      <c r="AK12" s="965"/>
      <c r="AL12" s="965"/>
      <c r="AM12" s="966"/>
      <c r="AN12" s="967"/>
      <c r="AO12" s="968"/>
      <c r="AP12" s="967"/>
      <c r="AQ12" s="967"/>
      <c r="AR12" s="967"/>
      <c r="AS12" s="967"/>
      <c r="AT12" s="968"/>
      <c r="AU12" s="968"/>
      <c r="AV12" s="968"/>
      <c r="AW12" s="968"/>
      <c r="AX12" s="807"/>
    </row>
    <row r="13" spans="1:50" x14ac:dyDescent="0.45">
      <c r="A13" s="155" t="s">
        <v>276</v>
      </c>
      <c r="B13" s="808"/>
      <c r="C13" s="969"/>
      <c r="D13" s="969"/>
      <c r="E13" s="969"/>
      <c r="F13" s="969"/>
      <c r="G13" s="969"/>
      <c r="H13" s="969"/>
      <c r="I13" s="969"/>
      <c r="J13" s="969"/>
      <c r="K13" s="969"/>
      <c r="L13" s="969"/>
      <c r="M13" s="969"/>
      <c r="N13" s="969"/>
      <c r="O13" s="969"/>
      <c r="P13" s="969"/>
      <c r="Q13" s="969"/>
      <c r="R13" s="969"/>
      <c r="S13" s="969"/>
      <c r="T13" s="969"/>
      <c r="U13" s="969"/>
      <c r="V13" s="969"/>
      <c r="W13" s="969"/>
      <c r="X13" s="969"/>
      <c r="Y13" s="969"/>
      <c r="Z13" s="969"/>
      <c r="AA13" s="969"/>
      <c r="AB13" s="969"/>
      <c r="AC13" s="969"/>
      <c r="AD13" s="969"/>
      <c r="AE13" s="969"/>
      <c r="AF13" s="969"/>
      <c r="AG13" s="969"/>
      <c r="AH13" s="969"/>
      <c r="AI13" s="969"/>
      <c r="AJ13" s="969"/>
      <c r="AK13" s="969"/>
      <c r="AL13" s="969"/>
      <c r="AM13" s="970"/>
      <c r="AN13" s="971"/>
      <c r="AO13" s="971"/>
      <c r="AP13" s="971"/>
      <c r="AQ13" s="971"/>
      <c r="AR13" s="971"/>
      <c r="AS13" s="971"/>
      <c r="AT13" s="971"/>
      <c r="AU13" s="971"/>
      <c r="AV13" s="971"/>
      <c r="AW13" s="971"/>
      <c r="AX13" s="806"/>
    </row>
    <row r="14" spans="1:50" s="94" customFormat="1" x14ac:dyDescent="0.45">
      <c r="A14" s="745" t="str">
        <f>Model!A7</f>
        <v>Subscription Services Revenue Growth, %</v>
      </c>
      <c r="B14" s="266"/>
      <c r="C14" s="441">
        <f>Model!C7</f>
        <v>0</v>
      </c>
      <c r="D14" s="441">
        <f>Model!D7</f>
        <v>0</v>
      </c>
      <c r="E14" s="441">
        <f>Model!E7</f>
        <v>0</v>
      </c>
      <c r="F14" s="441">
        <f>Model!F7</f>
        <v>0</v>
      </c>
      <c r="G14" s="430">
        <f>Model!G7</f>
        <v>0</v>
      </c>
      <c r="H14" s="430">
        <f>Model!H7</f>
        <v>0</v>
      </c>
      <c r="I14" s="430">
        <f>Model!I7</f>
        <v>0</v>
      </c>
      <c r="J14" s="430">
        <f>Model!J7</f>
        <v>0</v>
      </c>
      <c r="K14" s="441">
        <f>Model!K7</f>
        <v>0</v>
      </c>
      <c r="L14" s="430">
        <f>Model!L7</f>
        <v>0</v>
      </c>
      <c r="M14" s="430">
        <f>Model!M7</f>
        <v>0</v>
      </c>
      <c r="N14" s="430">
        <f>Model!N7</f>
        <v>0</v>
      </c>
      <c r="O14" s="430">
        <f>Model!O7</f>
        <v>0</v>
      </c>
      <c r="P14" s="441">
        <f>Model!P7</f>
        <v>0</v>
      </c>
      <c r="Q14" s="430">
        <f>Model!Q7</f>
        <v>0</v>
      </c>
      <c r="R14" s="430">
        <f>Model!R7</f>
        <v>0</v>
      </c>
      <c r="S14" s="430">
        <f>Model!S7</f>
        <v>0</v>
      </c>
      <c r="T14" s="430">
        <f>Model!T7</f>
        <v>0</v>
      </c>
      <c r="U14" s="441">
        <f>Model!U7</f>
        <v>0</v>
      </c>
      <c r="V14" s="430">
        <f>Model!V7</f>
        <v>0</v>
      </c>
      <c r="W14" s="430">
        <f>Model!W7</f>
        <v>0</v>
      </c>
      <c r="X14" s="430">
        <f>Model!X7</f>
        <v>0</v>
      </c>
      <c r="Y14" s="430">
        <f>Model!Y7</f>
        <v>0</v>
      </c>
      <c r="Z14" s="441">
        <f>Model!Z7</f>
        <v>0</v>
      </c>
      <c r="AA14" s="430">
        <f>Model!AA7</f>
        <v>0</v>
      </c>
      <c r="AB14" s="430">
        <f>Model!AB7</f>
        <v>0</v>
      </c>
      <c r="AC14" s="430">
        <f>Model!AC7</f>
        <v>0</v>
      </c>
      <c r="AD14" s="430">
        <f>Model!AD7</f>
        <v>0</v>
      </c>
      <c r="AE14" s="441">
        <f>Model!AE7</f>
        <v>0.12969888862916767</v>
      </c>
      <c r="AF14" s="430">
        <f>Model!AF7</f>
        <v>0.10764418377321605</v>
      </c>
      <c r="AG14" s="430">
        <f>Model!AG7</f>
        <v>9.2093474690159827E-2</v>
      </c>
      <c r="AH14" s="430">
        <f>Model!AH7</f>
        <v>0.12930515867047676</v>
      </c>
      <c r="AI14" s="430">
        <f>Model!AI7</f>
        <v>9.2011985675656049E-2</v>
      </c>
      <c r="AJ14" s="441">
        <f>Model!AJ7</f>
        <v>0.10512109099459188</v>
      </c>
      <c r="AK14" s="430">
        <f>Model!AK7</f>
        <v>6.4106184693589308E-2</v>
      </c>
      <c r="AL14" s="430">
        <f>Model!AL7</f>
        <v>7.3696803965134228E-2</v>
      </c>
      <c r="AM14" s="582">
        <f>Model!AM7</f>
        <v>0.10414516397536189</v>
      </c>
      <c r="AN14" s="163">
        <f>Model!AN7</f>
        <v>0.08</v>
      </c>
      <c r="AO14" s="162">
        <f>Model!AO7</f>
        <v>8.0770710285782421E-2</v>
      </c>
      <c r="AP14" s="163">
        <f>Model!AP7</f>
        <v>0.08</v>
      </c>
      <c r="AQ14" s="163">
        <f>Model!AQ7</f>
        <v>7.4999999999999997E-2</v>
      </c>
      <c r="AR14" s="163">
        <f>Model!AR7</f>
        <v>7.0000000000000007E-2</v>
      </c>
      <c r="AS14" s="163">
        <f>Model!AS7</f>
        <v>7.0000000000000007E-2</v>
      </c>
      <c r="AT14" s="162">
        <f>Model!AT7</f>
        <v>7.3610403808974212E-2</v>
      </c>
      <c r="AU14" s="162">
        <f>Model!AU7</f>
        <v>7.0000000000000007E-2</v>
      </c>
      <c r="AV14" s="162">
        <f>Model!AV7</f>
        <v>7.0000000000000007E-2</v>
      </c>
      <c r="AW14" s="162">
        <f>Model!AW7</f>
        <v>7.0000000000000007E-2</v>
      </c>
      <c r="AX14" s="269"/>
    </row>
    <row r="15" spans="1:50" s="94" customFormat="1" x14ac:dyDescent="0.45">
      <c r="A15" s="745" t="str">
        <f>Model!A8</f>
        <v>Support and Maintenance Revenue Growth, %</v>
      </c>
      <c r="B15" s="266"/>
      <c r="C15" s="441">
        <f>Model!C8</f>
        <v>0</v>
      </c>
      <c r="D15" s="441">
        <f>Model!D8</f>
        <v>0</v>
      </c>
      <c r="E15" s="441">
        <f>Model!E8</f>
        <v>0</v>
      </c>
      <c r="F15" s="441">
        <f>Model!F8</f>
        <v>0</v>
      </c>
      <c r="G15" s="430">
        <f>Model!G8</f>
        <v>0</v>
      </c>
      <c r="H15" s="430">
        <f>Model!H8</f>
        <v>0</v>
      </c>
      <c r="I15" s="430">
        <f>Model!I8</f>
        <v>0</v>
      </c>
      <c r="J15" s="430">
        <f>Model!J8</f>
        <v>0</v>
      </c>
      <c r="K15" s="441">
        <f>Model!K8</f>
        <v>0</v>
      </c>
      <c r="L15" s="430">
        <f>Model!L8</f>
        <v>0</v>
      </c>
      <c r="M15" s="430">
        <f>Model!M8</f>
        <v>0</v>
      </c>
      <c r="N15" s="430">
        <f>Model!N8</f>
        <v>0</v>
      </c>
      <c r="O15" s="430">
        <f>Model!O8</f>
        <v>0</v>
      </c>
      <c r="P15" s="441">
        <f>Model!P8</f>
        <v>0</v>
      </c>
      <c r="Q15" s="430">
        <f>Model!Q8</f>
        <v>0</v>
      </c>
      <c r="R15" s="430">
        <f>Model!R8</f>
        <v>0</v>
      </c>
      <c r="S15" s="430">
        <f>Model!S8</f>
        <v>0</v>
      </c>
      <c r="T15" s="430">
        <f>Model!T8</f>
        <v>0</v>
      </c>
      <c r="U15" s="441">
        <f>Model!U8</f>
        <v>0</v>
      </c>
      <c r="V15" s="430">
        <f>Model!V8</f>
        <v>0</v>
      </c>
      <c r="W15" s="430">
        <f>Model!W8</f>
        <v>0</v>
      </c>
      <c r="X15" s="430">
        <f>Model!X8</f>
        <v>0</v>
      </c>
      <c r="Y15" s="430">
        <f>Model!Y8</f>
        <v>0</v>
      </c>
      <c r="Z15" s="441">
        <f>Model!Z8</f>
        <v>0</v>
      </c>
      <c r="AA15" s="430">
        <f>Model!AA8</f>
        <v>0</v>
      </c>
      <c r="AB15" s="430">
        <f>Model!AB8</f>
        <v>0</v>
      </c>
      <c r="AC15" s="430">
        <f>Model!AC8</f>
        <v>0</v>
      </c>
      <c r="AD15" s="430">
        <f>Model!AD8</f>
        <v>0</v>
      </c>
      <c r="AE15" s="441">
        <f>Model!AE8</f>
        <v>3.1504640999483691E-2</v>
      </c>
      <c r="AF15" s="430">
        <f>Model!AF8</f>
        <v>3.2104290300611904E-3</v>
      </c>
      <c r="AG15" s="430">
        <f>Model!AG8</f>
        <v>-5.0344182476674715E-2</v>
      </c>
      <c r="AH15" s="430">
        <f>Model!AH8</f>
        <v>-1.6054704920469787E-2</v>
      </c>
      <c r="AI15" s="430">
        <f>Model!AI8</f>
        <v>-9.6470935669639157E-3</v>
      </c>
      <c r="AJ15" s="441">
        <f>Model!AJ8</f>
        <v>-1.8357193003876615E-2</v>
      </c>
      <c r="AK15" s="430">
        <f>Model!AK8</f>
        <v>-3.8692785104732286E-2</v>
      </c>
      <c r="AL15" s="430">
        <f>Model!AL8</f>
        <v>-5.9099863615700299E-3</v>
      </c>
      <c r="AM15" s="582">
        <f>Model!AM8</f>
        <v>5.5899682731530564E-3</v>
      </c>
      <c r="AN15" s="163">
        <f>Model!AN8</f>
        <v>-5.0000000000000001E-3</v>
      </c>
      <c r="AO15" s="162">
        <f>Model!AO8</f>
        <v>-1.1251445913506464E-2</v>
      </c>
      <c r="AP15" s="163">
        <f>Model!AP8</f>
        <v>0.01</v>
      </c>
      <c r="AQ15" s="163">
        <f>Model!AQ8</f>
        <v>5.0000000000000001E-3</v>
      </c>
      <c r="AR15" s="163">
        <f>Model!AR8</f>
        <v>0</v>
      </c>
      <c r="AS15" s="163">
        <f>Model!AS8</f>
        <v>0</v>
      </c>
      <c r="AT15" s="162">
        <f>Model!AT8</f>
        <v>3.731835433177455E-3</v>
      </c>
      <c r="AU15" s="162">
        <f>Model!AU8</f>
        <v>2E-3</v>
      </c>
      <c r="AV15" s="162">
        <f>Model!AV8</f>
        <v>2E-3</v>
      </c>
      <c r="AW15" s="162">
        <f>Model!AW8</f>
        <v>2E-3</v>
      </c>
      <c r="AX15" s="269"/>
    </row>
    <row r="16" spans="1:50" s="94" customFormat="1" x14ac:dyDescent="0.45">
      <c r="A16" s="745" t="str">
        <f>Model!A9</f>
        <v>Managed Services Revenue Growth, %</v>
      </c>
      <c r="B16" s="266"/>
      <c r="C16" s="441">
        <f>Model!C9</f>
        <v>0</v>
      </c>
      <c r="D16" s="441">
        <f>Model!D9</f>
        <v>0</v>
      </c>
      <c r="E16" s="441">
        <f>Model!E9</f>
        <v>0</v>
      </c>
      <c r="F16" s="441">
        <f>Model!F9</f>
        <v>0</v>
      </c>
      <c r="G16" s="430">
        <f>Model!G9</f>
        <v>0</v>
      </c>
      <c r="H16" s="430">
        <f>Model!H9</f>
        <v>0</v>
      </c>
      <c r="I16" s="430">
        <f>Model!I9</f>
        <v>0</v>
      </c>
      <c r="J16" s="430">
        <f>Model!J9</f>
        <v>0</v>
      </c>
      <c r="K16" s="441">
        <f>Model!K9</f>
        <v>0</v>
      </c>
      <c r="L16" s="430">
        <f>Model!L9</f>
        <v>0</v>
      </c>
      <c r="M16" s="430">
        <f>Model!M9</f>
        <v>0</v>
      </c>
      <c r="N16" s="430">
        <f>Model!N9</f>
        <v>0</v>
      </c>
      <c r="O16" s="430">
        <f>Model!O9</f>
        <v>0</v>
      </c>
      <c r="P16" s="441">
        <f>Model!P9</f>
        <v>0</v>
      </c>
      <c r="Q16" s="430">
        <f>Model!Q9</f>
        <v>0</v>
      </c>
      <c r="R16" s="430">
        <f>Model!R9</f>
        <v>0</v>
      </c>
      <c r="S16" s="430">
        <f>Model!S9</f>
        <v>0</v>
      </c>
      <c r="T16" s="430">
        <f>Model!T9</f>
        <v>0</v>
      </c>
      <c r="U16" s="441">
        <f>Model!U9</f>
        <v>0</v>
      </c>
      <c r="V16" s="430">
        <f>Model!V9</f>
        <v>0</v>
      </c>
      <c r="W16" s="430">
        <f>Model!W9</f>
        <v>0</v>
      </c>
      <c r="X16" s="430">
        <f>Model!X9</f>
        <v>0</v>
      </c>
      <c r="Y16" s="430">
        <f>Model!Y9</f>
        <v>0</v>
      </c>
      <c r="Z16" s="441">
        <f>Model!Z9</f>
        <v>0</v>
      </c>
      <c r="AA16" s="430">
        <f>Model!AA9</f>
        <v>0</v>
      </c>
      <c r="AB16" s="430">
        <f>Model!AB9</f>
        <v>0</v>
      </c>
      <c r="AC16" s="430">
        <f>Model!AC9</f>
        <v>0</v>
      </c>
      <c r="AD16" s="430">
        <f>Model!AD9</f>
        <v>0</v>
      </c>
      <c r="AE16" s="441">
        <f>Model!AE9</f>
        <v>6.4412798016044714E-2</v>
      </c>
      <c r="AF16" s="430">
        <f>Model!AF9</f>
        <v>-9.95715509854328E-2</v>
      </c>
      <c r="AG16" s="430">
        <f>Model!AG9</f>
        <v>-0.15860811100779626</v>
      </c>
      <c r="AH16" s="430">
        <f>Model!AH9</f>
        <v>-0.160952150295817</v>
      </c>
      <c r="AI16" s="430">
        <f>Model!AI9</f>
        <v>-0.11426056983609012</v>
      </c>
      <c r="AJ16" s="441">
        <f>Model!AJ9</f>
        <v>-0.13333215663086551</v>
      </c>
      <c r="AK16" s="430">
        <f>Model!AK9</f>
        <v>-2.2421012561857578E-2</v>
      </c>
      <c r="AL16" s="430">
        <f>Model!AL9</f>
        <v>7.1917371530581864E-2</v>
      </c>
      <c r="AM16" s="582">
        <f>Model!AM9</f>
        <v>0.10634613005649229</v>
      </c>
      <c r="AN16" s="163">
        <f>Model!AN9</f>
        <v>0.05</v>
      </c>
      <c r="AO16" s="162">
        <f>Model!AO9</f>
        <v>4.9792267038685223E-2</v>
      </c>
      <c r="AP16" s="163">
        <f>Model!AP9</f>
        <v>0.05</v>
      </c>
      <c r="AQ16" s="163">
        <f>Model!AQ9</f>
        <v>4.4999999999999998E-2</v>
      </c>
      <c r="AR16" s="163">
        <f>Model!AR9</f>
        <v>0.04</v>
      </c>
      <c r="AS16" s="163">
        <f>Model!AS9</f>
        <v>0.04</v>
      </c>
      <c r="AT16" s="162">
        <f>Model!AT9</f>
        <v>4.3714179707108336E-2</v>
      </c>
      <c r="AU16" s="162">
        <f>Model!AU9</f>
        <v>0.04</v>
      </c>
      <c r="AV16" s="162">
        <f>Model!AV9</f>
        <v>0.04</v>
      </c>
      <c r="AW16" s="162">
        <f>Model!AW9</f>
        <v>0.04</v>
      </c>
      <c r="AX16" s="269"/>
    </row>
    <row r="17" spans="1:50" s="94" customFormat="1" x14ac:dyDescent="0.45">
      <c r="A17" s="745" t="str">
        <f>Model!A10</f>
        <v>EDI and Data Services Revenue Growth, %</v>
      </c>
      <c r="B17" s="266"/>
      <c r="C17" s="441">
        <f>Model!C10</f>
        <v>0</v>
      </c>
      <c r="D17" s="441">
        <f>Model!D10</f>
        <v>0</v>
      </c>
      <c r="E17" s="441">
        <f>Model!E10</f>
        <v>0</v>
      </c>
      <c r="F17" s="441">
        <f>Model!F10</f>
        <v>0</v>
      </c>
      <c r="G17" s="430">
        <f>Model!G10</f>
        <v>0</v>
      </c>
      <c r="H17" s="430">
        <f>Model!H10</f>
        <v>0</v>
      </c>
      <c r="I17" s="430">
        <f>Model!I10</f>
        <v>0</v>
      </c>
      <c r="J17" s="430">
        <f>Model!J10</f>
        <v>0</v>
      </c>
      <c r="K17" s="441">
        <f>Model!K10</f>
        <v>0</v>
      </c>
      <c r="L17" s="430">
        <f>Model!L10</f>
        <v>0</v>
      </c>
      <c r="M17" s="430">
        <f>Model!M10</f>
        <v>0</v>
      </c>
      <c r="N17" s="430">
        <f>Model!N10</f>
        <v>0</v>
      </c>
      <c r="O17" s="430">
        <f>Model!O10</f>
        <v>0</v>
      </c>
      <c r="P17" s="441">
        <f>Model!P10</f>
        <v>0</v>
      </c>
      <c r="Q17" s="430">
        <f>Model!Q10</f>
        <v>0</v>
      </c>
      <c r="R17" s="430">
        <f>Model!R10</f>
        <v>0</v>
      </c>
      <c r="S17" s="430">
        <f>Model!S10</f>
        <v>0</v>
      </c>
      <c r="T17" s="430">
        <f>Model!T10</f>
        <v>0</v>
      </c>
      <c r="U17" s="441">
        <f>Model!U10</f>
        <v>0</v>
      </c>
      <c r="V17" s="430">
        <f>Model!V10</f>
        <v>0</v>
      </c>
      <c r="W17" s="430">
        <f>Model!W10</f>
        <v>0</v>
      </c>
      <c r="X17" s="430">
        <f>Model!X10</f>
        <v>0</v>
      </c>
      <c r="Y17" s="430">
        <f>Model!Y10</f>
        <v>0</v>
      </c>
      <c r="Z17" s="441">
        <f>Model!Z10</f>
        <v>0</v>
      </c>
      <c r="AA17" s="430">
        <f>Model!AA10</f>
        <v>0</v>
      </c>
      <c r="AB17" s="430">
        <f>Model!AB10</f>
        <v>0</v>
      </c>
      <c r="AC17" s="430">
        <f>Model!AC10</f>
        <v>0</v>
      </c>
      <c r="AD17" s="430">
        <f>Model!AD10</f>
        <v>0</v>
      </c>
      <c r="AE17" s="441">
        <f>Model!AE10</f>
        <v>4.296747647581256E-2</v>
      </c>
      <c r="AF17" s="430">
        <f>Model!AF10</f>
        <v>3.6419011667810475E-2</v>
      </c>
      <c r="AG17" s="430">
        <f>Model!AG10</f>
        <v>4.1003565527437003E-2</v>
      </c>
      <c r="AH17" s="430">
        <f>Model!AH10</f>
        <v>1.3399031811895057E-2</v>
      </c>
      <c r="AI17" s="430">
        <f>Model!AI10</f>
        <v>0.10901530415398497</v>
      </c>
      <c r="AJ17" s="441">
        <f>Model!AJ10</f>
        <v>5.0068446638569464E-2</v>
      </c>
      <c r="AK17" s="430">
        <f>Model!AK10</f>
        <v>-7.9053019328670926E-3</v>
      </c>
      <c r="AL17" s="430">
        <f>Model!AL10</f>
        <v>2.7484232070506653E-2</v>
      </c>
      <c r="AM17" s="582">
        <f>Model!AM10</f>
        <v>6.0223492280133017E-2</v>
      </c>
      <c r="AN17" s="163">
        <f>Model!AN10</f>
        <v>2.5000000000000001E-2</v>
      </c>
      <c r="AO17" s="162">
        <f>Model!AO10</f>
        <v>2.5926933420928444E-2</v>
      </c>
      <c r="AP17" s="163">
        <f>Model!AP10</f>
        <v>0.03</v>
      </c>
      <c r="AQ17" s="163">
        <f>Model!AQ10</f>
        <v>2.5000000000000001E-2</v>
      </c>
      <c r="AR17" s="163">
        <f>Model!AR10</f>
        <v>0.02</v>
      </c>
      <c r="AS17" s="163">
        <f>Model!AS10</f>
        <v>0.02</v>
      </c>
      <c r="AT17" s="162">
        <f>Model!AT10</f>
        <v>2.3628991307610425E-2</v>
      </c>
      <c r="AU17" s="162">
        <f>Model!AU10</f>
        <v>0.02</v>
      </c>
      <c r="AV17" s="162">
        <f>Model!AV10</f>
        <v>0.02</v>
      </c>
      <c r="AW17" s="162">
        <f>Model!AW10</f>
        <v>0.02</v>
      </c>
      <c r="AX17" s="269"/>
    </row>
    <row r="18" spans="1:50" s="94" customFormat="1" x14ac:dyDescent="0.45">
      <c r="A18" s="746" t="str">
        <f>Model!A11</f>
        <v>Total Recurring Revenue Growth, %</v>
      </c>
      <c r="B18" s="747"/>
      <c r="C18" s="748">
        <f>Model!C11</f>
        <v>0</v>
      </c>
      <c r="D18" s="748">
        <f>Model!D11</f>
        <v>0</v>
      </c>
      <c r="E18" s="748">
        <f>Model!E11</f>
        <v>0</v>
      </c>
      <c r="F18" s="748">
        <f>Model!F11</f>
        <v>0</v>
      </c>
      <c r="G18" s="749">
        <f>Model!G11</f>
        <v>0</v>
      </c>
      <c r="H18" s="749">
        <f>Model!H11</f>
        <v>0</v>
      </c>
      <c r="I18" s="749">
        <f>Model!I11</f>
        <v>0</v>
      </c>
      <c r="J18" s="749">
        <f>Model!J11</f>
        <v>0</v>
      </c>
      <c r="K18" s="748">
        <f>Model!K11</f>
        <v>0</v>
      </c>
      <c r="L18" s="749">
        <f>Model!L11</f>
        <v>0</v>
      </c>
      <c r="M18" s="749">
        <f>Model!M11</f>
        <v>0</v>
      </c>
      <c r="N18" s="749">
        <f>Model!N11</f>
        <v>0</v>
      </c>
      <c r="O18" s="749">
        <f>Model!O11</f>
        <v>0</v>
      </c>
      <c r="P18" s="748">
        <f>Model!P11</f>
        <v>0</v>
      </c>
      <c r="Q18" s="749">
        <f>Model!Q11</f>
        <v>0</v>
      </c>
      <c r="R18" s="749">
        <f>Model!R11</f>
        <v>0</v>
      </c>
      <c r="S18" s="749">
        <f>Model!S11</f>
        <v>0</v>
      </c>
      <c r="T18" s="749">
        <f>Model!T11</f>
        <v>0</v>
      </c>
      <c r="U18" s="748">
        <f>Model!U11</f>
        <v>0</v>
      </c>
      <c r="V18" s="749">
        <f>Model!V11</f>
        <v>0</v>
      </c>
      <c r="W18" s="749">
        <f>Model!W11</f>
        <v>0</v>
      </c>
      <c r="X18" s="749">
        <f>Model!X11</f>
        <v>0</v>
      </c>
      <c r="Y18" s="749">
        <f>Model!Y11</f>
        <v>0</v>
      </c>
      <c r="Z18" s="748">
        <f>Model!Z11</f>
        <v>0</v>
      </c>
      <c r="AA18" s="749">
        <f>Model!AA11</f>
        <v>0</v>
      </c>
      <c r="AB18" s="749">
        <f>Model!AB11</f>
        <v>0</v>
      </c>
      <c r="AC18" s="749">
        <f>Model!AC11</f>
        <v>0</v>
      </c>
      <c r="AD18" s="749">
        <f>Model!AD11</f>
        <v>0</v>
      </c>
      <c r="AE18" s="748">
        <f>Model!AE11</f>
        <v>6.2207104221268406E-2</v>
      </c>
      <c r="AF18" s="749">
        <f>Model!AF11</f>
        <v>6.955981808723033E-3</v>
      </c>
      <c r="AG18" s="749">
        <f>Model!AG11</f>
        <v>-2.6155172846844876E-2</v>
      </c>
      <c r="AH18" s="749">
        <f>Model!AH11</f>
        <v>-1.3033942032152024E-2</v>
      </c>
      <c r="AI18" s="749">
        <f>Model!AI11</f>
        <v>1.3094655896389362E-2</v>
      </c>
      <c r="AJ18" s="748">
        <f>Model!AJ11</f>
        <v>-4.8150621359305257E-3</v>
      </c>
      <c r="AK18" s="749">
        <f>Model!AK11</f>
        <v>-4.6663944603231311E-3</v>
      </c>
      <c r="AL18" s="749">
        <f>Model!AL11</f>
        <v>3.6727219580972692E-2</v>
      </c>
      <c r="AM18" s="750">
        <f>Model!AM11</f>
        <v>6.2505321594605201E-2</v>
      </c>
      <c r="AN18" s="749">
        <f>Model!AN11</f>
        <v>3.3657730688883225E-2</v>
      </c>
      <c r="AO18" s="748">
        <f>Model!AO11</f>
        <v>3.185554132439794E-2</v>
      </c>
      <c r="AP18" s="749">
        <f>Model!AP11</f>
        <v>4.0278868452116923E-2</v>
      </c>
      <c r="AQ18" s="749">
        <f>Model!AQ11</f>
        <v>3.5678668866977681E-2</v>
      </c>
      <c r="AR18" s="749">
        <f>Model!AR11</f>
        <v>3.1187303164592617E-2</v>
      </c>
      <c r="AS18" s="749">
        <f>Model!AS11</f>
        <v>3.0629857028877439E-2</v>
      </c>
      <c r="AT18" s="748">
        <f>Model!AT11</f>
        <v>3.4373969989367037E-2</v>
      </c>
      <c r="AU18" s="748">
        <f>Model!AU11</f>
        <v>3.20526159316743E-2</v>
      </c>
      <c r="AV18" s="748">
        <f>Model!AV11</f>
        <v>3.2746272337241145E-2</v>
      </c>
      <c r="AW18" s="748">
        <f>Model!AW11</f>
        <v>3.3444549749783503E-2</v>
      </c>
      <c r="AX18" s="269"/>
    </row>
    <row r="19" spans="1:50" s="94" customFormat="1" x14ac:dyDescent="0.45">
      <c r="A19" s="751" t="str">
        <f>Model!A12</f>
        <v>Software License and Hardware Revenue Growth, %</v>
      </c>
      <c r="B19" s="752"/>
      <c r="C19" s="441">
        <f>Model!C12</f>
        <v>0</v>
      </c>
      <c r="D19" s="441">
        <f>Model!D12</f>
        <v>0</v>
      </c>
      <c r="E19" s="441">
        <f>Model!E12</f>
        <v>0</v>
      </c>
      <c r="F19" s="441">
        <f>Model!F12</f>
        <v>0</v>
      </c>
      <c r="G19" s="430">
        <f>Model!G12</f>
        <v>0</v>
      </c>
      <c r="H19" s="430">
        <f>Model!H12</f>
        <v>0</v>
      </c>
      <c r="I19" s="430">
        <f>Model!I12</f>
        <v>0</v>
      </c>
      <c r="J19" s="430">
        <f>Model!J12</f>
        <v>0</v>
      </c>
      <c r="K19" s="441">
        <f>Model!K12</f>
        <v>0</v>
      </c>
      <c r="L19" s="430">
        <f>Model!L12</f>
        <v>0</v>
      </c>
      <c r="M19" s="430">
        <f>Model!M12</f>
        <v>0</v>
      </c>
      <c r="N19" s="430">
        <f>Model!N12</f>
        <v>0</v>
      </c>
      <c r="O19" s="430">
        <f>Model!O12</f>
        <v>0</v>
      </c>
      <c r="P19" s="441">
        <f>Model!P12</f>
        <v>0</v>
      </c>
      <c r="Q19" s="430">
        <f>Model!Q12</f>
        <v>0</v>
      </c>
      <c r="R19" s="430">
        <f>Model!R12</f>
        <v>0</v>
      </c>
      <c r="S19" s="430">
        <f>Model!S12</f>
        <v>0</v>
      </c>
      <c r="T19" s="430">
        <f>Model!T12</f>
        <v>0</v>
      </c>
      <c r="U19" s="441">
        <f>Model!U12</f>
        <v>0</v>
      </c>
      <c r="V19" s="430">
        <f>Model!V12</f>
        <v>0</v>
      </c>
      <c r="W19" s="430">
        <f>Model!W12</f>
        <v>0</v>
      </c>
      <c r="X19" s="430">
        <f>Model!X12</f>
        <v>0</v>
      </c>
      <c r="Y19" s="430">
        <f>Model!Y12</f>
        <v>0</v>
      </c>
      <c r="Z19" s="441">
        <f>Model!Z12</f>
        <v>0</v>
      </c>
      <c r="AA19" s="430">
        <f>Model!AA12</f>
        <v>0</v>
      </c>
      <c r="AB19" s="430">
        <f>Model!AB12</f>
        <v>0</v>
      </c>
      <c r="AC19" s="430">
        <f>Model!AC12</f>
        <v>0</v>
      </c>
      <c r="AD19" s="430">
        <f>Model!AD12</f>
        <v>0</v>
      </c>
      <c r="AE19" s="441">
        <f>Model!AE12</f>
        <v>-0.22942575603126059</v>
      </c>
      <c r="AF19" s="430">
        <f>Model!AF12</f>
        <v>3.0997304582209839E-3</v>
      </c>
      <c r="AG19" s="430">
        <f>Model!AG12</f>
        <v>5.6478030046311911E-2</v>
      </c>
      <c r="AH19" s="430">
        <f>Model!AH12</f>
        <v>0.18791081324913006</v>
      </c>
      <c r="AI19" s="430">
        <f>Model!AI12</f>
        <v>-8.7731597396094263E-2</v>
      </c>
      <c r="AJ19" s="441">
        <f>Model!AJ12</f>
        <v>3.2483758120939399E-2</v>
      </c>
      <c r="AK19" s="430">
        <f>Model!AK12</f>
        <v>-4.6755340588472416E-2</v>
      </c>
      <c r="AL19" s="430">
        <f>Model!AL12</f>
        <v>-0.1170747353790228</v>
      </c>
      <c r="AM19" s="582">
        <f>Model!AM12</f>
        <v>-0.21774981013344907</v>
      </c>
      <c r="AN19" s="430">
        <f>Model!AN12</f>
        <v>-0.08</v>
      </c>
      <c r="AO19" s="441">
        <f>Model!AO12</f>
        <v>-0.11897727919822332</v>
      </c>
      <c r="AP19" s="430">
        <f>Model!AP12</f>
        <v>1.4999999999999999E-2</v>
      </c>
      <c r="AQ19" s="430">
        <f>Model!AQ12</f>
        <v>0.01</v>
      </c>
      <c r="AR19" s="430">
        <f>Model!AR12</f>
        <v>5.0000000000000001E-3</v>
      </c>
      <c r="AS19" s="430">
        <f>Model!AS12</f>
        <v>5.0000000000000001E-3</v>
      </c>
      <c r="AT19" s="441">
        <f>Model!AT12</f>
        <v>8.6272819171075987E-3</v>
      </c>
      <c r="AU19" s="441">
        <f>Model!AU12</f>
        <v>7.0000000000000001E-3</v>
      </c>
      <c r="AV19" s="441">
        <f>Model!AV12</f>
        <v>7.0000000000000001E-3</v>
      </c>
      <c r="AW19" s="441">
        <f>Model!AW12</f>
        <v>7.0000000000000001E-3</v>
      </c>
      <c r="AX19" s="269"/>
    </row>
    <row r="20" spans="1:50" s="94" customFormat="1" x14ac:dyDescent="0.45">
      <c r="A20" s="753" t="str">
        <f>Model!A13</f>
        <v>Other Non-recurring Services Revenue Growth, %</v>
      </c>
      <c r="B20" s="542"/>
      <c r="C20" s="543">
        <f>Model!C13</f>
        <v>0</v>
      </c>
      <c r="D20" s="543">
        <f>Model!D13</f>
        <v>0</v>
      </c>
      <c r="E20" s="543">
        <f>Model!E13</f>
        <v>0</v>
      </c>
      <c r="F20" s="543">
        <f>Model!F13</f>
        <v>0</v>
      </c>
      <c r="G20" s="487">
        <f>Model!G13</f>
        <v>0</v>
      </c>
      <c r="H20" s="487">
        <f>Model!H13</f>
        <v>0</v>
      </c>
      <c r="I20" s="487">
        <f>Model!I13</f>
        <v>0</v>
      </c>
      <c r="J20" s="487">
        <f>Model!J13</f>
        <v>0</v>
      </c>
      <c r="K20" s="543">
        <f>Model!K13</f>
        <v>0</v>
      </c>
      <c r="L20" s="487">
        <f>Model!L13</f>
        <v>0</v>
      </c>
      <c r="M20" s="487">
        <f>Model!M13</f>
        <v>0</v>
      </c>
      <c r="N20" s="487">
        <f>Model!N13</f>
        <v>0</v>
      </c>
      <c r="O20" s="487">
        <f>Model!O13</f>
        <v>0</v>
      </c>
      <c r="P20" s="543">
        <f>Model!P13</f>
        <v>0</v>
      </c>
      <c r="Q20" s="487">
        <f>Model!Q13</f>
        <v>0</v>
      </c>
      <c r="R20" s="487">
        <f>Model!R13</f>
        <v>0</v>
      </c>
      <c r="S20" s="487">
        <f>Model!S13</f>
        <v>0</v>
      </c>
      <c r="T20" s="487">
        <f>Model!T13</f>
        <v>0</v>
      </c>
      <c r="U20" s="543">
        <f>Model!U13</f>
        <v>0</v>
      </c>
      <c r="V20" s="487">
        <f>Model!V13</f>
        <v>0</v>
      </c>
      <c r="W20" s="487">
        <f>Model!W13</f>
        <v>0</v>
      </c>
      <c r="X20" s="487">
        <f>Model!X13</f>
        <v>0</v>
      </c>
      <c r="Y20" s="487">
        <f>Model!Y13</f>
        <v>0</v>
      </c>
      <c r="Z20" s="543">
        <f>Model!Z13</f>
        <v>0</v>
      </c>
      <c r="AA20" s="487">
        <f>Model!AA13</f>
        <v>0</v>
      </c>
      <c r="AB20" s="487">
        <f>Model!AB13</f>
        <v>0</v>
      </c>
      <c r="AC20" s="487">
        <f>Model!AC13</f>
        <v>0</v>
      </c>
      <c r="AD20" s="487">
        <f>Model!AD13</f>
        <v>0</v>
      </c>
      <c r="AE20" s="543">
        <f>Model!AE13</f>
        <v>0.21184563367144693</v>
      </c>
      <c r="AF20" s="487">
        <f>Model!AF13</f>
        <v>0.32978723404255317</v>
      </c>
      <c r="AG20" s="487">
        <f>Model!AG13</f>
        <v>7.8367725481103712E-2</v>
      </c>
      <c r="AH20" s="487">
        <f>Model!AH13</f>
        <v>-0.15224843718491632</v>
      </c>
      <c r="AI20" s="487">
        <f>Model!AI13</f>
        <v>-0.23178531701891014</v>
      </c>
      <c r="AJ20" s="543">
        <f>Model!AJ13</f>
        <v>-3.1652876659611362E-2</v>
      </c>
      <c r="AK20" s="487">
        <f>Model!AK13</f>
        <v>-7.4956521739130477E-2</v>
      </c>
      <c r="AL20" s="487">
        <f>Model!AL13</f>
        <v>0.16297570414964535</v>
      </c>
      <c r="AM20" s="586">
        <f>Model!AM13</f>
        <v>0.36607992388201738</v>
      </c>
      <c r="AN20" s="487">
        <f>Model!AN13</f>
        <v>0.1</v>
      </c>
      <c r="AO20" s="543">
        <f>Model!AO13</f>
        <v>0.12014406358668639</v>
      </c>
      <c r="AP20" s="487">
        <f>Model!AP13</f>
        <v>0.03</v>
      </c>
      <c r="AQ20" s="487">
        <f>Model!AQ13</f>
        <v>2.5000000000000001E-2</v>
      </c>
      <c r="AR20" s="487">
        <f>Model!AR13</f>
        <v>0.02</v>
      </c>
      <c r="AS20" s="487">
        <f>Model!AS13</f>
        <v>0.01</v>
      </c>
      <c r="AT20" s="543">
        <f>Model!AT13</f>
        <v>2.0863028582832621E-2</v>
      </c>
      <c r="AU20" s="543">
        <f>Model!AU13</f>
        <v>1.4999999999999999E-2</v>
      </c>
      <c r="AV20" s="543">
        <f>Model!AV13</f>
        <v>1.4999999999999999E-2</v>
      </c>
      <c r="AW20" s="543">
        <f>Model!AW13</f>
        <v>1.4999999999999999E-2</v>
      </c>
      <c r="AX20" s="269"/>
    </row>
    <row r="21" spans="1:50" s="94" customFormat="1" x14ac:dyDescent="0.45">
      <c r="A21" s="270" t="str">
        <f>Model!A14</f>
        <v>Total Software, Hardware and Other Non-recurring Revenue Growth, %</v>
      </c>
      <c r="B21" s="266"/>
      <c r="C21" s="441">
        <f>Model!C14</f>
        <v>0</v>
      </c>
      <c r="D21" s="441">
        <f>Model!D14</f>
        <v>0</v>
      </c>
      <c r="E21" s="441">
        <f>Model!E14</f>
        <v>0</v>
      </c>
      <c r="F21" s="441">
        <f>Model!F14</f>
        <v>0</v>
      </c>
      <c r="G21" s="430">
        <f>Model!G14</f>
        <v>0</v>
      </c>
      <c r="H21" s="430">
        <f>Model!H14</f>
        <v>0</v>
      </c>
      <c r="I21" s="430">
        <f>Model!I14</f>
        <v>0</v>
      </c>
      <c r="J21" s="430">
        <f>Model!J14</f>
        <v>0</v>
      </c>
      <c r="K21" s="441">
        <f>Model!K14</f>
        <v>0</v>
      </c>
      <c r="L21" s="430">
        <f>Model!L14</f>
        <v>0</v>
      </c>
      <c r="M21" s="430">
        <f>Model!M14</f>
        <v>0</v>
      </c>
      <c r="N21" s="430">
        <f>Model!N14</f>
        <v>0</v>
      </c>
      <c r="O21" s="430">
        <f>Model!O14</f>
        <v>0</v>
      </c>
      <c r="P21" s="441">
        <f>Model!P14</f>
        <v>0</v>
      </c>
      <c r="Q21" s="430">
        <f>Model!Q14</f>
        <v>0</v>
      </c>
      <c r="R21" s="430">
        <f>Model!R14</f>
        <v>0</v>
      </c>
      <c r="S21" s="430">
        <f>Model!S14</f>
        <v>0</v>
      </c>
      <c r="T21" s="430">
        <f>Model!T14</f>
        <v>0</v>
      </c>
      <c r="U21" s="441">
        <f>Model!U14</f>
        <v>0</v>
      </c>
      <c r="V21" s="430">
        <f>Model!V14</f>
        <v>0</v>
      </c>
      <c r="W21" s="430">
        <f>Model!W14</f>
        <v>0</v>
      </c>
      <c r="X21" s="430">
        <f>Model!X14</f>
        <v>0</v>
      </c>
      <c r="Y21" s="430">
        <f>Model!Y14</f>
        <v>0</v>
      </c>
      <c r="Z21" s="441">
        <f>Model!Z14</f>
        <v>0</v>
      </c>
      <c r="AA21" s="430">
        <f>Model!AA14</f>
        <v>0</v>
      </c>
      <c r="AB21" s="430">
        <f>Model!AB14</f>
        <v>0</v>
      </c>
      <c r="AC21" s="430">
        <f>Model!AC14</f>
        <v>0</v>
      </c>
      <c r="AD21" s="430">
        <f>Model!AD14</f>
        <v>0</v>
      </c>
      <c r="AE21" s="441">
        <f>Model!AE14</f>
        <v>-0.10593973800551393</v>
      </c>
      <c r="AF21" s="430">
        <f>Model!AF14</f>
        <v>0.12338215258855589</v>
      </c>
      <c r="AG21" s="430">
        <f>Model!AG14</f>
        <v>6.3648792343916183E-2</v>
      </c>
      <c r="AH21" s="430">
        <f>Model!AH14</f>
        <v>5.527598679037582E-2</v>
      </c>
      <c r="AI21" s="430">
        <f>Model!AI14</f>
        <v>-0.14804680677650361</v>
      </c>
      <c r="AJ21" s="441">
        <f>Model!AJ14</f>
        <v>8.1561901286377747E-3</v>
      </c>
      <c r="AK21" s="430">
        <f>Model!AK14</f>
        <v>-5.9046464033957413E-2</v>
      </c>
      <c r="AL21" s="430">
        <f>Model!AL14</f>
        <v>-2.4064552984861542E-2</v>
      </c>
      <c r="AM21" s="582">
        <f>Model!AM14</f>
        <v>-3.487072498323518E-2</v>
      </c>
      <c r="AN21" s="163">
        <f>Model!AN14</f>
        <v>-1.2041820418204119E-2</v>
      </c>
      <c r="AO21" s="162">
        <f>Model!AO14</f>
        <v>-3.1858032288423876E-2</v>
      </c>
      <c r="AP21" s="163">
        <f>Model!AP14</f>
        <v>2.1427017883035138E-2</v>
      </c>
      <c r="AQ21" s="163">
        <f>Model!AQ14</f>
        <v>1.593656252286535E-2</v>
      </c>
      <c r="AR21" s="163">
        <f>Model!AR14</f>
        <v>1.1650582876553628E-2</v>
      </c>
      <c r="AS21" s="163">
        <f>Model!AS14</f>
        <v>7.1018095447570317E-3</v>
      </c>
      <c r="AT21" s="162">
        <f>Model!AT14</f>
        <v>1.3785041365234063E-2</v>
      </c>
      <c r="AU21" s="162">
        <f>Model!AU14</f>
        <v>1.0395800677474476E-2</v>
      </c>
      <c r="AV21" s="162">
        <f>Model!AV14</f>
        <v>1.0411274755225186E-2</v>
      </c>
      <c r="AW21" s="162">
        <f>Model!AW14</f>
        <v>1.0426766865198056E-2</v>
      </c>
      <c r="AX21" s="269"/>
    </row>
    <row r="22" spans="1:50" s="95" customFormat="1" x14ac:dyDescent="0.45">
      <c r="A22" s="271" t="str">
        <f>Model!A15</f>
        <v>Total Revenue Growth, %</v>
      </c>
      <c r="B22" s="272"/>
      <c r="C22" s="168">
        <f>Model!C15</f>
        <v>0</v>
      </c>
      <c r="D22" s="168">
        <f>Model!D15</f>
        <v>0.21093104783575645</v>
      </c>
      <c r="E22" s="168">
        <f>Model!E15</f>
        <v>0.21641201823620482</v>
      </c>
      <c r="F22" s="168">
        <f>Model!F15</f>
        <v>7.0710854164969916E-2</v>
      </c>
      <c r="G22" s="169">
        <f>Model!G15</f>
        <v>0</v>
      </c>
      <c r="H22" s="169">
        <f>Model!H15</f>
        <v>0</v>
      </c>
      <c r="I22" s="169">
        <f>Model!I15</f>
        <v>0</v>
      </c>
      <c r="J22" s="169">
        <f>Model!J15</f>
        <v>0</v>
      </c>
      <c r="K22" s="168">
        <f>Model!K15</f>
        <v>-3.3813601489692924E-2</v>
      </c>
      <c r="L22" s="169">
        <f>Model!L15</f>
        <v>7.6372467565667623E-2</v>
      </c>
      <c r="M22" s="169">
        <f>Model!M15</f>
        <v>8.4965025521916315E-2</v>
      </c>
      <c r="N22" s="169">
        <f>Model!N15</f>
        <v>0.13384900876403272</v>
      </c>
      <c r="O22" s="169">
        <f>Model!O15</f>
        <v>0.11445014452748636</v>
      </c>
      <c r="P22" s="168">
        <f>Model!P15</f>
        <v>0.10245419606132211</v>
      </c>
      <c r="Q22" s="169">
        <f>Model!Q15</f>
        <v>3.6218976368602496E-2</v>
      </c>
      <c r="R22" s="169">
        <f>Model!R15</f>
        <v>4.0242617346642584E-2</v>
      </c>
      <c r="S22" s="169">
        <f>Model!S15</f>
        <v>-5.1788955146486848E-2</v>
      </c>
      <c r="T22" s="169">
        <f>Model!T15</f>
        <v>-3.7075116054460233E-3</v>
      </c>
      <c r="U22" s="168">
        <f>Model!U15</f>
        <v>4.5938089652710623E-3</v>
      </c>
      <c r="V22" s="169">
        <f>Model!V15</f>
        <v>3.356144199599953E-4</v>
      </c>
      <c r="W22" s="169">
        <f>Model!W15</f>
        <v>1.4333686956105485E-2</v>
      </c>
      <c r="X22" s="169">
        <f>Model!X15</f>
        <v>9.2590060838061206E-2</v>
      </c>
      <c r="Y22" s="169">
        <f>Model!Y15</f>
        <v>3.496935393082734E-2</v>
      </c>
      <c r="Z22" s="168">
        <f>Model!Z15</f>
        <v>3.4817869667009838E-2</v>
      </c>
      <c r="AA22" s="169">
        <f>Model!AA15</f>
        <v>7.1330960271674737E-2</v>
      </c>
      <c r="AB22" s="169">
        <f>Model!AB15</f>
        <v>4.2786593900885572E-2</v>
      </c>
      <c r="AC22" s="169">
        <f>Model!AC15</f>
        <v>3.0085713391935442E-2</v>
      </c>
      <c r="AD22" s="169">
        <f>Model!AD15</f>
        <v>2.5607130717226312E-2</v>
      </c>
      <c r="AE22" s="168">
        <f>Model!AE15</f>
        <v>4.1981931777153259E-2</v>
      </c>
      <c r="AF22" s="169">
        <f>Model!AF15</f>
        <v>1.7399673087792777E-2</v>
      </c>
      <c r="AG22" s="169">
        <f>Model!AG15</f>
        <v>-1.7238908956540788E-2</v>
      </c>
      <c r="AH22" s="169">
        <f>Model!AH15</f>
        <v>-6.438142960179305E-3</v>
      </c>
      <c r="AI22" s="169">
        <f>Model!AI15</f>
        <v>-7.2914748665071638E-3</v>
      </c>
      <c r="AJ22" s="168">
        <f>Model!AJ15</f>
        <v>-3.4763351217188543E-3</v>
      </c>
      <c r="AK22" s="169">
        <f>Model!AK15</f>
        <v>-1.0052552552552774E-2</v>
      </c>
      <c r="AL22" s="169">
        <f>Model!AL15</f>
        <v>3.0194673153214113E-2</v>
      </c>
      <c r="AM22" s="587">
        <f>Model!AM15</f>
        <v>5.2518969640933388E-2</v>
      </c>
      <c r="AN22" s="169">
        <f>Model!AN15</f>
        <v>2.8695997329079681E-2</v>
      </c>
      <c r="AO22" s="168">
        <f>Model!AO15</f>
        <v>2.5203081033990715E-2</v>
      </c>
      <c r="AP22" s="169">
        <f>Model!AP15</f>
        <v>3.8504068678381076E-2</v>
      </c>
      <c r="AQ22" s="169">
        <f>Model!AQ15</f>
        <v>3.3668960791323865E-2</v>
      </c>
      <c r="AR22" s="169">
        <f>Model!AR15</f>
        <v>2.9350079860607003E-2</v>
      </c>
      <c r="AS22" s="169">
        <f>Model!AS15</f>
        <v>2.8176510548399314E-2</v>
      </c>
      <c r="AT22" s="168">
        <f>Model!AT15</f>
        <v>3.2343889683539295E-2</v>
      </c>
      <c r="AU22" s="168">
        <f>Model!AU15</f>
        <v>2.9955629844847786E-2</v>
      </c>
      <c r="AV22" s="168">
        <f>Model!AV15</f>
        <v>3.0624690035908397E-2</v>
      </c>
      <c r="AW22" s="168">
        <f>Model!AW15</f>
        <v>3.1300992413726858E-2</v>
      </c>
      <c r="AX22" s="293"/>
    </row>
    <row r="23" spans="1:50" s="94" customFormat="1" x14ac:dyDescent="0.45">
      <c r="A23" s="265"/>
      <c r="B23" s="266"/>
      <c r="C23" s="441"/>
      <c r="D23" s="441"/>
      <c r="E23" s="441"/>
      <c r="F23" s="441"/>
      <c r="G23" s="430"/>
      <c r="H23" s="430"/>
      <c r="I23" s="430"/>
      <c r="J23" s="430"/>
      <c r="K23" s="441"/>
      <c r="L23" s="430"/>
      <c r="M23" s="430"/>
      <c r="N23" s="430"/>
      <c r="O23" s="430"/>
      <c r="P23" s="441"/>
      <c r="Q23" s="430"/>
      <c r="R23" s="430"/>
      <c r="S23" s="430"/>
      <c r="T23" s="430"/>
      <c r="U23" s="441"/>
      <c r="V23" s="430"/>
      <c r="W23" s="430"/>
      <c r="X23" s="430"/>
      <c r="Y23" s="430"/>
      <c r="Z23" s="441"/>
      <c r="AA23" s="430"/>
      <c r="AB23" s="430"/>
      <c r="AC23" s="430"/>
      <c r="AD23" s="430"/>
      <c r="AE23" s="441"/>
      <c r="AF23" s="430"/>
      <c r="AG23" s="430"/>
      <c r="AH23" s="430"/>
      <c r="AI23" s="430"/>
      <c r="AJ23" s="441"/>
      <c r="AK23" s="430"/>
      <c r="AL23" s="430"/>
      <c r="AM23" s="582"/>
      <c r="AN23" s="163"/>
      <c r="AO23" s="162"/>
      <c r="AP23" s="163"/>
      <c r="AQ23" s="163"/>
      <c r="AR23" s="163"/>
      <c r="AS23" s="163"/>
      <c r="AT23" s="162"/>
      <c r="AU23" s="162"/>
      <c r="AV23" s="162"/>
      <c r="AW23" s="162"/>
      <c r="AX23" s="269"/>
    </row>
    <row r="24" spans="1:50" s="91" customFormat="1" x14ac:dyDescent="0.45">
      <c r="A24" s="754" t="str">
        <f>Model!A18</f>
        <v>Subscription Services Revenue, mm</v>
      </c>
      <c r="B24" s="755"/>
      <c r="C24" s="972">
        <f>Model!C18</f>
        <v>0</v>
      </c>
      <c r="D24" s="972">
        <f>Model!D18</f>
        <v>0</v>
      </c>
      <c r="E24" s="972">
        <f>Model!E18</f>
        <v>0</v>
      </c>
      <c r="F24" s="972">
        <f>Model!F18</f>
        <v>0</v>
      </c>
      <c r="G24" s="973">
        <f>Model!G18</f>
        <v>0</v>
      </c>
      <c r="H24" s="973">
        <f>Model!H18</f>
        <v>0</v>
      </c>
      <c r="I24" s="973">
        <f>Model!I18</f>
        <v>0</v>
      </c>
      <c r="J24" s="973">
        <f>Model!J18</f>
        <v>0</v>
      </c>
      <c r="K24" s="972">
        <f>Model!K18</f>
        <v>0</v>
      </c>
      <c r="L24" s="973">
        <f>Model!L18</f>
        <v>0</v>
      </c>
      <c r="M24" s="973">
        <f>Model!M18</f>
        <v>0</v>
      </c>
      <c r="N24" s="973">
        <f>Model!N18</f>
        <v>0</v>
      </c>
      <c r="O24" s="973">
        <f>Model!O18</f>
        <v>0</v>
      </c>
      <c r="P24" s="972">
        <f>Model!P18</f>
        <v>0</v>
      </c>
      <c r="Q24" s="973">
        <f>Model!Q18</f>
        <v>0</v>
      </c>
      <c r="R24" s="973">
        <f>Model!R18</f>
        <v>0</v>
      </c>
      <c r="S24" s="973">
        <f>Model!S18</f>
        <v>0</v>
      </c>
      <c r="T24" s="973">
        <f>Model!T18</f>
        <v>0</v>
      </c>
      <c r="U24" s="972">
        <f>Model!U18</f>
        <v>0</v>
      </c>
      <c r="V24" s="973">
        <f>Model!V18</f>
        <v>0</v>
      </c>
      <c r="W24" s="973">
        <f>Model!W18</f>
        <v>0</v>
      </c>
      <c r="X24" s="973">
        <f>Model!X18</f>
        <v>0</v>
      </c>
      <c r="Y24" s="973">
        <f>Model!Y18</f>
        <v>0</v>
      </c>
      <c r="Z24" s="972">
        <f>Model!Z18</f>
        <v>94.117999999999995</v>
      </c>
      <c r="AA24" s="973">
        <f>Model!AA18</f>
        <v>25.574999999999999</v>
      </c>
      <c r="AB24" s="973">
        <f>Model!AB18</f>
        <v>26.788</v>
      </c>
      <c r="AC24" s="973">
        <f>Model!AC18</f>
        <v>26.596</v>
      </c>
      <c r="AD24" s="973">
        <f>Model!AD18</f>
        <v>27.366</v>
      </c>
      <c r="AE24" s="972">
        <f>Model!AE18</f>
        <v>106.325</v>
      </c>
      <c r="AF24" s="973">
        <f>Model!AF18</f>
        <v>28.327999999999999</v>
      </c>
      <c r="AG24" s="973">
        <f>Model!AG18</f>
        <v>29.254999999999999</v>
      </c>
      <c r="AH24" s="973">
        <f>Model!AH18</f>
        <v>30.035</v>
      </c>
      <c r="AI24" s="973">
        <f>Model!AI18</f>
        <v>29.884</v>
      </c>
      <c r="AJ24" s="972">
        <f>Model!AJ18</f>
        <v>117.502</v>
      </c>
      <c r="AK24" s="973">
        <f>Model!AK18</f>
        <v>30.143999999999998</v>
      </c>
      <c r="AL24" s="973">
        <f>Model!AL18</f>
        <v>31.411000000000001</v>
      </c>
      <c r="AM24" s="974">
        <f>Model!AM18</f>
        <v>33.162999999999997</v>
      </c>
      <c r="AN24" s="975">
        <f>Model!AN18</f>
        <v>32.274720000000002</v>
      </c>
      <c r="AO24" s="976">
        <f>Model!AO18</f>
        <v>126.99271999999999</v>
      </c>
      <c r="AP24" s="975">
        <f>Model!AP18</f>
        <v>32.555520000000001</v>
      </c>
      <c r="AQ24" s="975">
        <f>Model!AQ18</f>
        <v>33.766824999999997</v>
      </c>
      <c r="AR24" s="975">
        <f>Model!AR18</f>
        <v>35.484409999999997</v>
      </c>
      <c r="AS24" s="975">
        <f>Model!AS18</f>
        <v>34.533950400000002</v>
      </c>
      <c r="AT24" s="976">
        <f>Model!AT18</f>
        <v>136.34070539999999</v>
      </c>
      <c r="AU24" s="976">
        <f>Model!AU18</f>
        <v>145.88455477799999</v>
      </c>
      <c r="AV24" s="976">
        <f>Model!AV18</f>
        <v>156.09647361246002</v>
      </c>
      <c r="AW24" s="976">
        <f>Model!AW18</f>
        <v>167.02322676533223</v>
      </c>
      <c r="AX24" s="806"/>
    </row>
    <row r="25" spans="1:50" s="91" customFormat="1" x14ac:dyDescent="0.45">
      <c r="A25" s="754" t="str">
        <f>Model!A19</f>
        <v>Support and Maintenance Revenue, mm</v>
      </c>
      <c r="B25" s="755"/>
      <c r="C25" s="972">
        <f>Model!C19</f>
        <v>0</v>
      </c>
      <c r="D25" s="972">
        <f>Model!D19</f>
        <v>0</v>
      </c>
      <c r="E25" s="972">
        <f>Model!E19</f>
        <v>0</v>
      </c>
      <c r="F25" s="972">
        <f>Model!F19</f>
        <v>0</v>
      </c>
      <c r="G25" s="973">
        <f>Model!G19</f>
        <v>0</v>
      </c>
      <c r="H25" s="973">
        <f>Model!H19</f>
        <v>0</v>
      </c>
      <c r="I25" s="973">
        <f>Model!I19</f>
        <v>0</v>
      </c>
      <c r="J25" s="973">
        <f>Model!J19</f>
        <v>0</v>
      </c>
      <c r="K25" s="972">
        <f>Model!K19</f>
        <v>0</v>
      </c>
      <c r="L25" s="973">
        <f>Model!L19</f>
        <v>0</v>
      </c>
      <c r="M25" s="973">
        <f>Model!M19</f>
        <v>0</v>
      </c>
      <c r="N25" s="973">
        <f>Model!N19</f>
        <v>0</v>
      </c>
      <c r="O25" s="973">
        <f>Model!O19</f>
        <v>0</v>
      </c>
      <c r="P25" s="972">
        <f>Model!P19</f>
        <v>0</v>
      </c>
      <c r="Q25" s="973">
        <f>Model!Q19</f>
        <v>0</v>
      </c>
      <c r="R25" s="973">
        <f>Model!R19</f>
        <v>0</v>
      </c>
      <c r="S25" s="973">
        <f>Model!S19</f>
        <v>0</v>
      </c>
      <c r="T25" s="973">
        <f>Model!T19</f>
        <v>0</v>
      </c>
      <c r="U25" s="972">
        <f>Model!U19</f>
        <v>0</v>
      </c>
      <c r="V25" s="973">
        <f>Model!V19</f>
        <v>0</v>
      </c>
      <c r="W25" s="973">
        <f>Model!W19</f>
        <v>0</v>
      </c>
      <c r="X25" s="973">
        <f>Model!X19</f>
        <v>0</v>
      </c>
      <c r="Y25" s="973">
        <f>Model!Y19</f>
        <v>0</v>
      </c>
      <c r="Z25" s="972">
        <f>Model!Z19</f>
        <v>158.80199999999999</v>
      </c>
      <c r="AA25" s="973">
        <f>Model!AA19</f>
        <v>41.116</v>
      </c>
      <c r="AB25" s="973">
        <f>Model!AB19</f>
        <v>41.692999999999998</v>
      </c>
      <c r="AC25" s="973">
        <f>Model!AC19</f>
        <v>40.362000000000002</v>
      </c>
      <c r="AD25" s="973">
        <f>Model!AD19</f>
        <v>40.634000000000015</v>
      </c>
      <c r="AE25" s="972">
        <f>Model!AE19</f>
        <v>163.80500000000001</v>
      </c>
      <c r="AF25" s="973">
        <f>Model!AF19</f>
        <v>41.247999999999998</v>
      </c>
      <c r="AG25" s="973">
        <f>Model!AG19</f>
        <v>39.594000000000001</v>
      </c>
      <c r="AH25" s="973">
        <f>Model!AH19</f>
        <v>39.713999999999999</v>
      </c>
      <c r="AI25" s="973">
        <f>Model!AI19</f>
        <v>40.242000000000004</v>
      </c>
      <c r="AJ25" s="972">
        <f>Model!AJ19</f>
        <v>160.798</v>
      </c>
      <c r="AK25" s="973">
        <f>Model!AK19</f>
        <v>39.652000000000001</v>
      </c>
      <c r="AL25" s="973">
        <f>Model!AL19</f>
        <v>39.36</v>
      </c>
      <c r="AM25" s="974">
        <f>Model!AM19</f>
        <v>39.936</v>
      </c>
      <c r="AN25" s="975">
        <f>Model!AN19</f>
        <v>40.040790000000001</v>
      </c>
      <c r="AO25" s="976">
        <f>Model!AO19</f>
        <v>158.98878999999999</v>
      </c>
      <c r="AP25" s="975">
        <f>Model!AP19</f>
        <v>40.048520000000003</v>
      </c>
      <c r="AQ25" s="975">
        <f>Model!AQ19</f>
        <v>39.556799999999996</v>
      </c>
      <c r="AR25" s="975">
        <f>Model!AR19</f>
        <v>39.936</v>
      </c>
      <c r="AS25" s="975">
        <f>Model!AS19</f>
        <v>40.040790000000001</v>
      </c>
      <c r="AT25" s="976">
        <f>Model!AT19</f>
        <v>159.58211</v>
      </c>
      <c r="AU25" s="976">
        <f>Model!AU19</f>
        <v>159.90127422</v>
      </c>
      <c r="AV25" s="976">
        <f>Model!AV19</f>
        <v>160.22107676844001</v>
      </c>
      <c r="AW25" s="976">
        <f>Model!AW19</f>
        <v>160.54151892197689</v>
      </c>
      <c r="AX25" s="806"/>
    </row>
    <row r="26" spans="1:50" s="91" customFormat="1" x14ac:dyDescent="0.45">
      <c r="A26" s="754" t="str">
        <f>Model!A20</f>
        <v>Managed Services Revenue, mm</v>
      </c>
      <c r="B26" s="755"/>
      <c r="C26" s="972">
        <f>Model!C20</f>
        <v>0</v>
      </c>
      <c r="D26" s="972">
        <f>Model!D20</f>
        <v>0</v>
      </c>
      <c r="E26" s="972">
        <f>Model!E20</f>
        <v>0</v>
      </c>
      <c r="F26" s="972">
        <f>Model!F20</f>
        <v>0</v>
      </c>
      <c r="G26" s="973">
        <f>Model!G20</f>
        <v>0</v>
      </c>
      <c r="H26" s="973">
        <f>Model!H20</f>
        <v>0</v>
      </c>
      <c r="I26" s="973">
        <f>Model!I20</f>
        <v>0</v>
      </c>
      <c r="J26" s="973">
        <f>Model!J20</f>
        <v>0</v>
      </c>
      <c r="K26" s="972">
        <f>Model!K20</f>
        <v>0</v>
      </c>
      <c r="L26" s="973">
        <f>Model!L20</f>
        <v>0</v>
      </c>
      <c r="M26" s="973">
        <f>Model!M20</f>
        <v>0</v>
      </c>
      <c r="N26" s="973">
        <f>Model!N20</f>
        <v>0</v>
      </c>
      <c r="O26" s="973">
        <f>Model!O20</f>
        <v>0</v>
      </c>
      <c r="P26" s="972">
        <f>Model!P20</f>
        <v>0</v>
      </c>
      <c r="Q26" s="973">
        <f>Model!Q20</f>
        <v>0</v>
      </c>
      <c r="R26" s="973">
        <f>Model!R20</f>
        <v>0</v>
      </c>
      <c r="S26" s="973">
        <f>Model!S20</f>
        <v>0</v>
      </c>
      <c r="T26" s="973">
        <f>Model!T20</f>
        <v>0</v>
      </c>
      <c r="U26" s="972">
        <f>Model!U20</f>
        <v>0</v>
      </c>
      <c r="V26" s="973">
        <f>Model!V20</f>
        <v>0</v>
      </c>
      <c r="W26" s="973">
        <f>Model!W20</f>
        <v>0</v>
      </c>
      <c r="X26" s="973">
        <f>Model!X20</f>
        <v>0</v>
      </c>
      <c r="Y26" s="973">
        <f>Model!Y20</f>
        <v>0</v>
      </c>
      <c r="Z26" s="972">
        <f>Model!Z20</f>
        <v>106.45399999999999</v>
      </c>
      <c r="AA26" s="973">
        <f>Model!AA20</f>
        <v>29.175000000000001</v>
      </c>
      <c r="AB26" s="973">
        <f>Model!AB20</f>
        <v>27.962</v>
      </c>
      <c r="AC26" s="973">
        <f>Model!AC20</f>
        <v>28.902999999999999</v>
      </c>
      <c r="AD26" s="973">
        <f>Model!AD20</f>
        <v>27.271000000000015</v>
      </c>
      <c r="AE26" s="972">
        <f>Model!AE20</f>
        <v>113.31100000000001</v>
      </c>
      <c r="AF26" s="973">
        <f>Model!AF20</f>
        <v>26.27</v>
      </c>
      <c r="AG26" s="973">
        <f>Model!AG20</f>
        <v>23.527000000000001</v>
      </c>
      <c r="AH26" s="973">
        <f>Model!AH20</f>
        <v>24.251000000000001</v>
      </c>
      <c r="AI26" s="973">
        <f>Model!AI20</f>
        <v>24.155000000000001</v>
      </c>
      <c r="AJ26" s="972">
        <f>Model!AJ20</f>
        <v>98.203000000000003</v>
      </c>
      <c r="AK26" s="973">
        <f>Model!AK20</f>
        <v>25.681000000000001</v>
      </c>
      <c r="AL26" s="973">
        <f>Model!AL20</f>
        <v>25.219000000000001</v>
      </c>
      <c r="AM26" s="974">
        <f>Model!AM20</f>
        <v>26.83</v>
      </c>
      <c r="AN26" s="975">
        <f>Model!AN20</f>
        <v>25.362750000000002</v>
      </c>
      <c r="AO26" s="976">
        <f>Model!AO20</f>
        <v>103.09275000000001</v>
      </c>
      <c r="AP26" s="975">
        <f>Model!AP20</f>
        <v>26.965050000000002</v>
      </c>
      <c r="AQ26" s="975">
        <f>Model!AQ20</f>
        <v>26.353854999999999</v>
      </c>
      <c r="AR26" s="975">
        <f>Model!AR20</f>
        <v>27.903199999999998</v>
      </c>
      <c r="AS26" s="975">
        <f>Model!AS20</f>
        <v>26.377260000000003</v>
      </c>
      <c r="AT26" s="976">
        <f>Model!AT20</f>
        <v>107.59936500000001</v>
      </c>
      <c r="AU26" s="976">
        <f>Model!AU20</f>
        <v>111.90333960000001</v>
      </c>
      <c r="AV26" s="976">
        <f>Model!AV20</f>
        <v>116.37947318400002</v>
      </c>
      <c r="AW26" s="976">
        <f>Model!AW20</f>
        <v>121.03465211136002</v>
      </c>
      <c r="AX26" s="806"/>
    </row>
    <row r="27" spans="1:50" s="91" customFormat="1" x14ac:dyDescent="0.45">
      <c r="A27" s="754" t="str">
        <f>Model!A21</f>
        <v>Electronic Data Interchange and Data Services Revenue, mm</v>
      </c>
      <c r="B27" s="755"/>
      <c r="C27" s="972">
        <f>Model!C21</f>
        <v>0</v>
      </c>
      <c r="D27" s="972">
        <f>Model!D21</f>
        <v>0</v>
      </c>
      <c r="E27" s="972">
        <f>Model!E21</f>
        <v>0</v>
      </c>
      <c r="F27" s="972">
        <f>Model!F21</f>
        <v>0</v>
      </c>
      <c r="G27" s="973">
        <f>Model!G21</f>
        <v>0</v>
      </c>
      <c r="H27" s="973">
        <f>Model!H21</f>
        <v>0</v>
      </c>
      <c r="I27" s="973">
        <f>Model!I21</f>
        <v>0</v>
      </c>
      <c r="J27" s="973">
        <f>Model!J21</f>
        <v>0</v>
      </c>
      <c r="K27" s="972">
        <f>Model!K21</f>
        <v>0</v>
      </c>
      <c r="L27" s="973">
        <f>Model!L21</f>
        <v>0</v>
      </c>
      <c r="M27" s="973">
        <f>Model!M21</f>
        <v>0</v>
      </c>
      <c r="N27" s="973">
        <f>Model!N21</f>
        <v>0</v>
      </c>
      <c r="O27" s="973">
        <f>Model!O21</f>
        <v>0</v>
      </c>
      <c r="P27" s="972">
        <f>Model!P21</f>
        <v>0</v>
      </c>
      <c r="Q27" s="973">
        <f>Model!Q21</f>
        <v>0</v>
      </c>
      <c r="R27" s="973">
        <f>Model!R21</f>
        <v>0</v>
      </c>
      <c r="S27" s="973">
        <f>Model!S21</f>
        <v>0</v>
      </c>
      <c r="T27" s="973">
        <f>Model!T21</f>
        <v>0</v>
      </c>
      <c r="U27" s="972">
        <f>Model!U21</f>
        <v>0</v>
      </c>
      <c r="V27" s="973">
        <f>Model!V21</f>
        <v>0</v>
      </c>
      <c r="W27" s="973">
        <f>Model!W21</f>
        <v>0</v>
      </c>
      <c r="X27" s="973">
        <f>Model!X21</f>
        <v>0</v>
      </c>
      <c r="Y27" s="973">
        <f>Model!Y21</f>
        <v>0</v>
      </c>
      <c r="Z27" s="972">
        <f>Model!Z21</f>
        <v>88.950999999999993</v>
      </c>
      <c r="AA27" s="973">
        <f>Model!AA21</f>
        <v>23.312000000000001</v>
      </c>
      <c r="AB27" s="973">
        <f>Model!AB21</f>
        <v>22.998000000000001</v>
      </c>
      <c r="AC27" s="973">
        <f>Model!AC21</f>
        <v>23.135999999999999</v>
      </c>
      <c r="AD27" s="973">
        <f>Model!AD21</f>
        <v>23.326999999999998</v>
      </c>
      <c r="AE27" s="972">
        <f>Model!AE21</f>
        <v>92.772999999999996</v>
      </c>
      <c r="AF27" s="973">
        <f>Model!AF21</f>
        <v>24.161000000000001</v>
      </c>
      <c r="AG27" s="973">
        <f>Model!AG21</f>
        <v>23.940999999999999</v>
      </c>
      <c r="AH27" s="973">
        <f>Model!AH21</f>
        <v>23.446000000000002</v>
      </c>
      <c r="AI27" s="973">
        <f>Model!AI21</f>
        <v>25.870000000000005</v>
      </c>
      <c r="AJ27" s="972">
        <f>Model!AJ21</f>
        <v>97.418000000000006</v>
      </c>
      <c r="AK27" s="973">
        <f>Model!AK21</f>
        <v>23.97</v>
      </c>
      <c r="AL27" s="973">
        <f>Model!AL21</f>
        <v>24.599</v>
      </c>
      <c r="AM27" s="974">
        <f>Model!AM21</f>
        <v>24.858000000000001</v>
      </c>
      <c r="AN27" s="975">
        <f>Model!AN21</f>
        <v>26.516750000000002</v>
      </c>
      <c r="AO27" s="976">
        <f>Model!AO21</f>
        <v>99.943750000000009</v>
      </c>
      <c r="AP27" s="975">
        <f>Model!AP21</f>
        <v>24.6891</v>
      </c>
      <c r="AQ27" s="975">
        <f>Model!AQ21</f>
        <v>25.213974999999998</v>
      </c>
      <c r="AR27" s="975">
        <f>Model!AR21</f>
        <v>25.355160000000001</v>
      </c>
      <c r="AS27" s="975">
        <f>Model!AS21</f>
        <v>27.047085000000003</v>
      </c>
      <c r="AT27" s="976">
        <f>Model!AT21</f>
        <v>102.30531999999999</v>
      </c>
      <c r="AU27" s="976">
        <f>Model!AU21</f>
        <v>104.35142639999999</v>
      </c>
      <c r="AV27" s="976">
        <f>Model!AV21</f>
        <v>106.438454928</v>
      </c>
      <c r="AW27" s="976">
        <f>Model!AW21</f>
        <v>108.56722402656</v>
      </c>
      <c r="AX27" s="806"/>
    </row>
    <row r="28" spans="1:50" s="91" customFormat="1" x14ac:dyDescent="0.45">
      <c r="A28" s="757" t="str">
        <f>Model!A22</f>
        <v>Total Recurring Revenue, mm</v>
      </c>
      <c r="B28" s="758"/>
      <c r="C28" s="977">
        <f>Model!C22</f>
        <v>0</v>
      </c>
      <c r="D28" s="977">
        <f>Model!D22</f>
        <v>0</v>
      </c>
      <c r="E28" s="977">
        <f>Model!E22</f>
        <v>0</v>
      </c>
      <c r="F28" s="977">
        <f>Model!F22</f>
        <v>0</v>
      </c>
      <c r="G28" s="978">
        <f>Model!G22</f>
        <v>0</v>
      </c>
      <c r="H28" s="978">
        <f>Model!H22</f>
        <v>0</v>
      </c>
      <c r="I28" s="978">
        <f>Model!I22</f>
        <v>0</v>
      </c>
      <c r="J28" s="978">
        <f>Model!J22</f>
        <v>0</v>
      </c>
      <c r="K28" s="977">
        <f>Model!K22</f>
        <v>0</v>
      </c>
      <c r="L28" s="978">
        <f>Model!L22</f>
        <v>0</v>
      </c>
      <c r="M28" s="978">
        <f>Model!M22</f>
        <v>0</v>
      </c>
      <c r="N28" s="978">
        <f>Model!N22</f>
        <v>0</v>
      </c>
      <c r="O28" s="978">
        <f>Model!O22</f>
        <v>0</v>
      </c>
      <c r="P28" s="977">
        <f>Model!P22</f>
        <v>0</v>
      </c>
      <c r="Q28" s="978">
        <f>Model!Q22</f>
        <v>0</v>
      </c>
      <c r="R28" s="978">
        <f>Model!R22</f>
        <v>0</v>
      </c>
      <c r="S28" s="978">
        <f>Model!S22</f>
        <v>0</v>
      </c>
      <c r="T28" s="978">
        <f>Model!T22</f>
        <v>0</v>
      </c>
      <c r="U28" s="977">
        <f>Model!U22</f>
        <v>0</v>
      </c>
      <c r="V28" s="978">
        <f>Model!V22</f>
        <v>0</v>
      </c>
      <c r="W28" s="978">
        <f>Model!W22</f>
        <v>0</v>
      </c>
      <c r="X28" s="978">
        <f>Model!X22</f>
        <v>0</v>
      </c>
      <c r="Y28" s="978">
        <f>Model!Y22</f>
        <v>0</v>
      </c>
      <c r="Z28" s="977">
        <f>Model!Z22</f>
        <v>448.32499999999993</v>
      </c>
      <c r="AA28" s="978">
        <f>Model!AA22</f>
        <v>119.178</v>
      </c>
      <c r="AB28" s="978">
        <f>Model!AB22</f>
        <v>119.441</v>
      </c>
      <c r="AC28" s="978">
        <f>Model!AC22</f>
        <v>118.99699999999999</v>
      </c>
      <c r="AD28" s="978">
        <f>Model!AD22</f>
        <v>118.59800000000003</v>
      </c>
      <c r="AE28" s="977">
        <f>Model!AE22</f>
        <v>476.21400000000006</v>
      </c>
      <c r="AF28" s="978">
        <f>Model!AF22</f>
        <v>120.00699999999999</v>
      </c>
      <c r="AG28" s="978">
        <f>Model!AG22</f>
        <v>116.31700000000001</v>
      </c>
      <c r="AH28" s="978">
        <f>Model!AH22</f>
        <v>117.446</v>
      </c>
      <c r="AI28" s="978">
        <f>Model!AI22</f>
        <v>120.15100000000001</v>
      </c>
      <c r="AJ28" s="977">
        <f>Model!AJ22</f>
        <v>473.92100000000005</v>
      </c>
      <c r="AK28" s="978">
        <f>Model!AK22</f>
        <v>119.44699999999999</v>
      </c>
      <c r="AL28" s="978">
        <f>Model!AL22</f>
        <v>120.58900000000001</v>
      </c>
      <c r="AM28" s="979">
        <f>Model!AM22</f>
        <v>124.78699999999999</v>
      </c>
      <c r="AN28" s="978">
        <f>Model!AN22</f>
        <v>124.19501000000001</v>
      </c>
      <c r="AO28" s="977">
        <f>Model!AO22</f>
        <v>489.01801</v>
      </c>
      <c r="AP28" s="978">
        <f>Model!AP22</f>
        <v>124.25819</v>
      </c>
      <c r="AQ28" s="978">
        <f>Model!AQ22</f>
        <v>124.89145499999998</v>
      </c>
      <c r="AR28" s="978">
        <f>Model!AR22</f>
        <v>128.67877000000001</v>
      </c>
      <c r="AS28" s="978">
        <f>Model!AS22</f>
        <v>127.99908540000001</v>
      </c>
      <c r="AT28" s="977">
        <f>Model!AT22</f>
        <v>505.82750040000002</v>
      </c>
      <c r="AU28" s="977">
        <f>Model!AU22</f>
        <v>522.04059499800007</v>
      </c>
      <c r="AV28" s="977">
        <f>Model!AV22</f>
        <v>539.13547849290001</v>
      </c>
      <c r="AW28" s="977">
        <f>Model!AW22</f>
        <v>557.16662182522919</v>
      </c>
      <c r="AX28" s="806"/>
    </row>
    <row r="29" spans="1:50" s="91" customFormat="1" x14ac:dyDescent="0.45">
      <c r="A29" s="759" t="str">
        <f>Model!A23</f>
        <v>Software License and Hardware Revenue, mm</v>
      </c>
      <c r="B29" s="760"/>
      <c r="C29" s="972">
        <f>Model!C23</f>
        <v>0</v>
      </c>
      <c r="D29" s="972">
        <f>Model!D23</f>
        <v>0</v>
      </c>
      <c r="E29" s="972">
        <f>Model!E23</f>
        <v>0</v>
      </c>
      <c r="F29" s="972">
        <f>Model!F23</f>
        <v>0</v>
      </c>
      <c r="G29" s="973">
        <f>Model!G23</f>
        <v>0</v>
      </c>
      <c r="H29" s="973">
        <f>Model!H23</f>
        <v>0</v>
      </c>
      <c r="I29" s="973">
        <f>Model!I23</f>
        <v>0</v>
      </c>
      <c r="J29" s="973">
        <f>Model!J23</f>
        <v>0</v>
      </c>
      <c r="K29" s="972">
        <f>Model!K23</f>
        <v>0</v>
      </c>
      <c r="L29" s="973">
        <f>Model!L23</f>
        <v>0</v>
      </c>
      <c r="M29" s="973">
        <f>Model!M23</f>
        <v>0</v>
      </c>
      <c r="N29" s="973">
        <f>Model!N23</f>
        <v>0</v>
      </c>
      <c r="O29" s="973">
        <f>Model!O23</f>
        <v>0</v>
      </c>
      <c r="P29" s="972">
        <f>Model!P23</f>
        <v>0</v>
      </c>
      <c r="Q29" s="973">
        <f>Model!Q23</f>
        <v>0</v>
      </c>
      <c r="R29" s="973">
        <f>Model!R23</f>
        <v>0</v>
      </c>
      <c r="S29" s="973">
        <f>Model!S23</f>
        <v>0</v>
      </c>
      <c r="T29" s="973">
        <f>Model!T23</f>
        <v>0</v>
      </c>
      <c r="U29" s="972">
        <f>Model!U23</f>
        <v>0</v>
      </c>
      <c r="V29" s="973">
        <f>Model!V23</f>
        <v>0</v>
      </c>
      <c r="W29" s="973">
        <f>Model!W23</f>
        <v>0</v>
      </c>
      <c r="X29" s="973">
        <f>Model!X23</f>
        <v>0</v>
      </c>
      <c r="Y29" s="973">
        <f>Model!Y23</f>
        <v>0</v>
      </c>
      <c r="Z29" s="972">
        <f>Model!Z23</f>
        <v>44.145000000000003</v>
      </c>
      <c r="AA29" s="973">
        <f>Model!AA23</f>
        <v>7.42</v>
      </c>
      <c r="AB29" s="973">
        <f>Model!AB23</f>
        <v>8.8529999999999998</v>
      </c>
      <c r="AC29" s="973">
        <f>Model!AC23</f>
        <v>7.7590000000000003</v>
      </c>
      <c r="AD29" s="973">
        <f>Model!AD23</f>
        <v>9.985000000000003</v>
      </c>
      <c r="AE29" s="972">
        <f>Model!AE23</f>
        <v>34.017000000000003</v>
      </c>
      <c r="AF29" s="973">
        <f>Model!AF23</f>
        <v>7.4429999999999996</v>
      </c>
      <c r="AG29" s="973">
        <f>Model!AG23</f>
        <v>9.3529999999999998</v>
      </c>
      <c r="AH29" s="973">
        <f>Model!AH23</f>
        <v>9.2170000000000005</v>
      </c>
      <c r="AI29" s="973">
        <f>Model!AI23</f>
        <v>9.1090000000000018</v>
      </c>
      <c r="AJ29" s="972">
        <f>Model!AJ23</f>
        <v>35.122</v>
      </c>
      <c r="AK29" s="973">
        <f>Model!AK23</f>
        <v>7.0949999999999998</v>
      </c>
      <c r="AL29" s="973">
        <f>Model!AL23</f>
        <v>8.2579999999999991</v>
      </c>
      <c r="AM29" s="974">
        <f>Model!AM23</f>
        <v>7.21</v>
      </c>
      <c r="AN29" s="973">
        <f>Model!AN23</f>
        <v>8.3802800000000026</v>
      </c>
      <c r="AO29" s="972">
        <f>Model!AO23</f>
        <v>30.943280000000001</v>
      </c>
      <c r="AP29" s="973">
        <f>Model!AP23</f>
        <v>7.2014249999999986</v>
      </c>
      <c r="AQ29" s="973">
        <f>Model!AQ23</f>
        <v>8.3405799999999992</v>
      </c>
      <c r="AR29" s="973">
        <f>Model!AR23</f>
        <v>7.2460499999999994</v>
      </c>
      <c r="AS29" s="973">
        <f>Model!AS23</f>
        <v>8.4221814000000013</v>
      </c>
      <c r="AT29" s="972">
        <f>Model!AT23</f>
        <v>31.210236399999999</v>
      </c>
      <c r="AU29" s="972">
        <f>Model!AU23</f>
        <v>31.428708054799998</v>
      </c>
      <c r="AV29" s="972">
        <f>Model!AV23</f>
        <v>31.648709011183595</v>
      </c>
      <c r="AW29" s="972">
        <f>Model!AW23</f>
        <v>31.870249974261878</v>
      </c>
      <c r="AX29" s="806"/>
    </row>
    <row r="30" spans="1:50" s="91" customFormat="1" x14ac:dyDescent="0.45">
      <c r="A30" s="761" t="str">
        <f>Model!A24</f>
        <v>Other Non-recurring Services Revenue, mm</v>
      </c>
      <c r="B30" s="762"/>
      <c r="C30" s="980">
        <f>Model!C24</f>
        <v>0</v>
      </c>
      <c r="D30" s="980">
        <f>Model!D24</f>
        <v>0</v>
      </c>
      <c r="E30" s="980">
        <f>Model!E24</f>
        <v>0</v>
      </c>
      <c r="F30" s="980">
        <f>Model!F24</f>
        <v>0</v>
      </c>
      <c r="G30" s="981">
        <f>Model!G24</f>
        <v>0</v>
      </c>
      <c r="H30" s="981">
        <f>Model!H24</f>
        <v>0</v>
      </c>
      <c r="I30" s="981">
        <f>Model!I24</f>
        <v>0</v>
      </c>
      <c r="J30" s="981">
        <f>Model!J24</f>
        <v>0</v>
      </c>
      <c r="K30" s="980">
        <f>Model!K24</f>
        <v>0</v>
      </c>
      <c r="L30" s="981">
        <f>Model!L24</f>
        <v>0</v>
      </c>
      <c r="M30" s="981">
        <f>Model!M24</f>
        <v>0</v>
      </c>
      <c r="N30" s="981">
        <f>Model!N24</f>
        <v>0</v>
      </c>
      <c r="O30" s="981">
        <f>Model!O24</f>
        <v>0</v>
      </c>
      <c r="P30" s="980">
        <f>Model!P24</f>
        <v>0</v>
      </c>
      <c r="Q30" s="981">
        <f>Model!Q24</f>
        <v>0</v>
      </c>
      <c r="R30" s="981">
        <f>Model!R24</f>
        <v>0</v>
      </c>
      <c r="S30" s="981">
        <f>Model!S24</f>
        <v>0</v>
      </c>
      <c r="T30" s="981">
        <f>Model!T24</f>
        <v>0</v>
      </c>
      <c r="U30" s="980">
        <f>Model!U24</f>
        <v>0</v>
      </c>
      <c r="V30" s="981">
        <f>Model!V24</f>
        <v>0</v>
      </c>
      <c r="W30" s="981">
        <f>Model!W24</f>
        <v>0</v>
      </c>
      <c r="X30" s="981">
        <f>Model!X24</f>
        <v>0</v>
      </c>
      <c r="Y30" s="981">
        <f>Model!Y24</f>
        <v>0</v>
      </c>
      <c r="Z30" s="980">
        <f>Model!Z24</f>
        <v>17.154</v>
      </c>
      <c r="AA30" s="981">
        <f>Model!AA24</f>
        <v>4.3239999999999998</v>
      </c>
      <c r="AB30" s="981">
        <f>Model!AB24</f>
        <v>4.3129999999999997</v>
      </c>
      <c r="AC30" s="981">
        <f>Model!AC24</f>
        <v>4.9589999999999996</v>
      </c>
      <c r="AD30" s="981">
        <f>Model!AD24</f>
        <v>7.1920000000000002</v>
      </c>
      <c r="AE30" s="980">
        <f>Model!AE24</f>
        <v>20.788</v>
      </c>
      <c r="AF30" s="981">
        <f>Model!AF24</f>
        <v>5.75</v>
      </c>
      <c r="AG30" s="981">
        <f>Model!AG24</f>
        <v>4.6509999999999998</v>
      </c>
      <c r="AH30" s="981">
        <f>Model!AH24</f>
        <v>4.2039999999999997</v>
      </c>
      <c r="AI30" s="981">
        <f>Model!AI24</f>
        <v>5.5249999999999986</v>
      </c>
      <c r="AJ30" s="980">
        <f>Model!AJ24</f>
        <v>20.13</v>
      </c>
      <c r="AK30" s="981">
        <f>Model!AK24</f>
        <v>5.319</v>
      </c>
      <c r="AL30" s="981">
        <f>Model!AL24</f>
        <v>5.4089999999999998</v>
      </c>
      <c r="AM30" s="982">
        <f>Model!AM24</f>
        <v>5.7430000000000003</v>
      </c>
      <c r="AN30" s="981">
        <f>Model!AN24</f>
        <v>6.0774999999999988</v>
      </c>
      <c r="AO30" s="980">
        <f>Model!AO24</f>
        <v>22.548499999999997</v>
      </c>
      <c r="AP30" s="981">
        <f>Model!AP24</f>
        <v>5.4785700000000004</v>
      </c>
      <c r="AQ30" s="981">
        <f>Model!AQ24</f>
        <v>5.5442249999999991</v>
      </c>
      <c r="AR30" s="981">
        <f>Model!AR24</f>
        <v>5.8578600000000005</v>
      </c>
      <c r="AS30" s="981">
        <f>Model!AS24</f>
        <v>6.1382749999999993</v>
      </c>
      <c r="AT30" s="980">
        <f>Model!AT24</f>
        <v>23.018929999999997</v>
      </c>
      <c r="AU30" s="980">
        <f>Model!AU24</f>
        <v>23.364213949999996</v>
      </c>
      <c r="AV30" s="980">
        <f>Model!AV24</f>
        <v>23.714677159249995</v>
      </c>
      <c r="AW30" s="980">
        <f>Model!AW24</f>
        <v>24.070397316638743</v>
      </c>
      <c r="AX30" s="806"/>
    </row>
    <row r="31" spans="1:50" s="91" customFormat="1" x14ac:dyDescent="0.45">
      <c r="A31" s="763" t="str">
        <f>Model!A25</f>
        <v>Total Software, Hardware and Other Non-recurring Revenue, mm</v>
      </c>
      <c r="B31" s="764"/>
      <c r="C31" s="983">
        <f>Model!C25</f>
        <v>0</v>
      </c>
      <c r="D31" s="983">
        <f>Model!D25</f>
        <v>0</v>
      </c>
      <c r="E31" s="983">
        <f>Model!E25</f>
        <v>0</v>
      </c>
      <c r="F31" s="983">
        <f>Model!F25</f>
        <v>0</v>
      </c>
      <c r="G31" s="984">
        <f>Model!G25</f>
        <v>0</v>
      </c>
      <c r="H31" s="984">
        <f>Model!H25</f>
        <v>0</v>
      </c>
      <c r="I31" s="984">
        <f>Model!I25</f>
        <v>0</v>
      </c>
      <c r="J31" s="984">
        <f>Model!J25</f>
        <v>0</v>
      </c>
      <c r="K31" s="983">
        <f>Model!K25</f>
        <v>0</v>
      </c>
      <c r="L31" s="984">
        <f>Model!L25</f>
        <v>0</v>
      </c>
      <c r="M31" s="984">
        <f>Model!M25</f>
        <v>0</v>
      </c>
      <c r="N31" s="984">
        <f>Model!N25</f>
        <v>0</v>
      </c>
      <c r="O31" s="984">
        <f>Model!O25</f>
        <v>0</v>
      </c>
      <c r="P31" s="983">
        <f>Model!P25</f>
        <v>0</v>
      </c>
      <c r="Q31" s="984">
        <f>Model!Q25</f>
        <v>0</v>
      </c>
      <c r="R31" s="984">
        <f>Model!R25</f>
        <v>0</v>
      </c>
      <c r="S31" s="984">
        <f>Model!S25</f>
        <v>0</v>
      </c>
      <c r="T31" s="984">
        <f>Model!T25</f>
        <v>0</v>
      </c>
      <c r="U31" s="983">
        <f>Model!U25</f>
        <v>0</v>
      </c>
      <c r="V31" s="984">
        <f>Model!V25</f>
        <v>0</v>
      </c>
      <c r="W31" s="984">
        <f>Model!W25</f>
        <v>0</v>
      </c>
      <c r="X31" s="984">
        <f>Model!X25</f>
        <v>0</v>
      </c>
      <c r="Y31" s="984">
        <f>Model!Y25</f>
        <v>0</v>
      </c>
      <c r="Z31" s="983">
        <f>Model!Z25</f>
        <v>61.299000000000007</v>
      </c>
      <c r="AA31" s="984">
        <f>Model!AA25</f>
        <v>11.744</v>
      </c>
      <c r="AB31" s="984">
        <f>Model!AB25</f>
        <v>13.166</v>
      </c>
      <c r="AC31" s="984">
        <f>Model!AC25</f>
        <v>12.718</v>
      </c>
      <c r="AD31" s="984">
        <f>Model!AD25</f>
        <v>17.177000000000003</v>
      </c>
      <c r="AE31" s="983">
        <f>Model!AE25</f>
        <v>54.805000000000007</v>
      </c>
      <c r="AF31" s="984">
        <f>Model!AF25</f>
        <v>13.193</v>
      </c>
      <c r="AG31" s="984">
        <f>Model!AG25</f>
        <v>14.004</v>
      </c>
      <c r="AH31" s="984">
        <f>Model!AH25</f>
        <v>13.420999999999999</v>
      </c>
      <c r="AI31" s="984">
        <f>Model!AI25</f>
        <v>14.634</v>
      </c>
      <c r="AJ31" s="983">
        <f>Model!AJ25</f>
        <v>55.251999999999995</v>
      </c>
      <c r="AK31" s="984">
        <f>Model!AK25</f>
        <v>12.414</v>
      </c>
      <c r="AL31" s="984">
        <f>Model!AL25</f>
        <v>13.666999999999998</v>
      </c>
      <c r="AM31" s="985">
        <f>Model!AM25</f>
        <v>12.952999999999999</v>
      </c>
      <c r="AN31" s="984">
        <f>Model!AN25</f>
        <v>14.457780000000001</v>
      </c>
      <c r="AO31" s="983">
        <f>Model!AO25</f>
        <v>53.491779999999999</v>
      </c>
      <c r="AP31" s="984">
        <f>Model!AP25</f>
        <v>12.679994999999998</v>
      </c>
      <c r="AQ31" s="984">
        <f>Model!AQ25</f>
        <v>13.884804999999998</v>
      </c>
      <c r="AR31" s="984">
        <f>Model!AR25</f>
        <v>13.103909999999999</v>
      </c>
      <c r="AS31" s="984">
        <f>Model!AS25</f>
        <v>14.5604564</v>
      </c>
      <c r="AT31" s="983">
        <f>Model!AT25</f>
        <v>54.229166399999997</v>
      </c>
      <c r="AU31" s="983">
        <f>Model!AU25</f>
        <v>54.792922004799991</v>
      </c>
      <c r="AV31" s="983">
        <f>Model!AV25</f>
        <v>55.363386170433586</v>
      </c>
      <c r="AW31" s="983">
        <f>Model!AW25</f>
        <v>55.940647290900621</v>
      </c>
      <c r="AX31" s="806"/>
    </row>
    <row r="32" spans="1:50" s="93" customFormat="1" x14ac:dyDescent="0.45">
      <c r="A32" s="255" t="str">
        <f>Model!A26</f>
        <v>Total Revenue, mm</v>
      </c>
      <c r="B32" s="756"/>
      <c r="C32" s="986">
        <f>Model!C26</f>
        <v>0</v>
      </c>
      <c r="D32" s="986">
        <f>Model!D26</f>
        <v>0</v>
      </c>
      <c r="E32" s="986">
        <f>Model!E26</f>
        <v>0</v>
      </c>
      <c r="F32" s="986">
        <f>Model!F26</f>
        <v>0</v>
      </c>
      <c r="G32" s="987">
        <f>Model!G26</f>
        <v>0</v>
      </c>
      <c r="H32" s="987">
        <f>Model!H26</f>
        <v>0</v>
      </c>
      <c r="I32" s="987">
        <f>Model!I26</f>
        <v>0</v>
      </c>
      <c r="J32" s="987">
        <f>Model!J26</f>
        <v>0</v>
      </c>
      <c r="K32" s="986">
        <f>Model!K26</f>
        <v>0</v>
      </c>
      <c r="L32" s="987">
        <f>Model!L26</f>
        <v>0</v>
      </c>
      <c r="M32" s="987">
        <f>Model!M26</f>
        <v>0</v>
      </c>
      <c r="N32" s="987">
        <f>Model!N26</f>
        <v>0</v>
      </c>
      <c r="O32" s="987">
        <f>Model!O26</f>
        <v>0</v>
      </c>
      <c r="P32" s="986">
        <f>Model!P26</f>
        <v>0</v>
      </c>
      <c r="Q32" s="987">
        <f>Model!Q26</f>
        <v>0</v>
      </c>
      <c r="R32" s="987">
        <f>Model!R26</f>
        <v>0</v>
      </c>
      <c r="S32" s="987">
        <f>Model!S26</f>
        <v>0</v>
      </c>
      <c r="T32" s="987">
        <f>Model!T26</f>
        <v>0</v>
      </c>
      <c r="U32" s="986">
        <f>Model!U26</f>
        <v>0</v>
      </c>
      <c r="V32" s="987">
        <f>Model!V26</f>
        <v>0</v>
      </c>
      <c r="W32" s="987">
        <f>Model!W26</f>
        <v>0</v>
      </c>
      <c r="X32" s="987">
        <f>Model!X26</f>
        <v>0</v>
      </c>
      <c r="Y32" s="987">
        <f>Model!Y26</f>
        <v>0</v>
      </c>
      <c r="Z32" s="986">
        <f>Model!Z26</f>
        <v>509.62399999999991</v>
      </c>
      <c r="AA32" s="987">
        <f>Model!AA26</f>
        <v>130.922</v>
      </c>
      <c r="AB32" s="987">
        <f>Model!AB26</f>
        <v>132.607</v>
      </c>
      <c r="AC32" s="987">
        <f>Model!AC26</f>
        <v>131.71499999999997</v>
      </c>
      <c r="AD32" s="987">
        <f>Model!AD26</f>
        <v>135.77500000000003</v>
      </c>
      <c r="AE32" s="986">
        <f>Model!AE26</f>
        <v>531.01900000000001</v>
      </c>
      <c r="AF32" s="987">
        <f>Model!AF26</f>
        <v>133.19999999999999</v>
      </c>
      <c r="AG32" s="987">
        <f>Model!AG26</f>
        <v>130.321</v>
      </c>
      <c r="AH32" s="987">
        <f>Model!AH26</f>
        <v>130.86699999999999</v>
      </c>
      <c r="AI32" s="987">
        <f>Model!AI26</f>
        <v>134.78500000000003</v>
      </c>
      <c r="AJ32" s="986">
        <f>Model!AJ26</f>
        <v>529.173</v>
      </c>
      <c r="AK32" s="987">
        <f>Model!AK26</f>
        <v>131.86099999999999</v>
      </c>
      <c r="AL32" s="987">
        <f>Model!AL26</f>
        <v>134.256</v>
      </c>
      <c r="AM32" s="988">
        <f>Model!AM26</f>
        <v>137.73999999999998</v>
      </c>
      <c r="AN32" s="989">
        <f>Model!AN26</f>
        <v>138.65279000000001</v>
      </c>
      <c r="AO32" s="990">
        <f>Model!AO26</f>
        <v>542.50978999999995</v>
      </c>
      <c r="AP32" s="989">
        <f>Model!AP26</f>
        <v>136.938185</v>
      </c>
      <c r="AQ32" s="989">
        <f>Model!AQ26</f>
        <v>138.77625999999998</v>
      </c>
      <c r="AR32" s="989">
        <f>Model!AR26</f>
        <v>141.78268000000003</v>
      </c>
      <c r="AS32" s="989">
        <f>Model!AS26</f>
        <v>142.55954180000001</v>
      </c>
      <c r="AT32" s="990">
        <f>Model!AT26</f>
        <v>560.05666680000002</v>
      </c>
      <c r="AU32" s="990">
        <f>Model!AU26</f>
        <v>576.83351700280002</v>
      </c>
      <c r="AV32" s="990">
        <f>Model!AV26</f>
        <v>594.49886466333362</v>
      </c>
      <c r="AW32" s="990">
        <f>Model!AW26</f>
        <v>613.10726911612983</v>
      </c>
      <c r="AX32" s="807"/>
    </row>
    <row r="33" spans="1:50" s="94" customFormat="1" x14ac:dyDescent="0.45">
      <c r="A33" s="265"/>
      <c r="B33" s="266"/>
      <c r="C33" s="441"/>
      <c r="D33" s="441"/>
      <c r="E33" s="441"/>
      <c r="F33" s="441"/>
      <c r="G33" s="430"/>
      <c r="H33" s="430"/>
      <c r="I33" s="430"/>
      <c r="J33" s="430"/>
      <c r="K33" s="441"/>
      <c r="L33" s="430"/>
      <c r="M33" s="430"/>
      <c r="N33" s="430"/>
      <c r="O33" s="430"/>
      <c r="P33" s="441"/>
      <c r="Q33" s="430"/>
      <c r="R33" s="430"/>
      <c r="S33" s="430"/>
      <c r="T33" s="430"/>
      <c r="U33" s="441"/>
      <c r="V33" s="430"/>
      <c r="W33" s="430"/>
      <c r="X33" s="430"/>
      <c r="Y33" s="430"/>
      <c r="Z33" s="441"/>
      <c r="AA33" s="430"/>
      <c r="AB33" s="430"/>
      <c r="AC33" s="430"/>
      <c r="AD33" s="430"/>
      <c r="AE33" s="441"/>
      <c r="AF33" s="430"/>
      <c r="AG33" s="430"/>
      <c r="AH33" s="430"/>
      <c r="AI33" s="430"/>
      <c r="AJ33" s="441"/>
      <c r="AK33" s="430"/>
      <c r="AL33" s="430"/>
      <c r="AM33" s="582"/>
      <c r="AN33" s="163"/>
      <c r="AO33" s="162"/>
      <c r="AP33" s="163"/>
      <c r="AQ33" s="163"/>
      <c r="AR33" s="163"/>
      <c r="AS33" s="163"/>
      <c r="AT33" s="162"/>
      <c r="AU33" s="162"/>
      <c r="AV33" s="162"/>
      <c r="AW33" s="162"/>
      <c r="AX33" s="269"/>
    </row>
    <row r="34" spans="1:50" s="95" customFormat="1" x14ac:dyDescent="0.45">
      <c r="A34" s="273" t="str">
        <f>Model!A28</f>
        <v>Recurring Revenue as % of Total Revenue, %</v>
      </c>
      <c r="B34" s="274"/>
      <c r="C34" s="444">
        <f>Model!C28</f>
        <v>0.6006216352365058</v>
      </c>
      <c r="D34" s="444">
        <f>Model!D28</f>
        <v>0.60595195309073102</v>
      </c>
      <c r="E34" s="444">
        <f>Model!E28</f>
        <v>0.60500889876347885</v>
      </c>
      <c r="F34" s="444">
        <f>Model!F28</f>
        <v>0.67511391068359461</v>
      </c>
      <c r="G34" s="434">
        <f>Model!G28</f>
        <v>0.71113586356124869</v>
      </c>
      <c r="H34" s="434">
        <f>Model!H28</f>
        <v>0.72140149980644752</v>
      </c>
      <c r="I34" s="434">
        <f>Model!I28</f>
        <v>0.71310195307476065</v>
      </c>
      <c r="J34" s="434">
        <f>Model!J28</f>
        <v>0.69990364834249108</v>
      </c>
      <c r="K34" s="444">
        <f>Model!K28</f>
        <v>0.71127158075593644</v>
      </c>
      <c r="L34" s="434">
        <f>Model!L28</f>
        <v>0.72549917722700041</v>
      </c>
      <c r="M34" s="434">
        <f>Model!M28</f>
        <v>0.73150291655257682</v>
      </c>
      <c r="N34" s="434">
        <f>Model!N28</f>
        <v>0.7644542390458906</v>
      </c>
      <c r="O34" s="434">
        <f>Model!O28</f>
        <v>0.75055301118484585</v>
      </c>
      <c r="P34" s="444">
        <f>Model!P28</f>
        <v>0.74334438268142189</v>
      </c>
      <c r="Q34" s="434">
        <f>Model!Q28</f>
        <v>0.78902950132608607</v>
      </c>
      <c r="R34" s="434">
        <f>Model!R28</f>
        <v>0.76563584299148923</v>
      </c>
      <c r="S34" s="434">
        <f>Model!S28</f>
        <v>0.79859354706405072</v>
      </c>
      <c r="T34" s="434">
        <f>Model!T28</f>
        <v>0.78267089874288565</v>
      </c>
      <c r="U34" s="444">
        <f>Model!U28</f>
        <v>0.78369548222556595</v>
      </c>
      <c r="V34" s="434">
        <f>Model!V28</f>
        <v>0.82696289022544089</v>
      </c>
      <c r="W34" s="434">
        <f>Model!W28</f>
        <v>0.81006715631536741</v>
      </c>
      <c r="X34" s="434">
        <f>Model!X28</f>
        <v>0.81574748959864862</v>
      </c>
      <c r="Y34" s="434">
        <f>Model!Y28</f>
        <v>0.82317483098538358</v>
      </c>
      <c r="Z34" s="444">
        <f>Model!Z28</f>
        <v>0.87971720327143155</v>
      </c>
      <c r="AA34" s="434">
        <f>Model!AA28</f>
        <v>0.91029773452895613</v>
      </c>
      <c r="AB34" s="434">
        <f>Model!AB28</f>
        <v>0.90071414027917085</v>
      </c>
      <c r="AC34" s="434">
        <f>Model!AC28</f>
        <v>0.90344303989674679</v>
      </c>
      <c r="AD34" s="434">
        <f>Model!AD28</f>
        <v>0.87348922850303812</v>
      </c>
      <c r="AE34" s="444">
        <f>Model!AE28</f>
        <v>0.89679277012686942</v>
      </c>
      <c r="AF34" s="434">
        <f>Model!AF28</f>
        <v>0.90095345345345346</v>
      </c>
      <c r="AG34" s="434">
        <f>Model!AG28</f>
        <v>0.892542261032374</v>
      </c>
      <c r="AH34" s="434">
        <f>Model!AH28</f>
        <v>0.89744549810112562</v>
      </c>
      <c r="AI34" s="434">
        <f>Model!AI28</f>
        <v>0.89142708758392986</v>
      </c>
      <c r="AJ34" s="444">
        <f>Model!AJ28</f>
        <v>0.89558802130872139</v>
      </c>
      <c r="AK34" s="434">
        <f>Model!AK28</f>
        <v>0.90585540834666811</v>
      </c>
      <c r="AL34" s="434">
        <f>Model!AL28</f>
        <v>0.89820194255750219</v>
      </c>
      <c r="AM34" s="588">
        <f>Model!AM28</f>
        <v>0.9059605052998404</v>
      </c>
      <c r="AN34" s="171">
        <f>Model!AN28</f>
        <v>0.89572672861469282</v>
      </c>
      <c r="AO34" s="170">
        <f>Model!AO28</f>
        <v>0.9013994199072427</v>
      </c>
      <c r="AP34" s="171">
        <f>Model!AP28</f>
        <v>0.90740351202989866</v>
      </c>
      <c r="AQ34" s="171">
        <f>Model!AQ28</f>
        <v>0.89994826925008642</v>
      </c>
      <c r="AR34" s="171">
        <f>Model!AR28</f>
        <v>0.9075774981824295</v>
      </c>
      <c r="AS34" s="171">
        <f>Model!AS28</f>
        <v>0.89786403480149235</v>
      </c>
      <c r="AT34" s="170">
        <f>Model!AT28</f>
        <v>0.90317200095152939</v>
      </c>
      <c r="AU34" s="170">
        <f>Model!AU28</f>
        <v>0.90501085601006437</v>
      </c>
      <c r="AV34" s="170">
        <f>Model!AV28</f>
        <v>0.90687385719098712</v>
      </c>
      <c r="AW34" s="170">
        <f>Model!AW28</f>
        <v>0.9087587929408405</v>
      </c>
      <c r="AX34" s="293"/>
    </row>
    <row r="35" spans="1:50" s="94" customFormat="1" x14ac:dyDescent="0.45">
      <c r="A35" s="265"/>
      <c r="B35" s="266"/>
      <c r="C35" s="441"/>
      <c r="D35" s="441"/>
      <c r="E35" s="441"/>
      <c r="F35" s="441"/>
      <c r="G35" s="430"/>
      <c r="H35" s="430"/>
      <c r="I35" s="430"/>
      <c r="J35" s="430"/>
      <c r="K35" s="441"/>
      <c r="L35" s="430"/>
      <c r="M35" s="430"/>
      <c r="N35" s="430"/>
      <c r="O35" s="430"/>
      <c r="P35" s="441"/>
      <c r="Q35" s="430"/>
      <c r="R35" s="430"/>
      <c r="S35" s="430"/>
      <c r="T35" s="430"/>
      <c r="U35" s="441"/>
      <c r="V35" s="430"/>
      <c r="W35" s="430"/>
      <c r="X35" s="430"/>
      <c r="Y35" s="430"/>
      <c r="Z35" s="441"/>
      <c r="AA35" s="430"/>
      <c r="AB35" s="430"/>
      <c r="AC35" s="430"/>
      <c r="AD35" s="430"/>
      <c r="AE35" s="441"/>
      <c r="AF35" s="430"/>
      <c r="AG35" s="430"/>
      <c r="AH35" s="430"/>
      <c r="AI35" s="430"/>
      <c r="AJ35" s="441"/>
      <c r="AK35" s="430"/>
      <c r="AL35" s="430"/>
      <c r="AM35" s="582"/>
      <c r="AN35" s="163"/>
      <c r="AO35" s="162"/>
      <c r="AP35" s="163"/>
      <c r="AQ35" s="163"/>
      <c r="AR35" s="163"/>
      <c r="AS35" s="163"/>
      <c r="AT35" s="162"/>
      <c r="AU35" s="162"/>
      <c r="AV35" s="162"/>
      <c r="AW35" s="162"/>
      <c r="AX35" s="269"/>
    </row>
    <row r="36" spans="1:50" s="94" customFormat="1" x14ac:dyDescent="0.45">
      <c r="A36" s="265" t="str">
        <f>Model!A36</f>
        <v>Cost of Revenue Margin - Recurring Revenue, %</v>
      </c>
      <c r="B36" s="266"/>
      <c r="C36" s="441">
        <f>Model!C36</f>
        <v>0</v>
      </c>
      <c r="D36" s="441">
        <f>Model!D36</f>
        <v>0</v>
      </c>
      <c r="E36" s="441">
        <f>Model!E36</f>
        <v>0</v>
      </c>
      <c r="F36" s="441">
        <f>Model!F36</f>
        <v>0</v>
      </c>
      <c r="G36" s="430">
        <f>Model!G36</f>
        <v>0</v>
      </c>
      <c r="H36" s="430">
        <f>Model!H36</f>
        <v>0</v>
      </c>
      <c r="I36" s="430">
        <f>Model!I36</f>
        <v>0</v>
      </c>
      <c r="J36" s="430">
        <f>Model!J36</f>
        <v>0</v>
      </c>
      <c r="K36" s="441">
        <f>Model!K36</f>
        <v>0</v>
      </c>
      <c r="L36" s="430">
        <f>Model!L36</f>
        <v>0</v>
      </c>
      <c r="M36" s="430">
        <f>Model!M36</f>
        <v>0</v>
      </c>
      <c r="N36" s="430">
        <f>Model!N36</f>
        <v>0</v>
      </c>
      <c r="O36" s="430">
        <f>Model!O36</f>
        <v>0</v>
      </c>
      <c r="P36" s="441">
        <f>Model!P36</f>
        <v>0</v>
      </c>
      <c r="Q36" s="430">
        <f>Model!Q36</f>
        <v>0</v>
      </c>
      <c r="R36" s="430">
        <f>Model!R36</f>
        <v>0</v>
      </c>
      <c r="S36" s="430">
        <f>Model!S36</f>
        <v>0</v>
      </c>
      <c r="T36" s="430">
        <f>Model!T36</f>
        <v>0</v>
      </c>
      <c r="U36" s="441">
        <f>Model!U36</f>
        <v>0</v>
      </c>
      <c r="V36" s="430">
        <f>Model!V36</f>
        <v>0</v>
      </c>
      <c r="W36" s="430">
        <f>Model!W36</f>
        <v>0</v>
      </c>
      <c r="X36" s="430">
        <f>Model!X36</f>
        <v>0</v>
      </c>
      <c r="Y36" s="430">
        <f>Model!Y36</f>
        <v>0</v>
      </c>
      <c r="Z36" s="441">
        <f>Model!Z36</f>
        <v>0.39981040539786994</v>
      </c>
      <c r="AA36" s="430">
        <f>Model!AA36</f>
        <v>0.40660188961049859</v>
      </c>
      <c r="AB36" s="430">
        <f>Model!AB36</f>
        <v>0.39935198131294947</v>
      </c>
      <c r="AC36" s="430">
        <f>Model!AC36</f>
        <v>0.41469112666705887</v>
      </c>
      <c r="AD36" s="430">
        <f>Model!AD36</f>
        <v>0.41194623855376977</v>
      </c>
      <c r="AE36" s="441">
        <f>Model!AE36</f>
        <v>0.40813583808959836</v>
      </c>
      <c r="AF36" s="430">
        <f>Model!AF36</f>
        <v>0.40125159365703672</v>
      </c>
      <c r="AG36" s="430">
        <f>Model!AG36</f>
        <v>0.40554691059776293</v>
      </c>
      <c r="AH36" s="430">
        <f>Model!AH36</f>
        <v>0.40867292202373856</v>
      </c>
      <c r="AI36" s="430">
        <f>Model!AI36</f>
        <v>0.40094547694151522</v>
      </c>
      <c r="AJ36" s="441">
        <f>Model!AJ36</f>
        <v>0.40406734455742621</v>
      </c>
      <c r="AK36" s="430">
        <f>Model!AK36</f>
        <v>0.42311652866961919</v>
      </c>
      <c r="AL36" s="430">
        <f>Model!AL36</f>
        <v>0.41735149972219687</v>
      </c>
      <c r="AM36" s="582">
        <f>Model!AM36</f>
        <v>0.41828876405394799</v>
      </c>
      <c r="AN36" s="163">
        <f>Model!AN36</f>
        <v>0.42</v>
      </c>
      <c r="AO36" s="162">
        <f>Model!AO36</f>
        <v>0.41967146404280692</v>
      </c>
      <c r="AP36" s="163">
        <f>Model!AP36</f>
        <v>0.42099999999999999</v>
      </c>
      <c r="AQ36" s="163">
        <f>Model!AQ36</f>
        <v>0.42</v>
      </c>
      <c r="AR36" s="163">
        <f>Model!AR36</f>
        <v>0.41899999999999998</v>
      </c>
      <c r="AS36" s="163">
        <f>Model!AS36</f>
        <v>0.41599999999999998</v>
      </c>
      <c r="AT36" s="162">
        <f>Model!AT36</f>
        <v>0.41897906515325556</v>
      </c>
      <c r="AU36" s="162">
        <f>Model!AU36</f>
        <v>0.42099999999999999</v>
      </c>
      <c r="AV36" s="162">
        <f>Model!AV36</f>
        <v>0.42099999999999999</v>
      </c>
      <c r="AW36" s="162">
        <f>Model!AW36</f>
        <v>0.42099999999999999</v>
      </c>
      <c r="AX36" s="269"/>
    </row>
    <row r="37" spans="1:50" s="94" customFormat="1" x14ac:dyDescent="0.45">
      <c r="A37" s="265" t="str">
        <f>Model!A37</f>
        <v>Cost of Revenue Margin - Software, Hardware and other Non-recurring Revenue, %</v>
      </c>
      <c r="B37" s="266"/>
      <c r="C37" s="441">
        <f>Model!C37</f>
        <v>0</v>
      </c>
      <c r="D37" s="441">
        <f>Model!D37</f>
        <v>0</v>
      </c>
      <c r="E37" s="441">
        <f>Model!E37</f>
        <v>0</v>
      </c>
      <c r="F37" s="441">
        <f>Model!F37</f>
        <v>0</v>
      </c>
      <c r="G37" s="430">
        <f>Model!G37</f>
        <v>0</v>
      </c>
      <c r="H37" s="430">
        <f>Model!H37</f>
        <v>0</v>
      </c>
      <c r="I37" s="430">
        <f>Model!I37</f>
        <v>0</v>
      </c>
      <c r="J37" s="430">
        <f>Model!J37</f>
        <v>0</v>
      </c>
      <c r="K37" s="441">
        <f>Model!K37</f>
        <v>0</v>
      </c>
      <c r="L37" s="430">
        <f>Model!L37</f>
        <v>0</v>
      </c>
      <c r="M37" s="430">
        <f>Model!M37</f>
        <v>0</v>
      </c>
      <c r="N37" s="430">
        <f>Model!N37</f>
        <v>0</v>
      </c>
      <c r="O37" s="430">
        <f>Model!O37</f>
        <v>0</v>
      </c>
      <c r="P37" s="441">
        <f>Model!P37</f>
        <v>0</v>
      </c>
      <c r="Q37" s="430">
        <f>Model!Q37</f>
        <v>0</v>
      </c>
      <c r="R37" s="430">
        <f>Model!R37</f>
        <v>0</v>
      </c>
      <c r="S37" s="430">
        <f>Model!S37</f>
        <v>0</v>
      </c>
      <c r="T37" s="430">
        <f>Model!T37</f>
        <v>0</v>
      </c>
      <c r="U37" s="441">
        <f>Model!U37</f>
        <v>0</v>
      </c>
      <c r="V37" s="430">
        <f>Model!V37</f>
        <v>0</v>
      </c>
      <c r="W37" s="430">
        <f>Model!W37</f>
        <v>0</v>
      </c>
      <c r="X37" s="430">
        <f>Model!X37</f>
        <v>0</v>
      </c>
      <c r="Y37" s="430">
        <f>Model!Y37</f>
        <v>0</v>
      </c>
      <c r="Z37" s="441">
        <f>Model!Z37</f>
        <v>0.42592864483923065</v>
      </c>
      <c r="AA37" s="430">
        <f>Model!AA37</f>
        <v>0.51430517711171664</v>
      </c>
      <c r="AB37" s="430">
        <f>Model!AB37</f>
        <v>0.45169375664590611</v>
      </c>
      <c r="AC37" s="430">
        <f>Model!AC37</f>
        <v>0.49716936625255548</v>
      </c>
      <c r="AD37" s="430">
        <f>Model!AD37</f>
        <v>0.39442277464050762</v>
      </c>
      <c r="AE37" s="441">
        <f>Model!AE37</f>
        <v>0.45771371225253166</v>
      </c>
      <c r="AF37" s="430">
        <f>Model!AF37</f>
        <v>0.54225725763662547</v>
      </c>
      <c r="AG37" s="430">
        <f>Model!AG37</f>
        <v>0.50142816338189089</v>
      </c>
      <c r="AH37" s="430">
        <f>Model!AH37</f>
        <v>0.48997839207212579</v>
      </c>
      <c r="AI37" s="430">
        <f>Model!AI37</f>
        <v>0.40720240535738689</v>
      </c>
      <c r="AJ37" s="441">
        <f>Model!AJ37</f>
        <v>0.48343951350177372</v>
      </c>
      <c r="AK37" s="430">
        <f>Model!AK37</f>
        <v>0.50571934912195904</v>
      </c>
      <c r="AL37" s="430">
        <f>Model!AL37</f>
        <v>0.4802077998097608</v>
      </c>
      <c r="AM37" s="582">
        <f>Model!AM37</f>
        <v>0.53848529298232073</v>
      </c>
      <c r="AN37" s="163">
        <f>Model!AN37</f>
        <v>0.50800000000000001</v>
      </c>
      <c r="AO37" s="162">
        <f>Model!AO37</f>
        <v>0.50775188711237507</v>
      </c>
      <c r="AP37" s="163">
        <f>Model!AP37</f>
        <v>0.50900000000000001</v>
      </c>
      <c r="AQ37" s="163">
        <f>Model!AQ37</f>
        <v>0.50800000000000001</v>
      </c>
      <c r="AR37" s="163">
        <f>Model!AR37</f>
        <v>0.50700000000000001</v>
      </c>
      <c r="AS37" s="163">
        <f>Model!AS37</f>
        <v>0.504</v>
      </c>
      <c r="AT37" s="162">
        <f>Model!AT37</f>
        <v>0.50691818841235226</v>
      </c>
      <c r="AU37" s="162">
        <f>Model!AU37</f>
        <v>0.50900000000000001</v>
      </c>
      <c r="AV37" s="162">
        <f>Model!AV37</f>
        <v>0.50900000000000001</v>
      </c>
      <c r="AW37" s="162">
        <f>Model!AW37</f>
        <v>0.50900000000000001</v>
      </c>
      <c r="AX37" s="269"/>
    </row>
    <row r="38" spans="1:50" s="94" customFormat="1" x14ac:dyDescent="0.45">
      <c r="A38" s="265"/>
      <c r="B38" s="266"/>
      <c r="C38" s="441"/>
      <c r="D38" s="441"/>
      <c r="E38" s="441"/>
      <c r="F38" s="441"/>
      <c r="G38" s="430"/>
      <c r="H38" s="430"/>
      <c r="I38" s="430"/>
      <c r="J38" s="430"/>
      <c r="K38" s="441"/>
      <c r="L38" s="430"/>
      <c r="M38" s="430"/>
      <c r="N38" s="430"/>
      <c r="O38" s="430"/>
      <c r="P38" s="441"/>
      <c r="Q38" s="430"/>
      <c r="R38" s="430"/>
      <c r="S38" s="430"/>
      <c r="T38" s="430"/>
      <c r="U38" s="441"/>
      <c r="V38" s="430"/>
      <c r="W38" s="430"/>
      <c r="X38" s="430"/>
      <c r="Y38" s="430"/>
      <c r="Z38" s="441"/>
      <c r="AA38" s="430"/>
      <c r="AB38" s="430"/>
      <c r="AC38" s="430"/>
      <c r="AD38" s="430"/>
      <c r="AE38" s="441"/>
      <c r="AF38" s="430"/>
      <c r="AG38" s="430"/>
      <c r="AH38" s="430"/>
      <c r="AI38" s="430"/>
      <c r="AJ38" s="441"/>
      <c r="AK38" s="430"/>
      <c r="AL38" s="430"/>
      <c r="AM38" s="582"/>
      <c r="AN38" s="163"/>
      <c r="AO38" s="162"/>
      <c r="AP38" s="163"/>
      <c r="AQ38" s="163"/>
      <c r="AR38" s="163"/>
      <c r="AS38" s="163"/>
      <c r="AT38" s="162"/>
      <c r="AU38" s="162"/>
      <c r="AV38" s="162"/>
      <c r="AW38" s="162"/>
      <c r="AX38" s="269"/>
    </row>
    <row r="39" spans="1:50" x14ac:dyDescent="0.45">
      <c r="A39" s="155" t="s">
        <v>277</v>
      </c>
      <c r="B39" s="808"/>
      <c r="C39" s="969"/>
      <c r="D39" s="969"/>
      <c r="E39" s="969"/>
      <c r="F39" s="969"/>
      <c r="G39" s="969"/>
      <c r="H39" s="969"/>
      <c r="I39" s="969"/>
      <c r="J39" s="969"/>
      <c r="K39" s="969"/>
      <c r="L39" s="969"/>
      <c r="M39" s="969"/>
      <c r="N39" s="969"/>
      <c r="O39" s="969"/>
      <c r="P39" s="969"/>
      <c r="Q39" s="969"/>
      <c r="R39" s="969"/>
      <c r="S39" s="969"/>
      <c r="T39" s="969"/>
      <c r="U39" s="969"/>
      <c r="V39" s="969"/>
      <c r="W39" s="969"/>
      <c r="X39" s="969"/>
      <c r="Y39" s="969"/>
      <c r="Z39" s="969"/>
      <c r="AA39" s="969"/>
      <c r="AB39" s="969"/>
      <c r="AC39" s="969"/>
      <c r="AD39" s="969"/>
      <c r="AE39" s="969"/>
      <c r="AF39" s="969"/>
      <c r="AG39" s="969"/>
      <c r="AH39" s="969"/>
      <c r="AI39" s="969"/>
      <c r="AJ39" s="969"/>
      <c r="AK39" s="969"/>
      <c r="AL39" s="969"/>
      <c r="AM39" s="970"/>
      <c r="AN39" s="971"/>
      <c r="AO39" s="971"/>
      <c r="AP39" s="971"/>
      <c r="AQ39" s="971"/>
      <c r="AR39" s="971"/>
      <c r="AS39" s="971"/>
      <c r="AT39" s="971"/>
      <c r="AU39" s="971"/>
      <c r="AV39" s="971"/>
      <c r="AW39" s="971"/>
      <c r="AX39" s="807"/>
    </row>
    <row r="40" spans="1:50" s="93" customFormat="1" x14ac:dyDescent="0.45">
      <c r="A40" s="255" t="str">
        <f>INDEX(MO_RIS_REV,0,COLUMN())</f>
        <v>Net Revenue</v>
      </c>
      <c r="B40" s="260"/>
      <c r="C40" s="964">
        <f t="shared" ref="C40:AW40" si="10">INDEX(MO_RIS_REV,0,COLUMN())</f>
        <v>291.81100000000004</v>
      </c>
      <c r="D40" s="964">
        <f t="shared" si="10"/>
        <v>353.363</v>
      </c>
      <c r="E40" s="964">
        <f t="shared" si="10"/>
        <v>429.83500000000004</v>
      </c>
      <c r="F40" s="964">
        <f t="shared" si="10"/>
        <v>460.22899999999993</v>
      </c>
      <c r="G40" s="965">
        <f t="shared" si="10"/>
        <v>109.529</v>
      </c>
      <c r="H40" s="965">
        <f t="shared" si="10"/>
        <v>111.081</v>
      </c>
      <c r="I40" s="965">
        <f t="shared" si="10"/>
        <v>108.854</v>
      </c>
      <c r="J40" s="965">
        <f t="shared" si="10"/>
        <v>115.203</v>
      </c>
      <c r="K40" s="964">
        <f t="shared" si="10"/>
        <v>444.66700000000003</v>
      </c>
      <c r="L40" s="965">
        <f t="shared" si="10"/>
        <v>117.89400000000001</v>
      </c>
      <c r="M40" s="965">
        <f t="shared" si="10"/>
        <v>120.51899999999999</v>
      </c>
      <c r="N40" s="965">
        <f t="shared" si="10"/>
        <v>123.42400000000001</v>
      </c>
      <c r="O40" s="965">
        <f t="shared" si="10"/>
        <v>128.38800000000001</v>
      </c>
      <c r="P40" s="964">
        <f t="shared" si="10"/>
        <v>490.22499999999997</v>
      </c>
      <c r="Q40" s="965">
        <f t="shared" si="10"/>
        <v>122.16400000000002</v>
      </c>
      <c r="R40" s="965">
        <f t="shared" si="10"/>
        <v>125.369</v>
      </c>
      <c r="S40" s="965">
        <f t="shared" si="10"/>
        <v>117.03200000000001</v>
      </c>
      <c r="T40" s="965">
        <f t="shared" si="10"/>
        <v>127.91200000000001</v>
      </c>
      <c r="U40" s="964">
        <f t="shared" si="10"/>
        <v>492.47699999999998</v>
      </c>
      <c r="V40" s="965">
        <f t="shared" si="10"/>
        <v>122.205</v>
      </c>
      <c r="W40" s="965">
        <f t="shared" si="10"/>
        <v>127.166</v>
      </c>
      <c r="X40" s="965">
        <f t="shared" si="10"/>
        <v>127.86799999999999</v>
      </c>
      <c r="Y40" s="965">
        <f t="shared" si="10"/>
        <v>132.38499999999999</v>
      </c>
      <c r="Z40" s="964">
        <f t="shared" si="10"/>
        <v>509.62400000000002</v>
      </c>
      <c r="AA40" s="965">
        <f t="shared" si="10"/>
        <v>130.922</v>
      </c>
      <c r="AB40" s="965">
        <f t="shared" si="10"/>
        <v>132.607</v>
      </c>
      <c r="AC40" s="965">
        <f t="shared" si="10"/>
        <v>131.715</v>
      </c>
      <c r="AD40" s="965">
        <f t="shared" si="10"/>
        <v>135.77500000000001</v>
      </c>
      <c r="AE40" s="964">
        <f t="shared" si="10"/>
        <v>531.01900000000001</v>
      </c>
      <c r="AF40" s="965">
        <f t="shared" si="10"/>
        <v>133.20000000000002</v>
      </c>
      <c r="AG40" s="965">
        <f t="shared" si="10"/>
        <v>130.321</v>
      </c>
      <c r="AH40" s="965">
        <f t="shared" si="10"/>
        <v>130.86699999999999</v>
      </c>
      <c r="AI40" s="965">
        <f t="shared" si="10"/>
        <v>134.785</v>
      </c>
      <c r="AJ40" s="964">
        <f t="shared" si="10"/>
        <v>529.173</v>
      </c>
      <c r="AK40" s="965">
        <f t="shared" si="10"/>
        <v>131.86099999999999</v>
      </c>
      <c r="AL40" s="965">
        <f t="shared" si="10"/>
        <v>134.256</v>
      </c>
      <c r="AM40" s="966">
        <f t="shared" si="10"/>
        <v>137.74</v>
      </c>
      <c r="AN40" s="967">
        <f t="shared" si="10"/>
        <v>138.65279000000001</v>
      </c>
      <c r="AO40" s="968">
        <f t="shared" si="10"/>
        <v>542.50978999999995</v>
      </c>
      <c r="AP40" s="967">
        <f t="shared" si="10"/>
        <v>136.938185</v>
      </c>
      <c r="AQ40" s="967">
        <f t="shared" si="10"/>
        <v>138.77625999999998</v>
      </c>
      <c r="AR40" s="967">
        <f t="shared" si="10"/>
        <v>141.78268000000003</v>
      </c>
      <c r="AS40" s="967">
        <f t="shared" si="10"/>
        <v>142.55954180000001</v>
      </c>
      <c r="AT40" s="968">
        <f t="shared" si="10"/>
        <v>560.05666680000002</v>
      </c>
      <c r="AU40" s="968">
        <f t="shared" si="10"/>
        <v>576.83351700280002</v>
      </c>
      <c r="AV40" s="968">
        <f t="shared" si="10"/>
        <v>594.49886466333362</v>
      </c>
      <c r="AW40" s="968">
        <f t="shared" si="10"/>
        <v>613.10726911612983</v>
      </c>
      <c r="AX40" s="807"/>
    </row>
    <row r="41" spans="1:50" s="91" customFormat="1" x14ac:dyDescent="0.45">
      <c r="A41" s="256" t="str">
        <f>INDEX(MO_RIS_COGS,0,COLUMN())</f>
        <v>COGS (adj. for SBC and Amortization Expense)</v>
      </c>
      <c r="B41" s="257"/>
      <c r="C41" s="959">
        <f t="shared" ref="C41:AW41" si="11">INDEX(MO_RIS_COGS,0,COLUMN())</f>
        <v>104.79500000000002</v>
      </c>
      <c r="D41" s="959">
        <f t="shared" si="11"/>
        <v>118.54599999999998</v>
      </c>
      <c r="E41" s="959">
        <f t="shared" si="11"/>
        <v>140.40500000000003</v>
      </c>
      <c r="F41" s="959">
        <f t="shared" si="11"/>
        <v>177.083</v>
      </c>
      <c r="G41" s="960">
        <f t="shared" si="11"/>
        <v>44.647000000000006</v>
      </c>
      <c r="H41" s="960">
        <f t="shared" si="11"/>
        <v>44.033000000000001</v>
      </c>
      <c r="I41" s="960">
        <f t="shared" si="11"/>
        <v>65.856000000000009</v>
      </c>
      <c r="J41" s="960">
        <f t="shared" si="11"/>
        <v>49.415999999999997</v>
      </c>
      <c r="K41" s="959">
        <f t="shared" si="11"/>
        <v>203.952</v>
      </c>
      <c r="L41" s="960">
        <f t="shared" si="11"/>
        <v>51.643999999999998</v>
      </c>
      <c r="M41" s="960">
        <f t="shared" si="11"/>
        <v>52.307000000000002</v>
      </c>
      <c r="N41" s="960">
        <f t="shared" si="11"/>
        <v>50.323</v>
      </c>
      <c r="O41" s="960">
        <f t="shared" si="11"/>
        <v>52.266000000000005</v>
      </c>
      <c r="P41" s="959">
        <f t="shared" si="11"/>
        <v>206.54</v>
      </c>
      <c r="Q41" s="960">
        <f t="shared" si="11"/>
        <v>52.537999999999997</v>
      </c>
      <c r="R41" s="960">
        <f t="shared" si="11"/>
        <v>53.102000000000004</v>
      </c>
      <c r="S41" s="960">
        <f t="shared" si="11"/>
        <v>50.281999999999996</v>
      </c>
      <c r="T41" s="960">
        <f t="shared" si="11"/>
        <v>53.751999999999995</v>
      </c>
      <c r="U41" s="959">
        <f t="shared" si="11"/>
        <v>209.67400000000001</v>
      </c>
      <c r="V41" s="960">
        <f t="shared" si="11"/>
        <v>51.268000000000001</v>
      </c>
      <c r="W41" s="960">
        <f t="shared" si="11"/>
        <v>50.353000000000002</v>
      </c>
      <c r="X41" s="960">
        <f t="shared" si="11"/>
        <v>49.393999999999998</v>
      </c>
      <c r="Y41" s="960">
        <f t="shared" si="11"/>
        <v>51.686</v>
      </c>
      <c r="Z41" s="959">
        <f t="shared" si="11"/>
        <v>202.70099999999996</v>
      </c>
      <c r="AA41" s="960">
        <f t="shared" si="11"/>
        <v>54.36</v>
      </c>
      <c r="AB41" s="960">
        <f t="shared" si="11"/>
        <v>53.358000000000004</v>
      </c>
      <c r="AC41" s="960">
        <f t="shared" si="11"/>
        <v>55.41</v>
      </c>
      <c r="AD41" s="960">
        <f t="shared" si="11"/>
        <v>55.38</v>
      </c>
      <c r="AE41" s="959">
        <f t="shared" si="11"/>
        <v>218.50800000000004</v>
      </c>
      <c r="AF41" s="960">
        <f t="shared" si="11"/>
        <v>55.073999999999998</v>
      </c>
      <c r="AG41" s="960">
        <f t="shared" si="11"/>
        <v>53.846999999999994</v>
      </c>
      <c r="AH41" s="960">
        <f t="shared" si="11"/>
        <v>54.213999999999999</v>
      </c>
      <c r="AI41" s="960">
        <f t="shared" si="11"/>
        <v>53.819999999999993</v>
      </c>
      <c r="AJ41" s="959">
        <f t="shared" si="11"/>
        <v>216.95499999999998</v>
      </c>
      <c r="AK41" s="960">
        <f t="shared" si="11"/>
        <v>56.355000000000004</v>
      </c>
      <c r="AL41" s="960">
        <f t="shared" si="11"/>
        <v>56.355000000000004</v>
      </c>
      <c r="AM41" s="961">
        <f t="shared" si="11"/>
        <v>58.640999999999998</v>
      </c>
      <c r="AN41" s="962">
        <f t="shared" si="11"/>
        <v>59.006456439999994</v>
      </c>
      <c r="AO41" s="963">
        <f t="shared" si="11"/>
        <v>230.35745643999999</v>
      </c>
      <c r="AP41" s="962">
        <f t="shared" si="11"/>
        <v>58.266815444999992</v>
      </c>
      <c r="AQ41" s="962">
        <f t="shared" si="11"/>
        <v>59.007892039999987</v>
      </c>
      <c r="AR41" s="962">
        <f t="shared" si="11"/>
        <v>60.060086999999996</v>
      </c>
      <c r="AS41" s="962">
        <f t="shared" si="11"/>
        <v>60.086089552000004</v>
      </c>
      <c r="AT41" s="963">
        <f t="shared" si="11"/>
        <v>237.42088403699998</v>
      </c>
      <c r="AU41" s="963">
        <f t="shared" si="11"/>
        <v>245.66868779460123</v>
      </c>
      <c r="AV41" s="963">
        <f t="shared" si="11"/>
        <v>253.15600000626159</v>
      </c>
      <c r="AW41" s="963">
        <f t="shared" si="11"/>
        <v>261.04093725948991</v>
      </c>
      <c r="AX41" s="806"/>
    </row>
    <row r="42" spans="1:50" s="91" customFormat="1" x14ac:dyDescent="0.45">
      <c r="A42" s="256" t="str">
        <f>INDEX(MO_RIS_SGA,0,COLUMN())</f>
        <v>SG&amp;A (adj for SBC and Depreciation Expense)</v>
      </c>
      <c r="B42" s="257"/>
      <c r="C42" s="959">
        <f t="shared" ref="C42:AW42" si="12">INDEX(MO_RIS_SGA,0,COLUMN())</f>
        <v>81.408000000000001</v>
      </c>
      <c r="D42" s="959">
        <f t="shared" si="12"/>
        <v>100.682</v>
      </c>
      <c r="E42" s="959">
        <f t="shared" si="12"/>
        <v>120.77500000000001</v>
      </c>
      <c r="F42" s="959">
        <f t="shared" si="12"/>
        <v>139.52900000000002</v>
      </c>
      <c r="G42" s="960">
        <f t="shared" si="12"/>
        <v>32.774000000000001</v>
      </c>
      <c r="H42" s="960">
        <f t="shared" si="12"/>
        <v>36.251000000000005</v>
      </c>
      <c r="I42" s="960">
        <f t="shared" si="12"/>
        <v>34.267999999999994</v>
      </c>
      <c r="J42" s="960">
        <f t="shared" si="12"/>
        <v>36.033000000000001</v>
      </c>
      <c r="K42" s="959">
        <f t="shared" si="12"/>
        <v>139.32600000000002</v>
      </c>
      <c r="L42" s="960">
        <f t="shared" si="12"/>
        <v>33.972999999999992</v>
      </c>
      <c r="M42" s="960">
        <f t="shared" si="12"/>
        <v>35.737000000000002</v>
      </c>
      <c r="N42" s="960">
        <f t="shared" si="12"/>
        <v>38.376999999999995</v>
      </c>
      <c r="O42" s="960">
        <f t="shared" si="12"/>
        <v>38.059000000000005</v>
      </c>
      <c r="P42" s="959">
        <f t="shared" si="12"/>
        <v>146.14599999999999</v>
      </c>
      <c r="Q42" s="960">
        <f t="shared" si="12"/>
        <v>36.415000000000006</v>
      </c>
      <c r="R42" s="960">
        <f t="shared" si="12"/>
        <v>34.53</v>
      </c>
      <c r="S42" s="960">
        <f t="shared" si="12"/>
        <v>36.692</v>
      </c>
      <c r="T42" s="960">
        <f t="shared" si="12"/>
        <v>37.19</v>
      </c>
      <c r="U42" s="959">
        <f t="shared" si="12"/>
        <v>144.827</v>
      </c>
      <c r="V42" s="960">
        <f t="shared" si="12"/>
        <v>37</v>
      </c>
      <c r="W42" s="960">
        <f t="shared" si="12"/>
        <v>38.82</v>
      </c>
      <c r="X42" s="960">
        <f t="shared" si="12"/>
        <v>33.501999999999995</v>
      </c>
      <c r="Y42" s="960">
        <f t="shared" si="12"/>
        <v>38.11</v>
      </c>
      <c r="Z42" s="959">
        <f t="shared" si="12"/>
        <v>147.43199999999999</v>
      </c>
      <c r="AA42" s="960">
        <f t="shared" si="12"/>
        <v>38.659999999999997</v>
      </c>
      <c r="AB42" s="960">
        <f t="shared" si="12"/>
        <v>36.088999999999999</v>
      </c>
      <c r="AC42" s="960">
        <f t="shared" si="12"/>
        <v>38.283000000000001</v>
      </c>
      <c r="AD42" s="960">
        <f t="shared" si="12"/>
        <v>60.475999999999999</v>
      </c>
      <c r="AE42" s="959">
        <f t="shared" si="12"/>
        <v>173.50800000000001</v>
      </c>
      <c r="AF42" s="960">
        <f t="shared" si="12"/>
        <v>39.97</v>
      </c>
      <c r="AG42" s="960">
        <f t="shared" si="12"/>
        <v>28.564999999999998</v>
      </c>
      <c r="AH42" s="960">
        <f t="shared" si="12"/>
        <v>35.099000000000004</v>
      </c>
      <c r="AI42" s="960">
        <f t="shared" si="12"/>
        <v>39.016000000000005</v>
      </c>
      <c r="AJ42" s="959">
        <f t="shared" si="12"/>
        <v>142.64999999999998</v>
      </c>
      <c r="AK42" s="960">
        <f t="shared" si="12"/>
        <v>34.636000000000003</v>
      </c>
      <c r="AL42" s="960">
        <f t="shared" si="12"/>
        <v>34.073</v>
      </c>
      <c r="AM42" s="961">
        <f t="shared" si="12"/>
        <v>37.363</v>
      </c>
      <c r="AN42" s="962">
        <f t="shared" si="12"/>
        <v>37.582364899999995</v>
      </c>
      <c r="AO42" s="963">
        <f t="shared" si="12"/>
        <v>143.65436489999999</v>
      </c>
      <c r="AP42" s="962">
        <f t="shared" si="12"/>
        <v>36.229208239999991</v>
      </c>
      <c r="AQ42" s="962">
        <f t="shared" si="12"/>
        <v>35.261444179999984</v>
      </c>
      <c r="AR42" s="962">
        <f t="shared" si="12"/>
        <v>38.12728276</v>
      </c>
      <c r="AS42" s="962">
        <f t="shared" si="12"/>
        <v>39.078577041599999</v>
      </c>
      <c r="AT42" s="963">
        <f t="shared" si="12"/>
        <v>148.69651222159996</v>
      </c>
      <c r="AU42" s="963">
        <f t="shared" si="12"/>
        <v>151.45005510083999</v>
      </c>
      <c r="AV42" s="963">
        <f t="shared" si="12"/>
        <v>156.74965939900005</v>
      </c>
      <c r="AW42" s="963">
        <f t="shared" si="12"/>
        <v>161.7190734657228</v>
      </c>
      <c r="AX42" s="806"/>
    </row>
    <row r="43" spans="1:50" s="91" customFormat="1" x14ac:dyDescent="0.45">
      <c r="A43" s="539" t="str">
        <f>INDEX(MO_RIS_RD,0,COLUMN())</f>
        <v>R&amp;D (adj. for SBC)</v>
      </c>
      <c r="B43" s="540"/>
      <c r="C43" s="953">
        <f t="shared" ref="C43:AW43" si="13">INDEX(MO_RIS_RD,0,COLUMN())</f>
        <v>16.437999999999999</v>
      </c>
      <c r="D43" s="953">
        <f t="shared" si="13"/>
        <v>21.645</v>
      </c>
      <c r="E43" s="953">
        <f t="shared" si="13"/>
        <v>31.184999999999999</v>
      </c>
      <c r="F43" s="953">
        <f t="shared" si="13"/>
        <v>30.634999999999998</v>
      </c>
      <c r="G43" s="954">
        <f t="shared" si="13"/>
        <v>5.5720000000000001</v>
      </c>
      <c r="H43" s="954">
        <f t="shared" si="13"/>
        <v>7.5259999999999998</v>
      </c>
      <c r="I43" s="954">
        <f t="shared" si="13"/>
        <v>13.075000000000001</v>
      </c>
      <c r="J43" s="954">
        <f t="shared" si="13"/>
        <v>15.027999999999999</v>
      </c>
      <c r="K43" s="953">
        <f t="shared" si="13"/>
        <v>41.201000000000001</v>
      </c>
      <c r="L43" s="954">
        <f t="shared" si="13"/>
        <v>16.153000000000002</v>
      </c>
      <c r="M43" s="954">
        <f t="shared" si="13"/>
        <v>16.800999999999998</v>
      </c>
      <c r="N43" s="954">
        <f t="shared" si="13"/>
        <v>18.355</v>
      </c>
      <c r="O43" s="954">
        <f t="shared" si="13"/>
        <v>17.535</v>
      </c>
      <c r="P43" s="953">
        <f t="shared" si="13"/>
        <v>68.843999999999994</v>
      </c>
      <c r="Q43" s="954">
        <f t="shared" si="13"/>
        <v>16.975000000000001</v>
      </c>
      <c r="R43" s="954">
        <f t="shared" si="13"/>
        <v>17.878</v>
      </c>
      <c r="S43" s="954">
        <f t="shared" si="13"/>
        <v>14.451000000000001</v>
      </c>
      <c r="T43" s="954">
        <f t="shared" si="13"/>
        <v>16.039000000000001</v>
      </c>
      <c r="U43" s="953">
        <f t="shared" si="13"/>
        <v>65.343000000000004</v>
      </c>
      <c r="V43" s="954">
        <f t="shared" si="13"/>
        <v>18.141000000000002</v>
      </c>
      <c r="W43" s="954">
        <f t="shared" si="13"/>
        <v>17.958000000000002</v>
      </c>
      <c r="X43" s="954">
        <f t="shared" si="13"/>
        <v>19.440999999999999</v>
      </c>
      <c r="Y43" s="954">
        <f t="shared" si="13"/>
        <v>21.827999999999999</v>
      </c>
      <c r="Z43" s="953">
        <f t="shared" si="13"/>
        <v>77.367999999999995</v>
      </c>
      <c r="AA43" s="954">
        <f t="shared" si="13"/>
        <v>19.628</v>
      </c>
      <c r="AB43" s="954">
        <f t="shared" si="13"/>
        <v>19.013999999999999</v>
      </c>
      <c r="AC43" s="954">
        <f t="shared" si="13"/>
        <v>20.088000000000001</v>
      </c>
      <c r="AD43" s="954">
        <f t="shared" si="13"/>
        <v>20.491</v>
      </c>
      <c r="AE43" s="953">
        <f t="shared" si="13"/>
        <v>79.221000000000004</v>
      </c>
      <c r="AF43" s="954">
        <f t="shared" si="13"/>
        <v>21.518000000000001</v>
      </c>
      <c r="AG43" s="954">
        <f t="shared" si="13"/>
        <v>17.645</v>
      </c>
      <c r="AH43" s="954">
        <f t="shared" si="13"/>
        <v>19.821999999999999</v>
      </c>
      <c r="AI43" s="954">
        <f t="shared" si="13"/>
        <v>19.09</v>
      </c>
      <c r="AJ43" s="953">
        <f t="shared" si="13"/>
        <v>78.075000000000003</v>
      </c>
      <c r="AK43" s="954">
        <f t="shared" si="13"/>
        <v>21.023</v>
      </c>
      <c r="AL43" s="954">
        <f t="shared" si="13"/>
        <v>18.972000000000001</v>
      </c>
      <c r="AM43" s="955">
        <f t="shared" si="13"/>
        <v>19.062999999999999</v>
      </c>
      <c r="AN43" s="954">
        <f t="shared" si="13"/>
        <v>19.066001760000002</v>
      </c>
      <c r="AO43" s="953">
        <f t="shared" si="13"/>
        <v>78.124001760000013</v>
      </c>
      <c r="AP43" s="954">
        <f t="shared" si="13"/>
        <v>21.968676895000005</v>
      </c>
      <c r="AQ43" s="954">
        <f t="shared" si="13"/>
        <v>19.916438999999997</v>
      </c>
      <c r="AR43" s="954">
        <f t="shared" si="13"/>
        <v>19.091357880000004</v>
      </c>
      <c r="AS43" s="954">
        <f t="shared" si="13"/>
        <v>20.056252644600001</v>
      </c>
      <c r="AT43" s="953">
        <f t="shared" si="13"/>
        <v>81.03272641960001</v>
      </c>
      <c r="AU43" s="953">
        <f t="shared" si="13"/>
        <v>81.771360516414404</v>
      </c>
      <c r="AV43" s="953">
        <f t="shared" si="13"/>
        <v>83.791333105510049</v>
      </c>
      <c r="AW43" s="953">
        <f t="shared" si="13"/>
        <v>85.913661290954948</v>
      </c>
      <c r="AX43" s="806"/>
    </row>
    <row r="44" spans="1:50" s="93" customFormat="1" x14ac:dyDescent="0.45">
      <c r="A44" s="258" t="str">
        <f>INDEX(MO_RIS_EBITDA,0,COLUMN())</f>
        <v>EBITDA</v>
      </c>
      <c r="B44" s="259"/>
      <c r="C44" s="956">
        <f>IFERROR(INDEX(SP_GF_Rev,0,COLUMN()),0)-IFERROR(INDEX(SP_GF_COGS,0,COLUMN()),0)-IFERROR(INDEX(SP_GF_SGA,0,COLUMN()),0)-IFERROR(INDEX(SP_GF_SM,0,COLUMN()),0)-IFERROR(INDEX(SP_GF_GA,0,COLUMN()),0)-IFERROR(INDEX(SP_GF_OPEX,0,COLUMN()),0)-IFERROR(INDEX(SP_GF_RD,0,COLUMN()),0)</f>
        <v>89.170000000000016</v>
      </c>
      <c r="D44" s="956">
        <f>IFERROR(INDEX(SP_GF_Rev,0,COLUMN()),0)-IFERROR(INDEX(SP_GF_COGS,0,COLUMN()),0)-IFERROR(INDEX(SP_GF_SGA,0,COLUMN()),0)-IFERROR(INDEX(SP_GF_SM,0,COLUMN()),0)-IFERROR(INDEX(SP_GF_GA,0,COLUMN()),0)-IFERROR(INDEX(SP_GF_OPEX,0,COLUMN()),0)-IFERROR(INDEX(SP_GF_RD,0,COLUMN()),0)</f>
        <v>112.49</v>
      </c>
      <c r="E44" s="956">
        <f>IFERROR(INDEX(SP_GF_Rev,0,COLUMN()),0)-IFERROR(INDEX(SP_GF_COGS,0,COLUMN()),0)-IFERROR(INDEX(SP_GF_SGA,0,COLUMN()),0)-IFERROR(INDEX(SP_GF_SM,0,COLUMN()),0)-IFERROR(INDEX(SP_GF_GA,0,COLUMN()),0)-IFERROR(INDEX(SP_GF_OPEX,0,COLUMN()),0)-IFERROR(INDEX(SP_GF_RD,0,COLUMN()),0)</f>
        <v>137.47</v>
      </c>
      <c r="F44" s="956">
        <f>IFERROR(INDEX(SP_GF_Rev,0,COLUMN()),0)-IFERROR(INDEX(SP_GF_COGS,0,COLUMN()),0)-IFERROR(INDEX(SP_GF_SGA,0,COLUMN()),0)-IFERROR(INDEX(SP_GF_SM,0,COLUMN()),0)-IFERROR(INDEX(SP_GF_GA,0,COLUMN()),0)-IFERROR(INDEX(SP_GF_OPEX,0,COLUMN()),0)-IFERROR(INDEX(SP_GF_RD,0,COLUMN()),0)</f>
        <v>112.98199999999994</v>
      </c>
      <c r="G44" s="957">
        <f>IFERROR(INDEX(SP_GF_Rev,0,COLUMN()),0)-IFERROR(INDEX(SP_GF_COGS,0,COLUMN()),0)-IFERROR(INDEX(SP_GF_SGA,0,COLUMN()),0)-IFERROR(INDEX(SP_GF_SM,0,COLUMN()),0)-IFERROR(INDEX(SP_GF_GA,0,COLUMN()),0)-IFERROR(INDEX(SP_GF_OPEX,0,COLUMN()),0)-IFERROR(INDEX(SP_GF_RD,0,COLUMN()),0)</f>
        <v>26.535999999999991</v>
      </c>
      <c r="H44" s="957">
        <f>IFERROR(INDEX(SP_GF_Rev,0,COLUMN()),0)-IFERROR(INDEX(SP_GF_COGS,0,COLUMN()),0)-IFERROR(INDEX(SP_GF_SGA,0,COLUMN()),0)-IFERROR(INDEX(SP_GF_SM,0,COLUMN()),0)-IFERROR(INDEX(SP_GF_GA,0,COLUMN()),0)-IFERROR(INDEX(SP_GF_OPEX,0,COLUMN()),0)-IFERROR(INDEX(SP_GF_RD,0,COLUMN()),0)</f>
        <v>23.270999999999997</v>
      </c>
      <c r="I44" s="957">
        <f>IFERROR(INDEX(SP_GF_Rev,0,COLUMN()),0)-IFERROR(INDEX(SP_GF_COGS,0,COLUMN()),0)-IFERROR(INDEX(SP_GF_SGA,0,COLUMN()),0)-IFERROR(INDEX(SP_GF_SM,0,COLUMN()),0)-IFERROR(INDEX(SP_GF_GA,0,COLUMN()),0)-IFERROR(INDEX(SP_GF_OPEX,0,COLUMN()),0)-IFERROR(INDEX(SP_GF_RD,0,COLUMN()),0)</f>
        <v>-4.3450000000000042</v>
      </c>
      <c r="J44" s="957">
        <f>IFERROR(INDEX(SP_GF_Rev,0,COLUMN()),0)-IFERROR(INDEX(SP_GF_COGS,0,COLUMN()),0)-IFERROR(INDEX(SP_GF_SGA,0,COLUMN()),0)-IFERROR(INDEX(SP_GF_SM,0,COLUMN()),0)-IFERROR(INDEX(SP_GF_GA,0,COLUMN()),0)-IFERROR(INDEX(SP_GF_OPEX,0,COLUMN()),0)-IFERROR(INDEX(SP_GF_RD,0,COLUMN()),0)</f>
        <v>14.726000000000006</v>
      </c>
      <c r="K44" s="956">
        <f>IFERROR(INDEX(SP_GF_Rev,0,COLUMN()),0)-IFERROR(INDEX(SP_GF_COGS,0,COLUMN()),0)-IFERROR(INDEX(SP_GF_SGA,0,COLUMN()),0)-IFERROR(INDEX(SP_GF_SM,0,COLUMN()),0)-IFERROR(INDEX(SP_GF_GA,0,COLUMN()),0)-IFERROR(INDEX(SP_GF_OPEX,0,COLUMN()),0)-IFERROR(INDEX(SP_GF_RD,0,COLUMN()),0)</f>
        <v>60.188000000000009</v>
      </c>
      <c r="L44" s="957">
        <f>IFERROR(INDEX(SP_GF_Rev,0,COLUMN()),0)-IFERROR(INDEX(SP_GF_COGS,0,COLUMN()),0)-IFERROR(INDEX(SP_GF_SGA,0,COLUMN()),0)-IFERROR(INDEX(SP_GF_SM,0,COLUMN()),0)-IFERROR(INDEX(SP_GF_GA,0,COLUMN()),0)-IFERROR(INDEX(SP_GF_OPEX,0,COLUMN()),0)-IFERROR(INDEX(SP_GF_RD,0,COLUMN()),0)</f>
        <v>16.124000000000006</v>
      </c>
      <c r="M44" s="957">
        <f>IFERROR(INDEX(SP_GF_Rev,0,COLUMN()),0)-IFERROR(INDEX(SP_GF_COGS,0,COLUMN()),0)-IFERROR(INDEX(SP_GF_SGA,0,COLUMN()),0)-IFERROR(INDEX(SP_GF_SM,0,COLUMN()),0)-IFERROR(INDEX(SP_GF_GA,0,COLUMN()),0)-IFERROR(INDEX(SP_GF_OPEX,0,COLUMN()),0)-IFERROR(INDEX(SP_GF_RD,0,COLUMN()),0)</f>
        <v>15.673999999999989</v>
      </c>
      <c r="N44" s="957">
        <f>IFERROR(INDEX(SP_GF_Rev,0,COLUMN()),0)-IFERROR(INDEX(SP_GF_COGS,0,COLUMN()),0)-IFERROR(INDEX(SP_GF_SGA,0,COLUMN()),0)-IFERROR(INDEX(SP_GF_SM,0,COLUMN()),0)-IFERROR(INDEX(SP_GF_GA,0,COLUMN()),0)-IFERROR(INDEX(SP_GF_OPEX,0,COLUMN()),0)-IFERROR(INDEX(SP_GF_RD,0,COLUMN()),0)</f>
        <v>16.369000000000003</v>
      </c>
      <c r="O44" s="957">
        <f>IFERROR(INDEX(SP_GF_Rev,0,COLUMN()),0)-IFERROR(INDEX(SP_GF_COGS,0,COLUMN()),0)-IFERROR(INDEX(SP_GF_SGA,0,COLUMN()),0)-IFERROR(INDEX(SP_GF_SM,0,COLUMN()),0)-IFERROR(INDEX(SP_GF_GA,0,COLUMN()),0)-IFERROR(INDEX(SP_GF_OPEX,0,COLUMN()),0)-IFERROR(INDEX(SP_GF_RD,0,COLUMN()),0)</f>
        <v>20.527999999999995</v>
      </c>
      <c r="P44" s="956">
        <f>IFERROR(INDEX(SP_GF_Rev,0,COLUMN()),0)-IFERROR(INDEX(SP_GF_COGS,0,COLUMN()),0)-IFERROR(INDEX(SP_GF_SGA,0,COLUMN()),0)-IFERROR(INDEX(SP_GF_SM,0,COLUMN()),0)-IFERROR(INDEX(SP_GF_GA,0,COLUMN()),0)-IFERROR(INDEX(SP_GF_OPEX,0,COLUMN()),0)-IFERROR(INDEX(SP_GF_RD,0,COLUMN()),0)</f>
        <v>68.694999999999965</v>
      </c>
      <c r="Q44" s="957">
        <f>IFERROR(INDEX(SP_GF_Rev,0,COLUMN()),0)-IFERROR(INDEX(SP_GF_COGS,0,COLUMN()),0)-IFERROR(INDEX(SP_GF_SGA,0,COLUMN()),0)-IFERROR(INDEX(SP_GF_SM,0,COLUMN()),0)-IFERROR(INDEX(SP_GF_GA,0,COLUMN()),0)-IFERROR(INDEX(SP_GF_OPEX,0,COLUMN()),0)-IFERROR(INDEX(SP_GF_RD,0,COLUMN()),0)</f>
        <v>16.236000000000011</v>
      </c>
      <c r="R44" s="957">
        <f>IFERROR(INDEX(SP_GF_Rev,0,COLUMN()),0)-IFERROR(INDEX(SP_GF_COGS,0,COLUMN()),0)-IFERROR(INDEX(SP_GF_SGA,0,COLUMN()),0)-IFERROR(INDEX(SP_GF_SM,0,COLUMN()),0)-IFERROR(INDEX(SP_GF_GA,0,COLUMN()),0)-IFERROR(INDEX(SP_GF_OPEX,0,COLUMN()),0)-IFERROR(INDEX(SP_GF_RD,0,COLUMN()),0)</f>
        <v>19.858999999999995</v>
      </c>
      <c r="S44" s="957">
        <f>IFERROR(INDEX(SP_GF_Rev,0,COLUMN()),0)-IFERROR(INDEX(SP_GF_COGS,0,COLUMN()),0)-IFERROR(INDEX(SP_GF_SGA,0,COLUMN()),0)-IFERROR(INDEX(SP_GF_SM,0,COLUMN()),0)-IFERROR(INDEX(SP_GF_GA,0,COLUMN()),0)-IFERROR(INDEX(SP_GF_OPEX,0,COLUMN()),0)-IFERROR(INDEX(SP_GF_RD,0,COLUMN()),0)</f>
        <v>15.607000000000014</v>
      </c>
      <c r="T44" s="957">
        <f>IFERROR(INDEX(SP_GF_Rev,0,COLUMN()),0)-IFERROR(INDEX(SP_GF_COGS,0,COLUMN()),0)-IFERROR(INDEX(SP_GF_SGA,0,COLUMN()),0)-IFERROR(INDEX(SP_GF_SM,0,COLUMN()),0)-IFERROR(INDEX(SP_GF_GA,0,COLUMN()),0)-IFERROR(INDEX(SP_GF_OPEX,0,COLUMN()),0)-IFERROR(INDEX(SP_GF_RD,0,COLUMN()),0)</f>
        <v>20.931000000000012</v>
      </c>
      <c r="U44" s="956">
        <f>IFERROR(INDEX(SP_GF_Rev,0,COLUMN()),0)-IFERROR(INDEX(SP_GF_COGS,0,COLUMN()),0)-IFERROR(INDEX(SP_GF_SGA,0,COLUMN()),0)-IFERROR(INDEX(SP_GF_SM,0,COLUMN()),0)-IFERROR(INDEX(SP_GF_GA,0,COLUMN()),0)-IFERROR(INDEX(SP_GF_OPEX,0,COLUMN()),0)-IFERROR(INDEX(SP_GF_RD,0,COLUMN()),0)</f>
        <v>72.632999999999996</v>
      </c>
      <c r="V44" s="957">
        <f>IFERROR(INDEX(SP_GF_Rev,0,COLUMN()),0)-IFERROR(INDEX(SP_GF_COGS,0,COLUMN()),0)-IFERROR(INDEX(SP_GF_SGA,0,COLUMN()),0)-IFERROR(INDEX(SP_GF_SM,0,COLUMN()),0)-IFERROR(INDEX(SP_GF_GA,0,COLUMN()),0)-IFERROR(INDEX(SP_GF_OPEX,0,COLUMN()),0)-IFERROR(INDEX(SP_GF_RD,0,COLUMN()),0)</f>
        <v>15.795999999999996</v>
      </c>
      <c r="W44" s="957">
        <f>IFERROR(INDEX(SP_GF_Rev,0,COLUMN()),0)-IFERROR(INDEX(SP_GF_COGS,0,COLUMN()),0)-IFERROR(INDEX(SP_GF_SGA,0,COLUMN()),0)-IFERROR(INDEX(SP_GF_SM,0,COLUMN()),0)-IFERROR(INDEX(SP_GF_GA,0,COLUMN()),0)-IFERROR(INDEX(SP_GF_OPEX,0,COLUMN()),0)-IFERROR(INDEX(SP_GF_RD,0,COLUMN()),0)</f>
        <v>20.034999999999986</v>
      </c>
      <c r="X44" s="957">
        <f>IFERROR(INDEX(SP_GF_Rev,0,COLUMN()),0)-IFERROR(INDEX(SP_GF_COGS,0,COLUMN()),0)-IFERROR(INDEX(SP_GF_SGA,0,COLUMN()),0)-IFERROR(INDEX(SP_GF_SM,0,COLUMN()),0)-IFERROR(INDEX(SP_GF_GA,0,COLUMN()),0)-IFERROR(INDEX(SP_GF_OPEX,0,COLUMN()),0)-IFERROR(INDEX(SP_GF_RD,0,COLUMN()),0)</f>
        <v>25.530999999999995</v>
      </c>
      <c r="Y44" s="957">
        <f>IFERROR(INDEX(SP_GF_Rev,0,COLUMN()),0)-IFERROR(INDEX(SP_GF_COGS,0,COLUMN()),0)-IFERROR(INDEX(SP_GF_SGA,0,COLUMN()),0)-IFERROR(INDEX(SP_GF_SM,0,COLUMN()),0)-IFERROR(INDEX(SP_GF_GA,0,COLUMN()),0)-IFERROR(INDEX(SP_GF_OPEX,0,COLUMN()),0)-IFERROR(INDEX(SP_GF_RD,0,COLUMN()),0)</f>
        <v>20.760999999999985</v>
      </c>
      <c r="Z44" s="956">
        <f>IFERROR(INDEX(SP_GF_Rev,0,COLUMN()),0)-IFERROR(INDEX(SP_GF_COGS,0,COLUMN()),0)-IFERROR(INDEX(SP_GF_SGA,0,COLUMN()),0)-IFERROR(INDEX(SP_GF_SM,0,COLUMN()),0)-IFERROR(INDEX(SP_GF_GA,0,COLUMN()),0)-IFERROR(INDEX(SP_GF_OPEX,0,COLUMN()),0)-IFERROR(INDEX(SP_GF_RD,0,COLUMN()),0)</f>
        <v>82.123000000000076</v>
      </c>
      <c r="AA44" s="957">
        <f>IFERROR(INDEX(SP_GF_Rev,0,COLUMN()),0)-IFERROR(INDEX(SP_GF_COGS,0,COLUMN()),0)-IFERROR(INDEX(SP_GF_SGA,0,COLUMN()),0)-IFERROR(INDEX(SP_GF_SM,0,COLUMN()),0)-IFERROR(INDEX(SP_GF_GA,0,COLUMN()),0)-IFERROR(INDEX(SP_GF_OPEX,0,COLUMN()),0)-IFERROR(INDEX(SP_GF_RD,0,COLUMN()),0)</f>
        <v>18.274000000000001</v>
      </c>
      <c r="AB44" s="957">
        <f>IFERROR(INDEX(SP_GF_Rev,0,COLUMN()),0)-IFERROR(INDEX(SP_GF_COGS,0,COLUMN()),0)-IFERROR(INDEX(SP_GF_SGA,0,COLUMN()),0)-IFERROR(INDEX(SP_GF_SM,0,COLUMN()),0)-IFERROR(INDEX(SP_GF_GA,0,COLUMN()),0)-IFERROR(INDEX(SP_GF_OPEX,0,COLUMN()),0)-IFERROR(INDEX(SP_GF_RD,0,COLUMN()),0)</f>
        <v>24.145999999999997</v>
      </c>
      <c r="AC44" s="957">
        <f>IFERROR(INDEX(SP_GF_Rev,0,COLUMN()),0)-IFERROR(INDEX(SP_GF_COGS,0,COLUMN()),0)-IFERROR(INDEX(SP_GF_SGA,0,COLUMN()),0)-IFERROR(INDEX(SP_GF_SM,0,COLUMN()),0)-IFERROR(INDEX(SP_GF_GA,0,COLUMN()),0)-IFERROR(INDEX(SP_GF_OPEX,0,COLUMN()),0)-IFERROR(INDEX(SP_GF_RD,0,COLUMN()),0)</f>
        <v>17.934000000000005</v>
      </c>
      <c r="AD44" s="957">
        <f>IFERROR(INDEX(SP_GF_Rev,0,COLUMN()),0)-IFERROR(INDEX(SP_GF_COGS,0,COLUMN()),0)-IFERROR(INDEX(SP_GF_SGA,0,COLUMN()),0)-IFERROR(INDEX(SP_GF_SM,0,COLUMN()),0)-IFERROR(INDEX(SP_GF_GA,0,COLUMN()),0)-IFERROR(INDEX(SP_GF_OPEX,0,COLUMN()),0)-IFERROR(INDEX(SP_GF_RD,0,COLUMN()),0)</f>
        <v>-0.57199999999998852</v>
      </c>
      <c r="AE44" s="956">
        <f>IFERROR(INDEX(SP_GF_Rev,0,COLUMN()),0)-IFERROR(INDEX(SP_GF_COGS,0,COLUMN()),0)-IFERROR(INDEX(SP_GF_SGA,0,COLUMN()),0)-IFERROR(INDEX(SP_GF_SM,0,COLUMN()),0)-IFERROR(INDEX(SP_GF_GA,0,COLUMN()),0)-IFERROR(INDEX(SP_GF_OPEX,0,COLUMN()),0)-IFERROR(INDEX(SP_GF_RD,0,COLUMN()),0)</f>
        <v>59.781999999999954</v>
      </c>
      <c r="AF44" s="957">
        <f>IFERROR(INDEX(SP_GF_Rev,0,COLUMN()),0)-IFERROR(INDEX(SP_GF_COGS,0,COLUMN()),0)-IFERROR(INDEX(SP_GF_SGA,0,COLUMN()),0)-IFERROR(INDEX(SP_GF_SM,0,COLUMN()),0)-IFERROR(INDEX(SP_GF_GA,0,COLUMN()),0)-IFERROR(INDEX(SP_GF_OPEX,0,COLUMN()),0)-IFERROR(INDEX(SP_GF_RD,0,COLUMN()),0)</f>
        <v>16.638000000000019</v>
      </c>
      <c r="AG44" s="957">
        <f>IFERROR(INDEX(SP_GF_Rev,0,COLUMN()),0)-IFERROR(INDEX(SP_GF_COGS,0,COLUMN()),0)-IFERROR(INDEX(SP_GF_SGA,0,COLUMN()),0)-IFERROR(INDEX(SP_GF_SM,0,COLUMN()),0)-IFERROR(INDEX(SP_GF_GA,0,COLUMN()),0)-IFERROR(INDEX(SP_GF_OPEX,0,COLUMN()),0)-IFERROR(INDEX(SP_GF_RD,0,COLUMN()),0)</f>
        <v>30.264000000000006</v>
      </c>
      <c r="AH44" s="957">
        <f>IFERROR(INDEX(SP_GF_Rev,0,COLUMN()),0)-IFERROR(INDEX(SP_GF_COGS,0,COLUMN()),0)-IFERROR(INDEX(SP_GF_SGA,0,COLUMN()),0)-IFERROR(INDEX(SP_GF_SM,0,COLUMN()),0)-IFERROR(INDEX(SP_GF_GA,0,COLUMN()),0)-IFERROR(INDEX(SP_GF_OPEX,0,COLUMN()),0)-IFERROR(INDEX(SP_GF_RD,0,COLUMN()),0)</f>
        <v>21.731999999999989</v>
      </c>
      <c r="AI44" s="957">
        <f>IFERROR(INDEX(SP_GF_Rev,0,COLUMN()),0)-IFERROR(INDEX(SP_GF_COGS,0,COLUMN()),0)-IFERROR(INDEX(SP_GF_SGA,0,COLUMN()),0)-IFERROR(INDEX(SP_GF_SM,0,COLUMN()),0)-IFERROR(INDEX(SP_GF_GA,0,COLUMN()),0)-IFERROR(INDEX(SP_GF_OPEX,0,COLUMN()),0)-IFERROR(INDEX(SP_GF_RD,0,COLUMN()),0)</f>
        <v>22.858999999999998</v>
      </c>
      <c r="AJ44" s="956">
        <f>IFERROR(INDEX(SP_GF_Rev,0,COLUMN()),0)-IFERROR(INDEX(SP_GF_COGS,0,COLUMN()),0)-IFERROR(INDEX(SP_GF_SGA,0,COLUMN()),0)-IFERROR(INDEX(SP_GF_SM,0,COLUMN()),0)-IFERROR(INDEX(SP_GF_GA,0,COLUMN()),0)-IFERROR(INDEX(SP_GF_OPEX,0,COLUMN()),0)-IFERROR(INDEX(SP_GF_RD,0,COLUMN()),0)</f>
        <v>91.493000000000038</v>
      </c>
      <c r="AK44" s="957">
        <f>IFERROR(INDEX(SP_GF_Rev,0,COLUMN()),0)-IFERROR(INDEX(SP_GF_COGS,0,COLUMN()),0)-IFERROR(INDEX(SP_GF_SGA,0,COLUMN()),0)-IFERROR(INDEX(SP_GF_SM,0,COLUMN()),0)-IFERROR(INDEX(SP_GF_GA,0,COLUMN()),0)-IFERROR(INDEX(SP_GF_OPEX,0,COLUMN()),0)-IFERROR(INDEX(SP_GF_RD,0,COLUMN()),0)</f>
        <v>19.846999999999984</v>
      </c>
      <c r="AL44" s="957">
        <f>IFERROR(INDEX(SP_GF_Rev,0,COLUMN()),0)-IFERROR(INDEX(SP_GF_COGS,0,COLUMN()),0)-IFERROR(INDEX(SP_GF_SGA,0,COLUMN()),0)-IFERROR(INDEX(SP_GF_SM,0,COLUMN()),0)-IFERROR(INDEX(SP_GF_GA,0,COLUMN()),0)-IFERROR(INDEX(SP_GF_OPEX,0,COLUMN()),0)-IFERROR(INDEX(SP_GF_RD,0,COLUMN()),0)</f>
        <v>24.855999999999995</v>
      </c>
      <c r="AM44" s="958">
        <f>IFERROR(INDEX(SP_GF_Rev,0,COLUMN()),0)-IFERROR(INDEX(SP_GF_COGS,0,COLUMN()),0)-IFERROR(INDEX(SP_GF_SGA,0,COLUMN()),0)-IFERROR(INDEX(SP_GF_SM,0,COLUMN()),0)-IFERROR(INDEX(SP_GF_GA,0,COLUMN()),0)-IFERROR(INDEX(SP_GF_OPEX,0,COLUMN()),0)-IFERROR(INDEX(SP_GF_RD,0,COLUMN()),0)</f>
        <v>22.67300000000002</v>
      </c>
      <c r="AN44" s="957">
        <f>IFERROR(INDEX(SP_GF_Rev,0,COLUMN()),0)-IFERROR(INDEX(SP_GF_COGS,0,COLUMN()),0)-IFERROR(INDEX(SP_GF_SGA,0,COLUMN()),0)-IFERROR(INDEX(SP_GF_SM,0,COLUMN()),0)-IFERROR(INDEX(SP_GF_GA,0,COLUMN()),0)-IFERROR(INDEX(SP_GF_OPEX,0,COLUMN()),0)-IFERROR(INDEX(SP_GF_RD,0,COLUMN()),0)</f>
        <v>22.997966900000019</v>
      </c>
      <c r="AO44" s="956">
        <f>IFERROR(INDEX(SP_GF_Rev,0,COLUMN()),0)-IFERROR(INDEX(SP_GF_COGS,0,COLUMN()),0)-IFERROR(INDEX(SP_GF_SGA,0,COLUMN()),0)-IFERROR(INDEX(SP_GF_SM,0,COLUMN()),0)-IFERROR(INDEX(SP_GF_GA,0,COLUMN()),0)-IFERROR(INDEX(SP_GF_OPEX,0,COLUMN()),0)-IFERROR(INDEX(SP_GF_RD,0,COLUMN()),0)</f>
        <v>90.373966899999985</v>
      </c>
      <c r="AP44" s="957">
        <f>IFERROR(INDEX(SP_GF_Rev,0,COLUMN()),0)-IFERROR(INDEX(SP_GF_COGS,0,COLUMN()),0)-IFERROR(INDEX(SP_GF_SGA,0,COLUMN()),0)-IFERROR(INDEX(SP_GF_SM,0,COLUMN()),0)-IFERROR(INDEX(SP_GF_GA,0,COLUMN()),0)-IFERROR(INDEX(SP_GF_OPEX,0,COLUMN()),0)-IFERROR(INDEX(SP_GF_RD,0,COLUMN()),0)</f>
        <v>20.473484420000016</v>
      </c>
      <c r="AQ44" s="957">
        <f>IFERROR(INDEX(SP_GF_Rev,0,COLUMN()),0)-IFERROR(INDEX(SP_GF_COGS,0,COLUMN()),0)-IFERROR(INDEX(SP_GF_SGA,0,COLUMN()),0)-IFERROR(INDEX(SP_GF_SM,0,COLUMN()),0)-IFERROR(INDEX(SP_GF_GA,0,COLUMN()),0)-IFERROR(INDEX(SP_GF_OPEX,0,COLUMN()),0)-IFERROR(INDEX(SP_GF_RD,0,COLUMN()),0)</f>
        <v>24.590484780000011</v>
      </c>
      <c r="AR44" s="957">
        <f>IFERROR(INDEX(SP_GF_Rev,0,COLUMN()),0)-IFERROR(INDEX(SP_GF_COGS,0,COLUMN()),0)-IFERROR(INDEX(SP_GF_SGA,0,COLUMN()),0)-IFERROR(INDEX(SP_GF_SM,0,COLUMN()),0)-IFERROR(INDEX(SP_GF_GA,0,COLUMN()),0)-IFERROR(INDEX(SP_GF_OPEX,0,COLUMN()),0)-IFERROR(INDEX(SP_GF_RD,0,COLUMN()),0)</f>
        <v>24.503952360000028</v>
      </c>
      <c r="AS44" s="957">
        <f>IFERROR(INDEX(SP_GF_Rev,0,COLUMN()),0)-IFERROR(INDEX(SP_GF_COGS,0,COLUMN()),0)-IFERROR(INDEX(SP_GF_SGA,0,COLUMN()),0)-IFERROR(INDEX(SP_GF_SM,0,COLUMN()),0)-IFERROR(INDEX(SP_GF_GA,0,COLUMN()),0)-IFERROR(INDEX(SP_GF_OPEX,0,COLUMN()),0)-IFERROR(INDEX(SP_GF_RD,0,COLUMN()),0)</f>
        <v>23.338622561800001</v>
      </c>
      <c r="AT44" s="956">
        <f>IFERROR(INDEX(SP_GF_Rev,0,COLUMN()),0)-IFERROR(INDEX(SP_GF_COGS,0,COLUMN()),0)-IFERROR(INDEX(SP_GF_SGA,0,COLUMN()),0)-IFERROR(INDEX(SP_GF_SM,0,COLUMN()),0)-IFERROR(INDEX(SP_GF_GA,0,COLUMN()),0)-IFERROR(INDEX(SP_GF_OPEX,0,COLUMN()),0)-IFERROR(INDEX(SP_GF_RD,0,COLUMN()),0)</f>
        <v>92.906544121800096</v>
      </c>
      <c r="AU44" s="956">
        <f>IFERROR(INDEX(SP_GF_Rev,0,COLUMN()),0)-IFERROR(INDEX(SP_GF_COGS,0,COLUMN()),0)-IFERROR(INDEX(SP_GF_SGA,0,COLUMN()),0)-IFERROR(INDEX(SP_GF_SM,0,COLUMN()),0)-IFERROR(INDEX(SP_GF_GA,0,COLUMN()),0)-IFERROR(INDEX(SP_GF_OPEX,0,COLUMN()),0)-IFERROR(INDEX(SP_GF_RD,0,COLUMN()),0)</f>
        <v>97.943413590944402</v>
      </c>
      <c r="AV44" s="956">
        <f>IFERROR(INDEX(SP_GF_Rev,0,COLUMN()),0)-IFERROR(INDEX(SP_GF_COGS,0,COLUMN()),0)-IFERROR(INDEX(SP_GF_SGA,0,COLUMN()),0)-IFERROR(INDEX(SP_GF_SM,0,COLUMN()),0)-IFERROR(INDEX(SP_GF_GA,0,COLUMN()),0)-IFERROR(INDEX(SP_GF_OPEX,0,COLUMN()),0)-IFERROR(INDEX(SP_GF_RD,0,COLUMN()),0)</f>
        <v>100.80187215256193</v>
      </c>
      <c r="AW44" s="956">
        <f>IFERROR(INDEX(SP_GF_Rev,0,COLUMN()),0)-IFERROR(INDEX(SP_GF_COGS,0,COLUMN()),0)-IFERROR(INDEX(SP_GF_SGA,0,COLUMN()),0)-IFERROR(INDEX(SP_GF_SM,0,COLUMN()),0)-IFERROR(INDEX(SP_GF_GA,0,COLUMN()),0)-IFERROR(INDEX(SP_GF_OPEX,0,COLUMN()),0)-IFERROR(INDEX(SP_GF_RD,0,COLUMN()),0)</f>
        <v>104.43359709996217</v>
      </c>
      <c r="AX44" s="807"/>
    </row>
    <row r="45" spans="1:50" s="91" customFormat="1" x14ac:dyDescent="0.45">
      <c r="A45" s="256" t="str">
        <f>INDEX(MO_RIS_SBC,0,COLUMN())</f>
        <v>SBC</v>
      </c>
      <c r="B45" s="257"/>
      <c r="C45" s="959">
        <f t="shared" ref="C45:AW45" si="14">INDEX(MO_RIS_SBC,0,COLUMN())</f>
        <v>2.073</v>
      </c>
      <c r="D45" s="959">
        <f t="shared" si="14"/>
        <v>3.7479999999999998</v>
      </c>
      <c r="E45" s="959">
        <f t="shared" si="14"/>
        <v>3.3209999999999997</v>
      </c>
      <c r="F45" s="959">
        <f t="shared" si="14"/>
        <v>2.327</v>
      </c>
      <c r="G45" s="960">
        <f t="shared" si="14"/>
        <v>0.54099999999999993</v>
      </c>
      <c r="H45" s="960">
        <f t="shared" si="14"/>
        <v>0.58400000000000007</v>
      </c>
      <c r="I45" s="960">
        <f t="shared" si="14"/>
        <v>0.70700000000000007</v>
      </c>
      <c r="J45" s="960">
        <f t="shared" si="14"/>
        <v>0.65800000000000003</v>
      </c>
      <c r="K45" s="959">
        <f t="shared" si="14"/>
        <v>2.4900000000000002</v>
      </c>
      <c r="L45" s="960">
        <f t="shared" si="14"/>
        <v>0.79</v>
      </c>
      <c r="M45" s="960">
        <f t="shared" si="14"/>
        <v>0.86699999999999999</v>
      </c>
      <c r="N45" s="960">
        <f t="shared" si="14"/>
        <v>0.97</v>
      </c>
      <c r="O45" s="960">
        <f t="shared" si="14"/>
        <v>0.84499999999999975</v>
      </c>
      <c r="P45" s="959">
        <f t="shared" si="14"/>
        <v>3.472</v>
      </c>
      <c r="Q45" s="960">
        <f t="shared" si="14"/>
        <v>0.68399999999999994</v>
      </c>
      <c r="R45" s="960">
        <f t="shared" si="14"/>
        <v>0.90099999999999991</v>
      </c>
      <c r="S45" s="960">
        <f t="shared" si="14"/>
        <v>0.74299999999999999</v>
      </c>
      <c r="T45" s="960">
        <f t="shared" si="14"/>
        <v>0.96699999999999986</v>
      </c>
      <c r="U45" s="959">
        <f t="shared" si="14"/>
        <v>3.2949999999999999</v>
      </c>
      <c r="V45" s="960">
        <f t="shared" si="14"/>
        <v>1.2589999999999999</v>
      </c>
      <c r="W45" s="960">
        <f t="shared" si="14"/>
        <v>1.9179999999999999</v>
      </c>
      <c r="X45" s="960">
        <f t="shared" si="14"/>
        <v>2.0010000000000003</v>
      </c>
      <c r="Y45" s="960">
        <f t="shared" si="14"/>
        <v>2.42</v>
      </c>
      <c r="Z45" s="959">
        <f t="shared" si="14"/>
        <v>7.5979999999999999</v>
      </c>
      <c r="AA45" s="960">
        <f t="shared" si="14"/>
        <v>2.0409999999999999</v>
      </c>
      <c r="AB45" s="960">
        <f t="shared" si="14"/>
        <v>3.0909999999999997</v>
      </c>
      <c r="AC45" s="960">
        <f t="shared" si="14"/>
        <v>3.4530000000000003</v>
      </c>
      <c r="AD45" s="960">
        <f t="shared" si="14"/>
        <v>3.6110000000000007</v>
      </c>
      <c r="AE45" s="959">
        <f t="shared" si="14"/>
        <v>12.196000000000002</v>
      </c>
      <c r="AF45" s="960">
        <f t="shared" si="14"/>
        <v>3.1160000000000001</v>
      </c>
      <c r="AG45" s="960">
        <f t="shared" si="14"/>
        <v>4.1349999999999998</v>
      </c>
      <c r="AH45" s="960">
        <f t="shared" si="14"/>
        <v>4.6980000000000004</v>
      </c>
      <c r="AI45" s="960">
        <f t="shared" si="14"/>
        <v>4.1529999999999996</v>
      </c>
      <c r="AJ45" s="959">
        <f t="shared" si="14"/>
        <v>16.102</v>
      </c>
      <c r="AK45" s="960">
        <f t="shared" si="14"/>
        <v>4.891</v>
      </c>
      <c r="AL45" s="960">
        <f t="shared" si="14"/>
        <v>4.3159999999999998</v>
      </c>
      <c r="AM45" s="961">
        <f t="shared" si="14"/>
        <v>4.6209999999999996</v>
      </c>
      <c r="AN45" s="962">
        <f t="shared" si="14"/>
        <v>4.5999999999999996</v>
      </c>
      <c r="AO45" s="963">
        <f t="shared" si="14"/>
        <v>18.427999999999997</v>
      </c>
      <c r="AP45" s="962">
        <f t="shared" si="14"/>
        <v>4.5999999999999996</v>
      </c>
      <c r="AQ45" s="962">
        <f t="shared" si="14"/>
        <v>4.5999999999999996</v>
      </c>
      <c r="AR45" s="962">
        <f t="shared" si="14"/>
        <v>4.5999999999999996</v>
      </c>
      <c r="AS45" s="962">
        <f t="shared" si="14"/>
        <v>4.5999999999999996</v>
      </c>
      <c r="AT45" s="963">
        <f t="shared" si="14"/>
        <v>18.399999999999999</v>
      </c>
      <c r="AU45" s="963">
        <f t="shared" si="14"/>
        <v>18.399999999999999</v>
      </c>
      <c r="AV45" s="963">
        <f t="shared" si="14"/>
        <v>18.399999999999999</v>
      </c>
      <c r="AW45" s="963">
        <f t="shared" si="14"/>
        <v>18.399999999999999</v>
      </c>
      <c r="AX45" s="806"/>
    </row>
    <row r="46" spans="1:50" s="91" customFormat="1" x14ac:dyDescent="0.45">
      <c r="A46" s="256" t="str">
        <f>INDEX(MO_RIS_DA,0,COLUMN())</f>
        <v>Depreciation</v>
      </c>
      <c r="B46" s="257"/>
      <c r="C46" s="959">
        <f t="shared" ref="C46:AW46" si="15">IFERROR(INDEX(MO_RIS_DA,0,COLUMN()),0)+IFERROR(INDEX(MO_RIS_DAintangibles,0,COLUMN()),0)</f>
        <v>9.59</v>
      </c>
      <c r="D46" s="959">
        <f t="shared" si="15"/>
        <v>12.968</v>
      </c>
      <c r="E46" s="959">
        <f t="shared" si="15"/>
        <v>15.751999999999999</v>
      </c>
      <c r="F46" s="959">
        <f t="shared" si="15"/>
        <v>19.295999999999999</v>
      </c>
      <c r="G46" s="960">
        <f t="shared" si="15"/>
        <v>5.2480000000000002</v>
      </c>
      <c r="H46" s="960">
        <f t="shared" si="15"/>
        <v>5.4810000000000008</v>
      </c>
      <c r="I46" s="960">
        <f t="shared" si="15"/>
        <v>7.1879999999999988</v>
      </c>
      <c r="J46" s="960">
        <f t="shared" si="15"/>
        <v>6.0150000000000006</v>
      </c>
      <c r="K46" s="959">
        <f t="shared" si="15"/>
        <v>23.932000000000002</v>
      </c>
      <c r="L46" s="960">
        <f t="shared" si="15"/>
        <v>6.5960000000000001</v>
      </c>
      <c r="M46" s="960">
        <f t="shared" si="15"/>
        <v>6.6400000000000006</v>
      </c>
      <c r="N46" s="960">
        <f t="shared" si="15"/>
        <v>6.2850000000000001</v>
      </c>
      <c r="O46" s="960">
        <f t="shared" si="15"/>
        <v>6.0530000000000008</v>
      </c>
      <c r="P46" s="959">
        <f t="shared" si="15"/>
        <v>25.574000000000002</v>
      </c>
      <c r="Q46" s="960">
        <f t="shared" si="15"/>
        <v>5.6210000000000004</v>
      </c>
      <c r="R46" s="960">
        <f t="shared" si="15"/>
        <v>5.5640000000000001</v>
      </c>
      <c r="S46" s="960">
        <f t="shared" si="15"/>
        <v>5.53</v>
      </c>
      <c r="T46" s="960">
        <f t="shared" si="15"/>
        <v>7.6559999999999988</v>
      </c>
      <c r="U46" s="959">
        <f t="shared" si="15"/>
        <v>24.370999999999999</v>
      </c>
      <c r="V46" s="960">
        <f t="shared" si="15"/>
        <v>7.952</v>
      </c>
      <c r="W46" s="960">
        <f t="shared" si="15"/>
        <v>8.0299999999999994</v>
      </c>
      <c r="X46" s="960">
        <f t="shared" si="15"/>
        <v>7.2700000000000005</v>
      </c>
      <c r="Y46" s="960">
        <f t="shared" si="15"/>
        <v>6.7469999999999999</v>
      </c>
      <c r="Z46" s="959">
        <f t="shared" si="15"/>
        <v>29.999000000000002</v>
      </c>
      <c r="AA46" s="960">
        <f t="shared" si="15"/>
        <v>7.4459999999999997</v>
      </c>
      <c r="AB46" s="960">
        <f t="shared" si="15"/>
        <v>7.7069999999999999</v>
      </c>
      <c r="AC46" s="960">
        <f t="shared" si="15"/>
        <v>8.6080000000000005</v>
      </c>
      <c r="AD46" s="960">
        <f t="shared" si="15"/>
        <v>8.8259999999999987</v>
      </c>
      <c r="AE46" s="959">
        <f t="shared" si="15"/>
        <v>32.586999999999996</v>
      </c>
      <c r="AF46" s="960">
        <f t="shared" si="15"/>
        <v>8.9370000000000012</v>
      </c>
      <c r="AG46" s="960">
        <f t="shared" si="15"/>
        <v>9.5259999999999998</v>
      </c>
      <c r="AH46" s="960">
        <f t="shared" si="15"/>
        <v>9.8239999999999998</v>
      </c>
      <c r="AI46" s="960">
        <f t="shared" si="15"/>
        <v>10.501000000000001</v>
      </c>
      <c r="AJ46" s="959">
        <f t="shared" si="15"/>
        <v>38.788000000000004</v>
      </c>
      <c r="AK46" s="960">
        <f t="shared" si="15"/>
        <v>10.505000000000001</v>
      </c>
      <c r="AL46" s="960">
        <f t="shared" si="15"/>
        <v>10.853</v>
      </c>
      <c r="AM46" s="961">
        <f t="shared" si="15"/>
        <v>11.314</v>
      </c>
      <c r="AN46" s="962">
        <f t="shared" si="15"/>
        <v>10.899999999999999</v>
      </c>
      <c r="AO46" s="963">
        <f t="shared" si="15"/>
        <v>43.571999999999996</v>
      </c>
      <c r="AP46" s="962">
        <f t="shared" si="15"/>
        <v>10.899999999999999</v>
      </c>
      <c r="AQ46" s="962">
        <f t="shared" si="15"/>
        <v>10.899999999999999</v>
      </c>
      <c r="AR46" s="962">
        <f t="shared" si="15"/>
        <v>10.899999999999999</v>
      </c>
      <c r="AS46" s="962">
        <f t="shared" si="15"/>
        <v>10.899999999999999</v>
      </c>
      <c r="AT46" s="963">
        <f t="shared" si="15"/>
        <v>43.599999999999994</v>
      </c>
      <c r="AU46" s="963">
        <f t="shared" si="15"/>
        <v>43.599999999999994</v>
      </c>
      <c r="AV46" s="963">
        <f t="shared" si="15"/>
        <v>43.599999999999994</v>
      </c>
      <c r="AW46" s="963">
        <f t="shared" si="15"/>
        <v>43.599999999999994</v>
      </c>
      <c r="AX46" s="806"/>
    </row>
    <row r="47" spans="1:50" s="91" customFormat="1" x14ac:dyDescent="0.45">
      <c r="A47" s="256" t="str">
        <f>INDEX(MO_RIS_DAintangibles_operating,0,COLUMN())</f>
        <v>Amortization of intangibles (Incl. in OPEX)</v>
      </c>
      <c r="B47" s="257"/>
      <c r="C47" s="959">
        <f t="shared" ref="C47:AW47" si="16">INDEX(MO_RIS_DAintangibles_operating,0,COLUMN())</f>
        <v>1.7829999999999999</v>
      </c>
      <c r="D47" s="959">
        <f t="shared" si="16"/>
        <v>1.6819999999999999</v>
      </c>
      <c r="E47" s="959">
        <f t="shared" si="16"/>
        <v>2.198</v>
      </c>
      <c r="F47" s="959">
        <f t="shared" si="16"/>
        <v>4.859</v>
      </c>
      <c r="G47" s="960">
        <f t="shared" si="16"/>
        <v>1.194</v>
      </c>
      <c r="H47" s="960">
        <f t="shared" si="16"/>
        <v>1.26</v>
      </c>
      <c r="I47" s="960">
        <f t="shared" si="16"/>
        <v>1.2190000000000001</v>
      </c>
      <c r="J47" s="960">
        <f t="shared" si="16"/>
        <v>1.1319999999999999</v>
      </c>
      <c r="K47" s="959">
        <f t="shared" si="16"/>
        <v>4.8049999999999997</v>
      </c>
      <c r="L47" s="960">
        <f t="shared" si="16"/>
        <v>0.98299999999999998</v>
      </c>
      <c r="M47" s="960">
        <f t="shared" si="16"/>
        <v>0.90800000000000003</v>
      </c>
      <c r="N47" s="960">
        <f t="shared" si="16"/>
        <v>0.90400000000000003</v>
      </c>
      <c r="O47" s="960">
        <f t="shared" si="16"/>
        <v>0.89800000000000002</v>
      </c>
      <c r="P47" s="959">
        <f t="shared" si="16"/>
        <v>3.6930000000000001</v>
      </c>
      <c r="Q47" s="960">
        <f t="shared" si="16"/>
        <v>0.89700000000000002</v>
      </c>
      <c r="R47" s="960">
        <f t="shared" si="16"/>
        <v>0.89700000000000002</v>
      </c>
      <c r="S47" s="960">
        <f t="shared" si="16"/>
        <v>0.89800000000000002</v>
      </c>
      <c r="T47" s="960">
        <f t="shared" si="16"/>
        <v>2.6760000000000002</v>
      </c>
      <c r="U47" s="959">
        <f t="shared" si="16"/>
        <v>5.3680000000000003</v>
      </c>
      <c r="V47" s="960">
        <f t="shared" si="16"/>
        <v>2.7040000000000002</v>
      </c>
      <c r="W47" s="960">
        <f t="shared" si="16"/>
        <v>2.617</v>
      </c>
      <c r="X47" s="960">
        <f t="shared" si="16"/>
        <v>2.5680000000000001</v>
      </c>
      <c r="Y47" s="960">
        <f t="shared" si="16"/>
        <v>2.5460000000000012</v>
      </c>
      <c r="Z47" s="959">
        <f t="shared" si="16"/>
        <v>10.435</v>
      </c>
      <c r="AA47" s="960">
        <f t="shared" si="16"/>
        <v>2.0470000000000002</v>
      </c>
      <c r="AB47" s="960">
        <f t="shared" si="16"/>
        <v>2.012</v>
      </c>
      <c r="AC47" s="960">
        <f t="shared" si="16"/>
        <v>1.956</v>
      </c>
      <c r="AD47" s="960">
        <f t="shared" si="16"/>
        <v>1.794999999999999</v>
      </c>
      <c r="AE47" s="959">
        <f t="shared" si="16"/>
        <v>7.81</v>
      </c>
      <c r="AF47" s="960">
        <f t="shared" si="16"/>
        <v>1.1679999999999999</v>
      </c>
      <c r="AG47" s="960">
        <f t="shared" si="16"/>
        <v>1.121</v>
      </c>
      <c r="AH47" s="960">
        <f t="shared" si="16"/>
        <v>1.028</v>
      </c>
      <c r="AI47" s="960">
        <f t="shared" si="16"/>
        <v>1.0270000000000006</v>
      </c>
      <c r="AJ47" s="959">
        <f t="shared" si="16"/>
        <v>4.3440000000000003</v>
      </c>
      <c r="AK47" s="960">
        <f t="shared" si="16"/>
        <v>0.86499999999999999</v>
      </c>
      <c r="AL47" s="960">
        <f t="shared" si="16"/>
        <v>0.86399999999999999</v>
      </c>
      <c r="AM47" s="961">
        <f t="shared" si="16"/>
        <v>0.96399999999999997</v>
      </c>
      <c r="AN47" s="962">
        <f t="shared" si="16"/>
        <v>0.9</v>
      </c>
      <c r="AO47" s="963">
        <f t="shared" si="16"/>
        <v>3.593</v>
      </c>
      <c r="AP47" s="962">
        <f t="shared" si="16"/>
        <v>0.9</v>
      </c>
      <c r="AQ47" s="962">
        <f t="shared" si="16"/>
        <v>0.9</v>
      </c>
      <c r="AR47" s="962">
        <f t="shared" si="16"/>
        <v>0.9</v>
      </c>
      <c r="AS47" s="962">
        <f t="shared" si="16"/>
        <v>0.9</v>
      </c>
      <c r="AT47" s="963">
        <f t="shared" si="16"/>
        <v>3.6</v>
      </c>
      <c r="AU47" s="963">
        <f t="shared" si="16"/>
        <v>3.6</v>
      </c>
      <c r="AV47" s="963">
        <f t="shared" si="16"/>
        <v>3.6</v>
      </c>
      <c r="AW47" s="963">
        <f t="shared" si="16"/>
        <v>3.6</v>
      </c>
      <c r="AX47" s="806"/>
    </row>
    <row r="48" spans="1:50" s="91" customFormat="1" x14ac:dyDescent="0.45">
      <c r="A48" s="256" t="str">
        <f>INDEX(MO_RIS_IE,0,COLUMN())</f>
        <v>Interest expense</v>
      </c>
      <c r="B48" s="257"/>
      <c r="C48" s="959">
        <f>IFERROR(INDEX(MO_RIS_IE_Net,0,COLUMN()),INDEX(MO_RIS_IE,0,COLUMN())+INDEX(MO_RIS_II,0,COLUMN()))</f>
        <v>-0.22600000000000001</v>
      </c>
      <c r="D48" s="959">
        <f>IFERROR(INDEX(MO_RIS_IE_Net,0,COLUMN()),INDEX(MO_RIS_IE,0,COLUMN())+INDEX(MO_RIS_II,0,COLUMN()))</f>
        <v>-0.26300000000000001</v>
      </c>
      <c r="E48" s="959">
        <f>IFERROR(INDEX(MO_RIS_IE_Net,0,COLUMN()),INDEX(MO_RIS_IE,0,COLUMN())+INDEX(MO_RIS_II,0,COLUMN()))</f>
        <v>-0.247</v>
      </c>
      <c r="F48" s="959">
        <f>IFERROR(INDEX(MO_RIS_IE_Net,0,COLUMN()),INDEX(MO_RIS_IE,0,COLUMN())+INDEX(MO_RIS_II,0,COLUMN()))</f>
        <v>0.107</v>
      </c>
      <c r="G48" s="960">
        <f>IFERROR(INDEX(MO_RIS_IE_Net,0,COLUMN()),INDEX(MO_RIS_IE,0,COLUMN())+INDEX(MO_RIS_II,0,COLUMN()))</f>
        <v>-3.1E-2</v>
      </c>
      <c r="H48" s="960">
        <f>IFERROR(INDEX(MO_RIS_IE_Net,0,COLUMN()),INDEX(MO_RIS_IE,0,COLUMN())+INDEX(MO_RIS_II,0,COLUMN()))</f>
        <v>0.20499999999999999</v>
      </c>
      <c r="I48" s="960">
        <f>IFERROR(INDEX(MO_RIS_IE_Net,0,COLUMN()),INDEX(MO_RIS_IE,0,COLUMN())+INDEX(MO_RIS_II,0,COLUMN()))</f>
        <v>-0.121</v>
      </c>
      <c r="J48" s="960">
        <f>IFERROR(INDEX(MO_RIS_IE_Net,0,COLUMN()),INDEX(MO_RIS_IE,0,COLUMN())+INDEX(MO_RIS_II,0,COLUMN()))</f>
        <v>-0.32200000000000001</v>
      </c>
      <c r="K48" s="959">
        <f>IFERROR(INDEX(MO_RIS_IE_Net,0,COLUMN()),INDEX(MO_RIS_IE,0,COLUMN())+INDEX(MO_RIS_II,0,COLUMN()))</f>
        <v>-0.26900000000000002</v>
      </c>
      <c r="L48" s="960">
        <f>IFERROR(INDEX(MO_RIS_IE_Net,0,COLUMN()),INDEX(MO_RIS_IE,0,COLUMN())+INDEX(MO_RIS_II,0,COLUMN()))</f>
        <v>-5.3999999999999999E-2</v>
      </c>
      <c r="M48" s="960">
        <f>IFERROR(INDEX(MO_RIS_IE_Net,0,COLUMN()),INDEX(MO_RIS_IE,0,COLUMN())+INDEX(MO_RIS_II,0,COLUMN()))</f>
        <v>-6.9000000000000006E-2</v>
      </c>
      <c r="N48" s="960">
        <f>IFERROR(INDEX(MO_RIS_IE_Net,0,COLUMN()),INDEX(MO_RIS_IE,0,COLUMN())+INDEX(MO_RIS_II,0,COLUMN()))</f>
        <v>8.2000000000000003E-2</v>
      </c>
      <c r="O48" s="960">
        <f>IFERROR(INDEX(MO_RIS_IE_Net,0,COLUMN()),INDEX(MO_RIS_IE,0,COLUMN())+INDEX(MO_RIS_II,0,COLUMN()))</f>
        <v>0.27100000000000002</v>
      </c>
      <c r="P48" s="959">
        <f>IFERROR(INDEX(MO_RIS_IE_Net,0,COLUMN()),INDEX(MO_RIS_IE,0,COLUMN())+INDEX(MO_RIS_II,0,COLUMN()))</f>
        <v>0.23000000000000004</v>
      </c>
      <c r="Q48" s="960">
        <f>IFERROR(INDEX(MO_RIS_IE_Net,0,COLUMN()),INDEX(MO_RIS_IE,0,COLUMN())+INDEX(MO_RIS_II,0,COLUMN()))</f>
        <v>-0.30199999999999999</v>
      </c>
      <c r="R48" s="960">
        <f>IFERROR(INDEX(MO_RIS_IE_Net,0,COLUMN()),INDEX(MO_RIS_IE,0,COLUMN())+INDEX(MO_RIS_II,0,COLUMN()))</f>
        <v>-4.0999999999999995E-2</v>
      </c>
      <c r="S48" s="960">
        <f>IFERROR(INDEX(MO_RIS_IE_Net,0,COLUMN()),INDEX(MO_RIS_IE,0,COLUMN())+INDEX(MO_RIS_II,0,COLUMN()))</f>
        <v>-4.9000000000000002E-2</v>
      </c>
      <c r="T48" s="960">
        <f>IFERROR(INDEX(MO_RIS_IE_Net,0,COLUMN()),INDEX(MO_RIS_IE,0,COLUMN())+INDEX(MO_RIS_II,0,COLUMN()))</f>
        <v>1.268</v>
      </c>
      <c r="U48" s="959">
        <f>IFERROR(INDEX(MO_RIS_IE_Net,0,COLUMN()),INDEX(MO_RIS_IE,0,COLUMN())+INDEX(MO_RIS_II,0,COLUMN()))</f>
        <v>0.87600000000000011</v>
      </c>
      <c r="V48" s="960">
        <f>IFERROR(INDEX(MO_RIS_IE_Net,0,COLUMN()),INDEX(MO_RIS_IE,0,COLUMN())+INDEX(MO_RIS_II,0,COLUMN()))</f>
        <v>1.0049999999999999</v>
      </c>
      <c r="W48" s="960">
        <f>IFERROR(INDEX(MO_RIS_IE_Net,0,COLUMN()),INDEX(MO_RIS_IE,0,COLUMN())+INDEX(MO_RIS_II,0,COLUMN()))</f>
        <v>0.80200000000000005</v>
      </c>
      <c r="X48" s="960">
        <f>IFERROR(INDEX(MO_RIS_IE_Net,0,COLUMN()),INDEX(MO_RIS_IE,0,COLUMN())+INDEX(MO_RIS_II,0,COLUMN()))</f>
        <v>0.629</v>
      </c>
      <c r="Y48" s="960">
        <f>IFERROR(INDEX(MO_RIS_IE_Net,0,COLUMN()),INDEX(MO_RIS_IE,0,COLUMN())+INDEX(MO_RIS_II,0,COLUMN()))</f>
        <v>0.70599999999999996</v>
      </c>
      <c r="Z48" s="959">
        <f>IFERROR(INDEX(MO_RIS_IE_Net,0,COLUMN()),INDEX(MO_RIS_IE,0,COLUMN())+INDEX(MO_RIS_II,0,COLUMN()))</f>
        <v>3.1420000000000003</v>
      </c>
      <c r="AA48" s="960">
        <f>IFERROR(INDEX(MO_RIS_IE_Net,0,COLUMN()),INDEX(MO_RIS_IE,0,COLUMN())+INDEX(MO_RIS_II,0,COLUMN()))</f>
        <v>0.66800000000000004</v>
      </c>
      <c r="AB48" s="960">
        <f>IFERROR(INDEX(MO_RIS_IE_Net,0,COLUMN()),INDEX(MO_RIS_IE,0,COLUMN())+INDEX(MO_RIS_II,0,COLUMN()))</f>
        <v>0.82799999999999996</v>
      </c>
      <c r="AC48" s="960">
        <f>IFERROR(INDEX(MO_RIS_IE_Net,0,COLUMN()),INDEX(MO_RIS_IE,0,COLUMN())+INDEX(MO_RIS_II,0,COLUMN()))</f>
        <v>0.71799999999999997</v>
      </c>
      <c r="AD48" s="960">
        <f>IFERROR(INDEX(MO_RIS_IE_Net,0,COLUMN()),INDEX(MO_RIS_IE,0,COLUMN())+INDEX(MO_RIS_II,0,COLUMN()))</f>
        <v>1.054</v>
      </c>
      <c r="AE48" s="959">
        <f>IFERROR(INDEX(MO_RIS_IE_Net,0,COLUMN()),INDEX(MO_RIS_IE,0,COLUMN())+INDEX(MO_RIS_II,0,COLUMN()))</f>
        <v>3.2679999999999998</v>
      </c>
      <c r="AF48" s="960">
        <f>IFERROR(INDEX(MO_RIS_IE_Net,0,COLUMN()),INDEX(MO_RIS_IE,0,COLUMN())+INDEX(MO_RIS_II,0,COLUMN()))</f>
        <v>0.70099999999999996</v>
      </c>
      <c r="AG48" s="960">
        <f>IFERROR(INDEX(MO_RIS_IE_Net,0,COLUMN()),INDEX(MO_RIS_IE,0,COLUMN())+INDEX(MO_RIS_II,0,COLUMN()))</f>
        <v>0.72899999999999998</v>
      </c>
      <c r="AH48" s="960">
        <f>IFERROR(INDEX(MO_RIS_IE_Net,0,COLUMN()),INDEX(MO_RIS_IE,0,COLUMN())+INDEX(MO_RIS_II,0,COLUMN()))</f>
        <v>0.67599999999999993</v>
      </c>
      <c r="AI48" s="960">
        <f>IFERROR(INDEX(MO_RIS_IE_Net,0,COLUMN()),INDEX(MO_RIS_IE,0,COLUMN())+INDEX(MO_RIS_II,0,COLUMN()))</f>
        <v>0.49199999999999999</v>
      </c>
      <c r="AJ48" s="959">
        <f>IFERROR(INDEX(MO_RIS_IE_Net,0,COLUMN()),INDEX(MO_RIS_IE,0,COLUMN())+INDEX(MO_RIS_II,0,COLUMN()))</f>
        <v>2.5979999999999999</v>
      </c>
      <c r="AK48" s="960">
        <f>IFERROR(INDEX(MO_RIS_IE_Net,0,COLUMN()),INDEX(MO_RIS_IE,0,COLUMN())+INDEX(MO_RIS_II,0,COLUMN()))</f>
        <v>0.39299999999999996</v>
      </c>
      <c r="AL48" s="960">
        <f>IFERROR(INDEX(MO_RIS_IE_Net,0,COLUMN()),INDEX(MO_RIS_IE,0,COLUMN())+INDEX(MO_RIS_II,0,COLUMN()))</f>
        <v>0.35100000000000003</v>
      </c>
      <c r="AM48" s="961">
        <f>IFERROR(INDEX(MO_RIS_IE_Net,0,COLUMN()),INDEX(MO_RIS_IE,0,COLUMN())+INDEX(MO_RIS_II,0,COLUMN()))</f>
        <v>0.40500000000000003</v>
      </c>
      <c r="AN48" s="962">
        <f>IFERROR(INDEX(MO_RIS_IE_Net,0,COLUMN()),INDEX(MO_RIS_IE,0,COLUMN())+INDEX(MO_RIS_II,0,COLUMN()))</f>
        <v>0.84476592896174862</v>
      </c>
      <c r="AO48" s="963">
        <f>IFERROR(INDEX(MO_RIS_IE_Net,0,COLUMN()),INDEX(MO_RIS_IE,0,COLUMN())+INDEX(MO_RIS_II,0,COLUMN()))</f>
        <v>1.9937659289617489</v>
      </c>
      <c r="AP48" s="962">
        <f ca="1">IFERROR(INDEX(MO_RIS_IE_Net,0,COLUMN()),INDEX(MO_RIS_IE,0,COLUMN())+INDEX(MO_RIS_II,0,COLUMN()))</f>
        <v>0.83986066314934116</v>
      </c>
      <c r="AQ48" s="962">
        <f ca="1">IFERROR(INDEX(MO_RIS_IE_Net,0,COLUMN()),INDEX(MO_RIS_IE,0,COLUMN())+INDEX(MO_RIS_II,0,COLUMN()))</f>
        <v>0.84016590266774838</v>
      </c>
      <c r="AR48" s="962">
        <f ca="1">IFERROR(INDEX(MO_RIS_IE_Net,0,COLUMN()),INDEX(MO_RIS_IE,0,COLUMN())+INDEX(MO_RIS_II,0,COLUMN()))</f>
        <v>0.82877918490246716</v>
      </c>
      <c r="AS48" s="962">
        <f ca="1">IFERROR(INDEX(MO_RIS_IE_Net,0,COLUMN()),INDEX(MO_RIS_IE,0,COLUMN())+INDEX(MO_RIS_II,0,COLUMN()))</f>
        <v>0.80074274835685222</v>
      </c>
      <c r="AT48" s="963">
        <f ca="1">IFERROR(INDEX(MO_RIS_IE_Net,0,COLUMN()),INDEX(MO_RIS_IE,0,COLUMN())+INDEX(MO_RIS_II,0,COLUMN()))</f>
        <v>3.309548499076409</v>
      </c>
      <c r="AU48" s="963">
        <f ca="1">IFERROR(INDEX(MO_RIS_IE_Net,0,COLUMN()),INDEX(MO_RIS_IE,0,COLUMN())+INDEX(MO_RIS_II,0,COLUMN()))</f>
        <v>3.2070347649378461</v>
      </c>
      <c r="AV48" s="963">
        <f ca="1">IFERROR(INDEX(MO_RIS_IE_Net,0,COLUMN()),INDEX(MO_RIS_IE,0,COLUMN())+INDEX(MO_RIS_II,0,COLUMN()))</f>
        <v>3.0365041875265488</v>
      </c>
      <c r="AW48" s="963">
        <f ca="1">IFERROR(INDEX(MO_RIS_IE_Net,0,COLUMN()),INDEX(MO_RIS_IE,0,COLUMN())+INDEX(MO_RIS_II,0,COLUMN()))</f>
        <v>2.8648386256465992</v>
      </c>
      <c r="AX48" s="806"/>
    </row>
    <row r="49" spans="1:50" s="91" customFormat="1" x14ac:dyDescent="0.45">
      <c r="A49" s="539" t="s">
        <v>278</v>
      </c>
      <c r="B49" s="540"/>
      <c r="C49" s="953">
        <f t="shared" ref="C49:AW49" si="17">INDEX(MO_RIS_OI,0,COLUMN())+INDEX(MO_RIS_OTI,0,COLUMN())+INDEX(MO_RIS_OI_Operating,0,COLUMN())+INDEX(MO_RIS_OTI_Operating,0,COLUMN())</f>
        <v>-0.26800000000000002</v>
      </c>
      <c r="D49" s="953">
        <f t="shared" si="17"/>
        <v>-6.0999999999999999E-2</v>
      </c>
      <c r="E49" s="953">
        <f t="shared" si="17"/>
        <v>0.13900000000000001</v>
      </c>
      <c r="F49" s="953">
        <f t="shared" si="17"/>
        <v>17.478999999999999</v>
      </c>
      <c r="G49" s="954">
        <f t="shared" si="17"/>
        <v>0.254</v>
      </c>
      <c r="H49" s="954">
        <f t="shared" si="17"/>
        <v>0.155</v>
      </c>
      <c r="I49" s="954">
        <f t="shared" si="17"/>
        <v>5.8550000000000004</v>
      </c>
      <c r="J49" s="954">
        <f t="shared" si="17"/>
        <v>-3.5000000000000003E-2</v>
      </c>
      <c r="K49" s="953">
        <f t="shared" si="17"/>
        <v>6.2290000000000001</v>
      </c>
      <c r="L49" s="954">
        <f t="shared" si="17"/>
        <v>-8.9999999999999993E-3</v>
      </c>
      <c r="M49" s="954">
        <f t="shared" si="17"/>
        <v>2.5999999999999999E-2</v>
      </c>
      <c r="N49" s="954">
        <f t="shared" si="17"/>
        <v>0</v>
      </c>
      <c r="O49" s="954">
        <f t="shared" si="17"/>
        <v>4.4999999999999998E-2</v>
      </c>
      <c r="P49" s="953">
        <f t="shared" si="17"/>
        <v>6.2E-2</v>
      </c>
      <c r="Q49" s="954">
        <f t="shared" si="17"/>
        <v>0.05</v>
      </c>
      <c r="R49" s="954">
        <f t="shared" si="17"/>
        <v>5.3999999999999999E-2</v>
      </c>
      <c r="S49" s="954">
        <f t="shared" si="17"/>
        <v>4.2999999999999997E-2</v>
      </c>
      <c r="T49" s="954">
        <f t="shared" si="17"/>
        <v>32.256999999999998</v>
      </c>
      <c r="U49" s="953">
        <f t="shared" si="17"/>
        <v>32.403999999999996</v>
      </c>
      <c r="V49" s="954">
        <f t="shared" si="17"/>
        <v>3.8400000000000003</v>
      </c>
      <c r="W49" s="954">
        <f t="shared" si="17"/>
        <v>0.75600000000000001</v>
      </c>
      <c r="X49" s="954">
        <f t="shared" si="17"/>
        <v>0.23500000000000001</v>
      </c>
      <c r="Y49" s="954">
        <f t="shared" si="17"/>
        <v>2.5089999999999999</v>
      </c>
      <c r="Z49" s="953">
        <f t="shared" si="17"/>
        <v>7.34</v>
      </c>
      <c r="AA49" s="954">
        <f t="shared" si="17"/>
        <v>2.1999999999999999E-2</v>
      </c>
      <c r="AB49" s="954">
        <f t="shared" si="17"/>
        <v>-1.4999999999999999E-2</v>
      </c>
      <c r="AC49" s="954">
        <f t="shared" si="17"/>
        <v>0.17100000000000001</v>
      </c>
      <c r="AD49" s="954">
        <f t="shared" si="17"/>
        <v>4.1530000000000005</v>
      </c>
      <c r="AE49" s="953">
        <f t="shared" si="17"/>
        <v>4.3310000000000004</v>
      </c>
      <c r="AF49" s="954">
        <f t="shared" si="17"/>
        <v>-0.374</v>
      </c>
      <c r="AG49" s="954">
        <f t="shared" si="17"/>
        <v>-0.23699999999999999</v>
      </c>
      <c r="AH49" s="954">
        <f t="shared" si="17"/>
        <v>0.22700000000000001</v>
      </c>
      <c r="AI49" s="954">
        <f t="shared" si="17"/>
        <v>0.75700000000000001</v>
      </c>
      <c r="AJ49" s="953">
        <f t="shared" si="17"/>
        <v>0.373</v>
      </c>
      <c r="AK49" s="954">
        <f t="shared" si="17"/>
        <v>2.3290000000000002</v>
      </c>
      <c r="AL49" s="954">
        <f t="shared" si="17"/>
        <v>1.8809999999999998</v>
      </c>
      <c r="AM49" s="955">
        <f t="shared" si="17"/>
        <v>2.3569999999999998</v>
      </c>
      <c r="AN49" s="954">
        <f t="shared" si="17"/>
        <v>0</v>
      </c>
      <c r="AO49" s="953">
        <f t="shared" si="17"/>
        <v>6.5669999999999993</v>
      </c>
      <c r="AP49" s="954">
        <f t="shared" si="17"/>
        <v>0</v>
      </c>
      <c r="AQ49" s="954">
        <f t="shared" si="17"/>
        <v>0</v>
      </c>
      <c r="AR49" s="954">
        <f t="shared" si="17"/>
        <v>0</v>
      </c>
      <c r="AS49" s="954">
        <f t="shared" si="17"/>
        <v>0</v>
      </c>
      <c r="AT49" s="953">
        <f t="shared" si="17"/>
        <v>0</v>
      </c>
      <c r="AU49" s="953">
        <f t="shared" si="17"/>
        <v>0</v>
      </c>
      <c r="AV49" s="953">
        <f t="shared" si="17"/>
        <v>0</v>
      </c>
      <c r="AW49" s="953">
        <f t="shared" si="17"/>
        <v>0</v>
      </c>
      <c r="AX49" s="806"/>
    </row>
    <row r="50" spans="1:50" s="93" customFormat="1" x14ac:dyDescent="0.45">
      <c r="A50" s="258" t="str">
        <f>INDEX(MO_RIS_EBT,0,COLUMN())</f>
        <v>EBT</v>
      </c>
      <c r="B50" s="259"/>
      <c r="C50" s="956">
        <f t="shared" ref="C50:AW50" si="18">INDEX(SP_GF_EBITDA,0,COLUMN())-INDEX(SP_GF_SBC,0,COLUMN())-INDEX(SP_GF_DA,0,COLUMN())-INDEX(SP_GF_IE,0,COLUMN())-INDEX(SP_GF_OI,0,COLUMN())-INDEX(MO_RIS_DAintangibles_operating,0,COLUMN())</f>
        <v>76.218000000000018</v>
      </c>
      <c r="D50" s="956">
        <f t="shared" si="18"/>
        <v>94.415999999999997</v>
      </c>
      <c r="E50" s="956">
        <f t="shared" si="18"/>
        <v>116.30700000000002</v>
      </c>
      <c r="F50" s="956">
        <f t="shared" si="18"/>
        <v>68.913999999999959</v>
      </c>
      <c r="G50" s="957">
        <f t="shared" si="18"/>
        <v>19.329999999999988</v>
      </c>
      <c r="H50" s="957">
        <f t="shared" si="18"/>
        <v>15.585999999999997</v>
      </c>
      <c r="I50" s="957">
        <f t="shared" si="18"/>
        <v>-19.193000000000005</v>
      </c>
      <c r="J50" s="957">
        <f t="shared" si="18"/>
        <v>7.2780000000000058</v>
      </c>
      <c r="K50" s="956">
        <f t="shared" si="18"/>
        <v>23.001000000000005</v>
      </c>
      <c r="L50" s="957">
        <f t="shared" si="18"/>
        <v>7.8180000000000076</v>
      </c>
      <c r="M50" s="957">
        <f t="shared" si="18"/>
        <v>7.3019999999999881</v>
      </c>
      <c r="N50" s="957">
        <f t="shared" si="18"/>
        <v>8.1280000000000019</v>
      </c>
      <c r="O50" s="957">
        <f t="shared" si="18"/>
        <v>12.415999999999995</v>
      </c>
      <c r="P50" s="956">
        <f t="shared" si="18"/>
        <v>35.66399999999998</v>
      </c>
      <c r="Q50" s="957">
        <f t="shared" si="18"/>
        <v>9.2860000000000102</v>
      </c>
      <c r="R50" s="957">
        <f t="shared" si="18"/>
        <v>12.483999999999995</v>
      </c>
      <c r="S50" s="957">
        <f t="shared" si="18"/>
        <v>8.4420000000000144</v>
      </c>
      <c r="T50" s="957">
        <f t="shared" si="18"/>
        <v>-23.892999999999986</v>
      </c>
      <c r="U50" s="956">
        <f t="shared" si="18"/>
        <v>6.3190000000000044</v>
      </c>
      <c r="V50" s="957">
        <f t="shared" si="18"/>
        <v>-0.96400000000000485</v>
      </c>
      <c r="W50" s="957">
        <f t="shared" si="18"/>
        <v>5.9119999999999875</v>
      </c>
      <c r="X50" s="957">
        <f t="shared" si="18"/>
        <v>12.827999999999996</v>
      </c>
      <c r="Y50" s="957">
        <f t="shared" si="18"/>
        <v>5.832999999999986</v>
      </c>
      <c r="Z50" s="956">
        <f t="shared" si="18"/>
        <v>23.609000000000066</v>
      </c>
      <c r="AA50" s="957">
        <f t="shared" si="18"/>
        <v>6.0500000000000007</v>
      </c>
      <c r="AB50" s="957">
        <f t="shared" si="18"/>
        <v>10.522999999999996</v>
      </c>
      <c r="AC50" s="957">
        <f t="shared" si="18"/>
        <v>3.0280000000000045</v>
      </c>
      <c r="AD50" s="957">
        <f t="shared" si="18"/>
        <v>-20.010999999999985</v>
      </c>
      <c r="AE50" s="956">
        <f t="shared" si="18"/>
        <v>-0.410000000000041</v>
      </c>
      <c r="AF50" s="957">
        <f t="shared" si="18"/>
        <v>3.0900000000000185</v>
      </c>
      <c r="AG50" s="957">
        <f t="shared" si="18"/>
        <v>14.990000000000004</v>
      </c>
      <c r="AH50" s="957">
        <f t="shared" si="18"/>
        <v>5.2789999999999875</v>
      </c>
      <c r="AI50" s="957">
        <f t="shared" si="18"/>
        <v>5.9289999999999985</v>
      </c>
      <c r="AJ50" s="956">
        <f t="shared" si="18"/>
        <v>29.288000000000032</v>
      </c>
      <c r="AK50" s="957">
        <f t="shared" si="18"/>
        <v>0.86399999999998278</v>
      </c>
      <c r="AL50" s="957">
        <f t="shared" si="18"/>
        <v>6.5909999999999949</v>
      </c>
      <c r="AM50" s="958">
        <f t="shared" si="18"/>
        <v>3.0120000000000209</v>
      </c>
      <c r="AN50" s="957">
        <f t="shared" si="18"/>
        <v>5.7532009710382734</v>
      </c>
      <c r="AO50" s="956">
        <f t="shared" si="18"/>
        <v>16.220200971038242</v>
      </c>
      <c r="AP50" s="957">
        <f t="shared" ca="1" si="18"/>
        <v>3.2336237568506765</v>
      </c>
      <c r="AQ50" s="957">
        <f t="shared" ca="1" si="18"/>
        <v>7.3503188773322616</v>
      </c>
      <c r="AR50" s="957">
        <f t="shared" ca="1" si="18"/>
        <v>7.2751731750975601</v>
      </c>
      <c r="AS50" s="957">
        <f t="shared" ca="1" si="18"/>
        <v>6.1378798134431483</v>
      </c>
      <c r="AT50" s="956">
        <f t="shared" ca="1" si="18"/>
        <v>23.996995622723684</v>
      </c>
      <c r="AU50" s="956">
        <f t="shared" ca="1" si="18"/>
        <v>29.136378826006556</v>
      </c>
      <c r="AV50" s="956">
        <f t="shared" ca="1" si="18"/>
        <v>32.165367965035394</v>
      </c>
      <c r="AW50" s="956">
        <f t="shared" ca="1" si="18"/>
        <v>35.968758474315585</v>
      </c>
      <c r="AX50" s="807"/>
    </row>
    <row r="51" spans="1:50" s="91" customFormat="1" x14ac:dyDescent="0.45">
      <c r="A51" s="256" t="s">
        <v>279</v>
      </c>
      <c r="B51" s="257"/>
      <c r="C51" s="959">
        <f t="shared" ref="C51:AW51" si="19">INDEX(MO_RIS_Tax_Current,0,COLUMN())+INDEX(MO_RIS_Tax_Deferred,0,COLUMN())</f>
        <v>27.838999999999999</v>
      </c>
      <c r="D51" s="959">
        <f t="shared" si="19"/>
        <v>32.81</v>
      </c>
      <c r="E51" s="959">
        <f t="shared" si="19"/>
        <v>40.65</v>
      </c>
      <c r="F51" s="959">
        <f t="shared" si="19"/>
        <v>26.190000000000005</v>
      </c>
      <c r="G51" s="960">
        <f t="shared" si="19"/>
        <v>6.3849999999999998</v>
      </c>
      <c r="H51" s="960">
        <f t="shared" si="19"/>
        <v>5.4649999999999999</v>
      </c>
      <c r="I51" s="960">
        <f t="shared" si="19"/>
        <v>-6.6059999999999999</v>
      </c>
      <c r="J51" s="960">
        <f t="shared" si="19"/>
        <v>2.077</v>
      </c>
      <c r="K51" s="959">
        <f t="shared" si="19"/>
        <v>7.3209999999999997</v>
      </c>
      <c r="L51" s="960">
        <f t="shared" si="19"/>
        <v>2.6549999999999998</v>
      </c>
      <c r="M51" s="960">
        <f t="shared" si="19"/>
        <v>2.552</v>
      </c>
      <c r="N51" s="960">
        <f t="shared" si="19"/>
        <v>1.452</v>
      </c>
      <c r="O51" s="960">
        <f t="shared" si="19"/>
        <v>1.673</v>
      </c>
      <c r="P51" s="959">
        <f t="shared" si="19"/>
        <v>8.3320000000000007</v>
      </c>
      <c r="Q51" s="960">
        <f t="shared" si="19"/>
        <v>2.9239999999999999</v>
      </c>
      <c r="R51" s="960">
        <f t="shared" si="19"/>
        <v>4.1680000000000001</v>
      </c>
      <c r="S51" s="960">
        <f t="shared" si="19"/>
        <v>1.141</v>
      </c>
      <c r="T51" s="960">
        <f t="shared" si="19"/>
        <v>-7.5700000000000021</v>
      </c>
      <c r="U51" s="959">
        <f t="shared" si="19"/>
        <v>0.66300000000000026</v>
      </c>
      <c r="V51" s="960">
        <f t="shared" si="19"/>
        <v>-0.317</v>
      </c>
      <c r="W51" s="960">
        <f t="shared" si="19"/>
        <v>1.925</v>
      </c>
      <c r="X51" s="960">
        <f t="shared" si="19"/>
        <v>2.3420000000000001</v>
      </c>
      <c r="Y51" s="960">
        <f t="shared" si="19"/>
        <v>1.4179999999999997</v>
      </c>
      <c r="Z51" s="959">
        <f t="shared" si="19"/>
        <v>5.3680000000000003</v>
      </c>
      <c r="AA51" s="960">
        <f t="shared" si="19"/>
        <v>2.1539999999999999</v>
      </c>
      <c r="AB51" s="960">
        <f t="shared" si="19"/>
        <v>2.4929999999999999</v>
      </c>
      <c r="AC51" s="960">
        <f t="shared" si="19"/>
        <v>1.4870000000000001</v>
      </c>
      <c r="AD51" s="960">
        <f t="shared" si="19"/>
        <v>-8.9640000000000004</v>
      </c>
      <c r="AE51" s="959">
        <f t="shared" si="19"/>
        <v>-2.83</v>
      </c>
      <c r="AF51" s="960">
        <f t="shared" si="19"/>
        <v>0.44199999999999995</v>
      </c>
      <c r="AG51" s="960">
        <f t="shared" si="19"/>
        <v>1.8959999999999999</v>
      </c>
      <c r="AH51" s="960">
        <f t="shared" si="19"/>
        <v>0.45599999999999996</v>
      </c>
      <c r="AI51" s="960">
        <f t="shared" si="19"/>
        <v>2</v>
      </c>
      <c r="AJ51" s="959">
        <f t="shared" si="19"/>
        <v>4.7939999999999996</v>
      </c>
      <c r="AK51" s="960">
        <f t="shared" si="19"/>
        <v>-0.38</v>
      </c>
      <c r="AL51" s="960">
        <f t="shared" si="19"/>
        <v>0.50900000000000001</v>
      </c>
      <c r="AM51" s="961">
        <f t="shared" si="19"/>
        <v>-1.403</v>
      </c>
      <c r="AN51" s="962">
        <f t="shared" si="19"/>
        <v>1.2081722039180378</v>
      </c>
      <c r="AO51" s="963">
        <f t="shared" si="19"/>
        <v>-6.5827796081962237E-2</v>
      </c>
      <c r="AP51" s="962">
        <f t="shared" ca="1" si="19"/>
        <v>0.67906098893864275</v>
      </c>
      <c r="AQ51" s="962">
        <f t="shared" ca="1" si="19"/>
        <v>1.5435669642397754</v>
      </c>
      <c r="AR51" s="962">
        <f t="shared" ca="1" si="19"/>
        <v>1.5277863667704878</v>
      </c>
      <c r="AS51" s="962">
        <f t="shared" ca="1" si="19"/>
        <v>1.2889547608230614</v>
      </c>
      <c r="AT51" s="963">
        <f t="shared" ca="1" si="19"/>
        <v>5.0393690807719675</v>
      </c>
      <c r="AU51" s="963">
        <f t="shared" ca="1" si="19"/>
        <v>6.118639553461378</v>
      </c>
      <c r="AV51" s="963">
        <f t="shared" ca="1" si="19"/>
        <v>6.7547272726574343</v>
      </c>
      <c r="AW51" s="963">
        <f t="shared" ca="1" si="19"/>
        <v>7.5534392796062741</v>
      </c>
      <c r="AX51" s="806"/>
    </row>
    <row r="52" spans="1:50" s="91" customFormat="1" x14ac:dyDescent="0.45">
      <c r="A52" s="256" t="str">
        <f>INDEX(MO_RIS_DisCont,0,COLUMN())</f>
        <v>Discontinued Operations</v>
      </c>
      <c r="B52" s="257"/>
      <c r="C52" s="959">
        <f t="shared" ref="C52:AW52" si="20">INDEX(MO_RIS_DisCont,0,COLUMN())</f>
        <v>0</v>
      </c>
      <c r="D52" s="959">
        <f t="shared" si="20"/>
        <v>0</v>
      </c>
      <c r="E52" s="959">
        <f t="shared" si="20"/>
        <v>0</v>
      </c>
      <c r="F52" s="959">
        <f t="shared" si="20"/>
        <v>0</v>
      </c>
      <c r="G52" s="960">
        <f t="shared" si="20"/>
        <v>0</v>
      </c>
      <c r="H52" s="960">
        <f t="shared" si="20"/>
        <v>0</v>
      </c>
      <c r="I52" s="960">
        <f t="shared" si="20"/>
        <v>0</v>
      </c>
      <c r="J52" s="960">
        <f t="shared" si="20"/>
        <v>0</v>
      </c>
      <c r="K52" s="959">
        <f t="shared" si="20"/>
        <v>0</v>
      </c>
      <c r="L52" s="960">
        <f t="shared" si="20"/>
        <v>0</v>
      </c>
      <c r="M52" s="960">
        <f t="shared" si="20"/>
        <v>0</v>
      </c>
      <c r="N52" s="960">
        <f t="shared" si="20"/>
        <v>0</v>
      </c>
      <c r="O52" s="960">
        <f t="shared" si="20"/>
        <v>0</v>
      </c>
      <c r="P52" s="959">
        <f t="shared" si="20"/>
        <v>0</v>
      </c>
      <c r="Q52" s="960">
        <f t="shared" si="20"/>
        <v>0</v>
      </c>
      <c r="R52" s="960">
        <f t="shared" si="20"/>
        <v>0</v>
      </c>
      <c r="S52" s="960">
        <f t="shared" si="20"/>
        <v>0</v>
      </c>
      <c r="T52" s="960">
        <f t="shared" si="20"/>
        <v>0</v>
      </c>
      <c r="U52" s="959">
        <f t="shared" si="20"/>
        <v>0</v>
      </c>
      <c r="V52" s="960">
        <f t="shared" si="20"/>
        <v>0</v>
      </c>
      <c r="W52" s="960">
        <f t="shared" si="20"/>
        <v>0</v>
      </c>
      <c r="X52" s="960">
        <f t="shared" si="20"/>
        <v>0</v>
      </c>
      <c r="Y52" s="960">
        <f t="shared" si="20"/>
        <v>0</v>
      </c>
      <c r="Z52" s="959">
        <f t="shared" si="20"/>
        <v>0</v>
      </c>
      <c r="AA52" s="960">
        <f t="shared" si="20"/>
        <v>0</v>
      </c>
      <c r="AB52" s="960">
        <f t="shared" si="20"/>
        <v>0</v>
      </c>
      <c r="AC52" s="960">
        <f t="shared" si="20"/>
        <v>0</v>
      </c>
      <c r="AD52" s="960">
        <f t="shared" si="20"/>
        <v>0</v>
      </c>
      <c r="AE52" s="959">
        <f t="shared" si="20"/>
        <v>0</v>
      </c>
      <c r="AF52" s="960">
        <f t="shared" si="20"/>
        <v>0</v>
      </c>
      <c r="AG52" s="960">
        <f t="shared" si="20"/>
        <v>0</v>
      </c>
      <c r="AH52" s="960">
        <f t="shared" si="20"/>
        <v>0</v>
      </c>
      <c r="AI52" s="960">
        <f t="shared" si="20"/>
        <v>0</v>
      </c>
      <c r="AJ52" s="959">
        <f t="shared" si="20"/>
        <v>0</v>
      </c>
      <c r="AK52" s="960">
        <f t="shared" si="20"/>
        <v>0</v>
      </c>
      <c r="AL52" s="960">
        <f t="shared" si="20"/>
        <v>0</v>
      </c>
      <c r="AM52" s="961">
        <f t="shared" si="20"/>
        <v>0</v>
      </c>
      <c r="AN52" s="962">
        <f t="shared" si="20"/>
        <v>0</v>
      </c>
      <c r="AO52" s="963">
        <f t="shared" si="20"/>
        <v>0</v>
      </c>
      <c r="AP52" s="962">
        <f t="shared" si="20"/>
        <v>0</v>
      </c>
      <c r="AQ52" s="962">
        <f t="shared" si="20"/>
        <v>0</v>
      </c>
      <c r="AR52" s="962">
        <f t="shared" si="20"/>
        <v>0</v>
      </c>
      <c r="AS52" s="962">
        <f t="shared" si="20"/>
        <v>0</v>
      </c>
      <c r="AT52" s="963">
        <f t="shared" si="20"/>
        <v>0</v>
      </c>
      <c r="AU52" s="963">
        <f t="shared" si="20"/>
        <v>0</v>
      </c>
      <c r="AV52" s="963">
        <f t="shared" si="20"/>
        <v>0</v>
      </c>
      <c r="AW52" s="963">
        <f t="shared" si="20"/>
        <v>0</v>
      </c>
      <c r="AX52" s="806"/>
    </row>
    <row r="53" spans="1:50" s="91" customFormat="1" x14ac:dyDescent="0.45">
      <c r="A53" s="256" t="str">
        <f>INDEX(MO_RIS_NCI,0,COLUMN())</f>
        <v>Net Income to NCI</v>
      </c>
      <c r="B53" s="257"/>
      <c r="C53" s="959">
        <f t="shared" ref="C53:AW53" si="21">INDEX(MO_RIS_NCI,0,COLUMN())</f>
        <v>0</v>
      </c>
      <c r="D53" s="959">
        <f t="shared" si="21"/>
        <v>0</v>
      </c>
      <c r="E53" s="959">
        <f t="shared" si="21"/>
        <v>0</v>
      </c>
      <c r="F53" s="959">
        <f t="shared" si="21"/>
        <v>0</v>
      </c>
      <c r="G53" s="960">
        <f t="shared" si="21"/>
        <v>0</v>
      </c>
      <c r="H53" s="960">
        <f t="shared" si="21"/>
        <v>0</v>
      </c>
      <c r="I53" s="960">
        <f t="shared" si="21"/>
        <v>0</v>
      </c>
      <c r="J53" s="960">
        <f t="shared" si="21"/>
        <v>0</v>
      </c>
      <c r="K53" s="959">
        <f t="shared" si="21"/>
        <v>0</v>
      </c>
      <c r="L53" s="960">
        <f t="shared" si="21"/>
        <v>0</v>
      </c>
      <c r="M53" s="960">
        <f t="shared" si="21"/>
        <v>0</v>
      </c>
      <c r="N53" s="960">
        <f t="shared" si="21"/>
        <v>0</v>
      </c>
      <c r="O53" s="960">
        <f t="shared" si="21"/>
        <v>0</v>
      </c>
      <c r="P53" s="959">
        <f t="shared" si="21"/>
        <v>0</v>
      </c>
      <c r="Q53" s="960">
        <f t="shared" si="21"/>
        <v>0</v>
      </c>
      <c r="R53" s="960">
        <f t="shared" si="21"/>
        <v>0</v>
      </c>
      <c r="S53" s="960">
        <f t="shared" si="21"/>
        <v>0</v>
      </c>
      <c r="T53" s="960">
        <f t="shared" si="21"/>
        <v>0</v>
      </c>
      <c r="U53" s="959">
        <f t="shared" si="21"/>
        <v>0</v>
      </c>
      <c r="V53" s="960">
        <f t="shared" si="21"/>
        <v>0</v>
      </c>
      <c r="W53" s="960">
        <f t="shared" si="21"/>
        <v>0</v>
      </c>
      <c r="X53" s="960">
        <f t="shared" si="21"/>
        <v>0</v>
      </c>
      <c r="Y53" s="960">
        <f t="shared" si="21"/>
        <v>0</v>
      </c>
      <c r="Z53" s="959">
        <f t="shared" si="21"/>
        <v>0</v>
      </c>
      <c r="AA53" s="960">
        <f t="shared" si="21"/>
        <v>0</v>
      </c>
      <c r="AB53" s="960">
        <f t="shared" si="21"/>
        <v>0</v>
      </c>
      <c r="AC53" s="960">
        <f t="shared" si="21"/>
        <v>0</v>
      </c>
      <c r="AD53" s="960">
        <f t="shared" si="21"/>
        <v>0</v>
      </c>
      <c r="AE53" s="959">
        <f t="shared" si="21"/>
        <v>0</v>
      </c>
      <c r="AF53" s="960">
        <f t="shared" si="21"/>
        <v>0</v>
      </c>
      <c r="AG53" s="960">
        <f t="shared" si="21"/>
        <v>0</v>
      </c>
      <c r="AH53" s="960">
        <f t="shared" si="21"/>
        <v>0</v>
      </c>
      <c r="AI53" s="960">
        <f t="shared" si="21"/>
        <v>0</v>
      </c>
      <c r="AJ53" s="959">
        <f t="shared" si="21"/>
        <v>0</v>
      </c>
      <c r="AK53" s="960">
        <f t="shared" si="21"/>
        <v>0</v>
      </c>
      <c r="AL53" s="960">
        <f t="shared" si="21"/>
        <v>0</v>
      </c>
      <c r="AM53" s="961">
        <f t="shared" si="21"/>
        <v>0</v>
      </c>
      <c r="AN53" s="962">
        <f t="shared" si="21"/>
        <v>0</v>
      </c>
      <c r="AO53" s="963">
        <f t="shared" si="21"/>
        <v>0</v>
      </c>
      <c r="AP53" s="962">
        <f t="shared" si="21"/>
        <v>0</v>
      </c>
      <c r="AQ53" s="962">
        <f t="shared" si="21"/>
        <v>0</v>
      </c>
      <c r="AR53" s="962">
        <f t="shared" si="21"/>
        <v>0</v>
      </c>
      <c r="AS53" s="962">
        <f t="shared" si="21"/>
        <v>0</v>
      </c>
      <c r="AT53" s="963">
        <f t="shared" si="21"/>
        <v>0</v>
      </c>
      <c r="AU53" s="963">
        <f t="shared" si="21"/>
        <v>0</v>
      </c>
      <c r="AV53" s="963">
        <f t="shared" si="21"/>
        <v>0</v>
      </c>
      <c r="AW53" s="963">
        <f t="shared" si="21"/>
        <v>0</v>
      </c>
      <c r="AX53" s="806"/>
    </row>
    <row r="54" spans="1:50" s="91" customFormat="1" x14ac:dyDescent="0.45">
      <c r="A54" s="539" t="str">
        <f>INDEX(MO_RIS_Dividend_Prefs,0,COLUMN())</f>
        <v>Earnings to Preferred and Other Securities</v>
      </c>
      <c r="B54" s="540"/>
      <c r="C54" s="953">
        <f t="shared" ref="C54:AW54" si="22">INDEX(MO_RIS_Dividend_Prefs,0,COLUMN())</f>
        <v>0</v>
      </c>
      <c r="D54" s="953">
        <f t="shared" si="22"/>
        <v>0</v>
      </c>
      <c r="E54" s="953">
        <f t="shared" si="22"/>
        <v>0</v>
      </c>
      <c r="F54" s="953">
        <f t="shared" si="22"/>
        <v>0</v>
      </c>
      <c r="G54" s="954">
        <f t="shared" si="22"/>
        <v>0</v>
      </c>
      <c r="H54" s="954">
        <f t="shared" si="22"/>
        <v>0</v>
      </c>
      <c r="I54" s="954">
        <f t="shared" si="22"/>
        <v>0</v>
      </c>
      <c r="J54" s="954">
        <f t="shared" si="22"/>
        <v>0</v>
      </c>
      <c r="K54" s="953">
        <f t="shared" si="22"/>
        <v>0</v>
      </c>
      <c r="L54" s="954">
        <f t="shared" si="22"/>
        <v>0</v>
      </c>
      <c r="M54" s="954">
        <f t="shared" si="22"/>
        <v>0</v>
      </c>
      <c r="N54" s="954">
        <f t="shared" si="22"/>
        <v>0</v>
      </c>
      <c r="O54" s="954">
        <f t="shared" si="22"/>
        <v>0</v>
      </c>
      <c r="P54" s="953">
        <f t="shared" si="22"/>
        <v>0</v>
      </c>
      <c r="Q54" s="954">
        <f t="shared" si="22"/>
        <v>0</v>
      </c>
      <c r="R54" s="954">
        <f t="shared" si="22"/>
        <v>0</v>
      </c>
      <c r="S54" s="954">
        <f t="shared" si="22"/>
        <v>0</v>
      </c>
      <c r="T54" s="954">
        <f t="shared" si="22"/>
        <v>0</v>
      </c>
      <c r="U54" s="953">
        <f t="shared" si="22"/>
        <v>0</v>
      </c>
      <c r="V54" s="954">
        <f t="shared" si="22"/>
        <v>0</v>
      </c>
      <c r="W54" s="954">
        <f t="shared" si="22"/>
        <v>0</v>
      </c>
      <c r="X54" s="954">
        <f t="shared" si="22"/>
        <v>0</v>
      </c>
      <c r="Y54" s="954">
        <f t="shared" si="22"/>
        <v>0</v>
      </c>
      <c r="Z54" s="953">
        <f t="shared" si="22"/>
        <v>0</v>
      </c>
      <c r="AA54" s="954">
        <f t="shared" si="22"/>
        <v>0</v>
      </c>
      <c r="AB54" s="954">
        <f t="shared" si="22"/>
        <v>0</v>
      </c>
      <c r="AC54" s="954">
        <f t="shared" si="22"/>
        <v>0</v>
      </c>
      <c r="AD54" s="954">
        <f t="shared" si="22"/>
        <v>0</v>
      </c>
      <c r="AE54" s="953">
        <f t="shared" si="22"/>
        <v>0</v>
      </c>
      <c r="AF54" s="954">
        <f t="shared" si="22"/>
        <v>0</v>
      </c>
      <c r="AG54" s="954">
        <f t="shared" si="22"/>
        <v>0</v>
      </c>
      <c r="AH54" s="954">
        <f t="shared" si="22"/>
        <v>0</v>
      </c>
      <c r="AI54" s="954">
        <f t="shared" si="22"/>
        <v>0</v>
      </c>
      <c r="AJ54" s="953">
        <f t="shared" si="22"/>
        <v>0</v>
      </c>
      <c r="AK54" s="954">
        <f t="shared" si="22"/>
        <v>0</v>
      </c>
      <c r="AL54" s="954">
        <f t="shared" si="22"/>
        <v>0</v>
      </c>
      <c r="AM54" s="955">
        <f t="shared" si="22"/>
        <v>0</v>
      </c>
      <c r="AN54" s="954">
        <f t="shared" si="22"/>
        <v>0</v>
      </c>
      <c r="AO54" s="953">
        <f t="shared" si="22"/>
        <v>0</v>
      </c>
      <c r="AP54" s="954">
        <f t="shared" si="22"/>
        <v>0</v>
      </c>
      <c r="AQ54" s="954">
        <f t="shared" si="22"/>
        <v>0</v>
      </c>
      <c r="AR54" s="954">
        <f t="shared" si="22"/>
        <v>0</v>
      </c>
      <c r="AS54" s="954">
        <f t="shared" si="22"/>
        <v>0</v>
      </c>
      <c r="AT54" s="953">
        <f t="shared" si="22"/>
        <v>0</v>
      </c>
      <c r="AU54" s="953">
        <f t="shared" si="22"/>
        <v>0</v>
      </c>
      <c r="AV54" s="953">
        <f t="shared" si="22"/>
        <v>0</v>
      </c>
      <c r="AW54" s="953">
        <f t="shared" si="22"/>
        <v>0</v>
      </c>
      <c r="AX54" s="806"/>
    </row>
    <row r="55" spans="1:50" s="93" customFormat="1" x14ac:dyDescent="0.45">
      <c r="A55" s="258" t="str">
        <f>INDEX(MO_RIS_NI_ContinOp,0,COLUMN())</f>
        <v>Net Income from Continued Operation</v>
      </c>
      <c r="B55" s="259"/>
      <c r="C55" s="956">
        <f t="shared" ref="C55:AW55" si="23">INDEX(SP_GF_EBT,0,COLUMN())-INDEX(SP_GF_Tax,0,COLUMN())-INDEX(SP_GF_DisCont,0,COLUMN())-INDEX(SP_GF_NCI,0,COLUMN())-INDEX(SP_GF_Div_Prefs,0,COLUMN())</f>
        <v>48.379000000000019</v>
      </c>
      <c r="D55" s="956">
        <f t="shared" si="23"/>
        <v>61.605999999999995</v>
      </c>
      <c r="E55" s="956">
        <f t="shared" si="23"/>
        <v>75.657000000000011</v>
      </c>
      <c r="F55" s="956">
        <f t="shared" si="23"/>
        <v>42.723999999999954</v>
      </c>
      <c r="G55" s="957">
        <f t="shared" si="23"/>
        <v>12.944999999999988</v>
      </c>
      <c r="H55" s="957">
        <f t="shared" si="23"/>
        <v>10.120999999999997</v>
      </c>
      <c r="I55" s="957">
        <f t="shared" si="23"/>
        <v>-12.587000000000005</v>
      </c>
      <c r="J55" s="957">
        <f t="shared" si="23"/>
        <v>5.2010000000000058</v>
      </c>
      <c r="K55" s="956">
        <f t="shared" si="23"/>
        <v>15.680000000000005</v>
      </c>
      <c r="L55" s="957">
        <f t="shared" si="23"/>
        <v>5.1630000000000074</v>
      </c>
      <c r="M55" s="957">
        <f t="shared" si="23"/>
        <v>4.7499999999999876</v>
      </c>
      <c r="N55" s="957">
        <f t="shared" si="23"/>
        <v>6.6760000000000019</v>
      </c>
      <c r="O55" s="957">
        <f t="shared" si="23"/>
        <v>10.742999999999995</v>
      </c>
      <c r="P55" s="956">
        <f t="shared" si="23"/>
        <v>27.331999999999979</v>
      </c>
      <c r="Q55" s="957">
        <f t="shared" si="23"/>
        <v>6.3620000000000108</v>
      </c>
      <c r="R55" s="957">
        <f t="shared" si="23"/>
        <v>8.3159999999999954</v>
      </c>
      <c r="S55" s="957">
        <f t="shared" si="23"/>
        <v>7.3010000000000144</v>
      </c>
      <c r="T55" s="957">
        <f t="shared" si="23"/>
        <v>-16.322999999999986</v>
      </c>
      <c r="U55" s="956">
        <f t="shared" si="23"/>
        <v>5.6560000000000041</v>
      </c>
      <c r="V55" s="957">
        <f t="shared" si="23"/>
        <v>-0.6470000000000049</v>
      </c>
      <c r="W55" s="957">
        <f t="shared" si="23"/>
        <v>3.9869999999999877</v>
      </c>
      <c r="X55" s="957">
        <f t="shared" si="23"/>
        <v>10.485999999999995</v>
      </c>
      <c r="Y55" s="957">
        <f t="shared" si="23"/>
        <v>4.4149999999999867</v>
      </c>
      <c r="Z55" s="956">
        <f t="shared" si="23"/>
        <v>18.241000000000064</v>
      </c>
      <c r="AA55" s="957">
        <f t="shared" si="23"/>
        <v>3.8960000000000008</v>
      </c>
      <c r="AB55" s="957">
        <f t="shared" si="23"/>
        <v>8.0299999999999958</v>
      </c>
      <c r="AC55" s="957">
        <f t="shared" si="23"/>
        <v>1.5410000000000044</v>
      </c>
      <c r="AD55" s="957">
        <f t="shared" si="23"/>
        <v>-11.046999999999985</v>
      </c>
      <c r="AE55" s="956">
        <f t="shared" si="23"/>
        <v>2.4199999999999591</v>
      </c>
      <c r="AF55" s="957">
        <f t="shared" si="23"/>
        <v>2.6480000000000183</v>
      </c>
      <c r="AG55" s="957">
        <f t="shared" si="23"/>
        <v>13.094000000000005</v>
      </c>
      <c r="AH55" s="957">
        <f t="shared" si="23"/>
        <v>4.822999999999988</v>
      </c>
      <c r="AI55" s="957">
        <f t="shared" si="23"/>
        <v>3.9289999999999985</v>
      </c>
      <c r="AJ55" s="956">
        <f t="shared" si="23"/>
        <v>24.494000000000032</v>
      </c>
      <c r="AK55" s="957">
        <f t="shared" si="23"/>
        <v>1.2439999999999829</v>
      </c>
      <c r="AL55" s="957">
        <f t="shared" si="23"/>
        <v>6.0819999999999945</v>
      </c>
      <c r="AM55" s="958">
        <f t="shared" si="23"/>
        <v>4.4150000000000205</v>
      </c>
      <c r="AN55" s="957">
        <f t="shared" si="23"/>
        <v>4.5450287671202361</v>
      </c>
      <c r="AO55" s="956">
        <f t="shared" si="23"/>
        <v>16.286028767120204</v>
      </c>
      <c r="AP55" s="957">
        <f t="shared" ca="1" si="23"/>
        <v>2.5545627679120337</v>
      </c>
      <c r="AQ55" s="957">
        <f t="shared" ca="1" si="23"/>
        <v>5.8067519130924863</v>
      </c>
      <c r="AR55" s="957">
        <f t="shared" ca="1" si="23"/>
        <v>5.7473868083270725</v>
      </c>
      <c r="AS55" s="957">
        <f t="shared" ca="1" si="23"/>
        <v>4.8489250526200873</v>
      </c>
      <c r="AT55" s="956">
        <f t="shared" ca="1" si="23"/>
        <v>18.957626541951718</v>
      </c>
      <c r="AU55" s="956">
        <f t="shared" ca="1" si="23"/>
        <v>23.017739272545178</v>
      </c>
      <c r="AV55" s="956">
        <f t="shared" ca="1" si="23"/>
        <v>25.41064069237796</v>
      </c>
      <c r="AW55" s="956">
        <f t="shared" ca="1" si="23"/>
        <v>28.415319194709312</v>
      </c>
      <c r="AX55" s="807"/>
    </row>
    <row r="56" spans="1:50" s="92" customFormat="1" x14ac:dyDescent="0.45">
      <c r="A56" s="267" t="s">
        <v>280</v>
      </c>
      <c r="B56" s="268"/>
      <c r="C56" s="439">
        <f t="shared" ref="C56:AW56" si="24">INDEX(SP_GF_NI,0,COLUMN())/INDEX(SP_CS_ShareCount,0,COLUMN())</f>
        <v>0.84002986525906409</v>
      </c>
      <c r="D56" s="439">
        <f t="shared" si="24"/>
        <v>1.0578679854385602</v>
      </c>
      <c r="E56" s="439">
        <f t="shared" si="24"/>
        <v>1.2812579383224103</v>
      </c>
      <c r="F56" s="439">
        <f t="shared" si="24"/>
        <v>0.71850930005717861</v>
      </c>
      <c r="G56" s="431">
        <f t="shared" si="24"/>
        <v>0.21730007386020256</v>
      </c>
      <c r="H56" s="431">
        <f t="shared" si="24"/>
        <v>0.16938628642198453</v>
      </c>
      <c r="I56" s="431">
        <f t="shared" si="24"/>
        <v>-0.20789152049681242</v>
      </c>
      <c r="J56" s="431">
        <f t="shared" si="24"/>
        <v>8.5836414048059251E-2</v>
      </c>
      <c r="K56" s="439">
        <f t="shared" si="24"/>
        <v>0.26075098945687974</v>
      </c>
      <c r="L56" s="431">
        <f t="shared" si="24"/>
        <v>8.4959684054632334E-2</v>
      </c>
      <c r="M56" s="431">
        <f t="shared" si="24"/>
        <v>7.8140422451799502E-2</v>
      </c>
      <c r="N56" s="431">
        <f t="shared" si="24"/>
        <v>0.10970339331197111</v>
      </c>
      <c r="O56" s="431">
        <f t="shared" si="24"/>
        <v>0.17624187938841121</v>
      </c>
      <c r="P56" s="439">
        <f t="shared" si="24"/>
        <v>0.44917747210307452</v>
      </c>
      <c r="Q56" s="431">
        <f t="shared" si="24"/>
        <v>0.10418577230446761</v>
      </c>
      <c r="R56" s="431">
        <f t="shared" si="24"/>
        <v>0.13589567604667116</v>
      </c>
      <c r="S56" s="431">
        <f t="shared" si="24"/>
        <v>0.11914358915778675</v>
      </c>
      <c r="T56" s="431">
        <f t="shared" si="24"/>
        <v>-0.26595519348268815</v>
      </c>
      <c r="U56" s="439">
        <f t="shared" si="24"/>
        <v>9.2368494112651744E-2</v>
      </c>
      <c r="V56" s="431">
        <f t="shared" si="24"/>
        <v>-1.0490304170179727E-2</v>
      </c>
      <c r="W56" s="431">
        <f t="shared" si="24"/>
        <v>6.4252562367046795E-2</v>
      </c>
      <c r="X56" s="431">
        <f t="shared" si="24"/>
        <v>0.16887571868004436</v>
      </c>
      <c r="Y56" s="431">
        <f t="shared" si="24"/>
        <v>7.0812215307627935E-2</v>
      </c>
      <c r="Z56" s="439">
        <f t="shared" si="24"/>
        <v>0.29416223189808199</v>
      </c>
      <c r="AA56" s="431">
        <f t="shared" si="24"/>
        <v>6.2193700812540921E-2</v>
      </c>
      <c r="AB56" s="431">
        <f t="shared" si="24"/>
        <v>0.12639697780576098</v>
      </c>
      <c r="AC56" s="431">
        <f t="shared" si="24"/>
        <v>2.4188484962642122E-2</v>
      </c>
      <c r="AD56" s="431">
        <f t="shared" si="24"/>
        <v>-0.1729119709491608</v>
      </c>
      <c r="AE56" s="439">
        <f t="shared" si="24"/>
        <v>3.8146279949557993E-2</v>
      </c>
      <c r="AF56" s="431">
        <f t="shared" si="24"/>
        <v>4.1340119274362541E-2</v>
      </c>
      <c r="AG56" s="431">
        <f t="shared" si="24"/>
        <v>0.20189031253372813</v>
      </c>
      <c r="AH56" s="431">
        <f t="shared" si="24"/>
        <v>7.4456588860071449E-2</v>
      </c>
      <c r="AI56" s="431">
        <f t="shared" si="24"/>
        <v>6.0523437620345955E-2</v>
      </c>
      <c r="AJ56" s="439">
        <f t="shared" si="24"/>
        <v>0.379164086687307</v>
      </c>
      <c r="AK56" s="431">
        <f t="shared" si="24"/>
        <v>1.9035086377059706E-2</v>
      </c>
      <c r="AL56" s="431">
        <f t="shared" si="24"/>
        <v>9.2769981696156106E-2</v>
      </c>
      <c r="AM56" s="583">
        <f t="shared" si="24"/>
        <v>6.7236232943470101E-2</v>
      </c>
      <c r="AN56" s="164">
        <f t="shared" ca="1" si="24"/>
        <v>6.9216446867693654E-2</v>
      </c>
      <c r="AO56" s="161">
        <f t="shared" ca="1" si="24"/>
        <v>0.24841315838667796</v>
      </c>
      <c r="AP56" s="164">
        <f t="shared" ca="1" si="24"/>
        <v>3.8903550924586285E-2</v>
      </c>
      <c r="AQ56" s="164">
        <f t="shared" ca="1" si="24"/>
        <v>8.8431285226189177E-2</v>
      </c>
      <c r="AR56" s="164">
        <f t="shared" ca="1" si="24"/>
        <v>8.7527211384123296E-2</v>
      </c>
      <c r="AS56" s="164">
        <f t="shared" ca="1" si="24"/>
        <v>7.3844497024550551E-2</v>
      </c>
      <c r="AT56" s="161">
        <f t="shared" ca="1" si="24"/>
        <v>0.28870654455944988</v>
      </c>
      <c r="AU56" s="161">
        <f t="shared" ca="1" si="24"/>
        <v>0.35053818336600234</v>
      </c>
      <c r="AV56" s="161">
        <f t="shared" ca="1" si="24"/>
        <v>0.38697978637271502</v>
      </c>
      <c r="AW56" s="161">
        <f t="shared" ca="1" si="24"/>
        <v>0.43273816999740056</v>
      </c>
      <c r="AX56" s="164"/>
    </row>
    <row r="57" spans="1:50" s="91" customFormat="1" x14ac:dyDescent="0.45">
      <c r="A57" s="256"/>
      <c r="B57" s="257"/>
      <c r="C57" s="959"/>
      <c r="D57" s="959"/>
      <c r="E57" s="959"/>
      <c r="F57" s="959"/>
      <c r="G57" s="960"/>
      <c r="H57" s="960"/>
      <c r="I57" s="960"/>
      <c r="J57" s="960"/>
      <c r="K57" s="959"/>
      <c r="L57" s="960"/>
      <c r="M57" s="960"/>
      <c r="N57" s="960"/>
      <c r="O57" s="960"/>
      <c r="P57" s="959"/>
      <c r="Q57" s="960"/>
      <c r="R57" s="960"/>
      <c r="S57" s="960"/>
      <c r="T57" s="960"/>
      <c r="U57" s="959"/>
      <c r="V57" s="960"/>
      <c r="W57" s="960"/>
      <c r="X57" s="960"/>
      <c r="Y57" s="960"/>
      <c r="Z57" s="959"/>
      <c r="AA57" s="960"/>
      <c r="AB57" s="960"/>
      <c r="AC57" s="960"/>
      <c r="AD57" s="960"/>
      <c r="AE57" s="959"/>
      <c r="AF57" s="960"/>
      <c r="AG57" s="960"/>
      <c r="AH57" s="960"/>
      <c r="AI57" s="960"/>
      <c r="AJ57" s="959"/>
      <c r="AK57" s="960"/>
      <c r="AL57" s="960"/>
      <c r="AM57" s="961"/>
      <c r="AN57" s="962"/>
      <c r="AO57" s="963"/>
      <c r="AP57" s="962"/>
      <c r="AQ57" s="962"/>
      <c r="AR57" s="962"/>
      <c r="AS57" s="962"/>
      <c r="AT57" s="963"/>
      <c r="AU57" s="963"/>
      <c r="AV57" s="963"/>
      <c r="AW57" s="963"/>
      <c r="AX57" s="806"/>
    </row>
    <row r="58" spans="1:50" x14ac:dyDescent="0.45">
      <c r="A58" s="156" t="s">
        <v>281</v>
      </c>
      <c r="B58" s="157"/>
      <c r="C58" s="432"/>
      <c r="D58" s="432"/>
      <c r="E58" s="432"/>
      <c r="F58" s="432"/>
      <c r="G58" s="432"/>
      <c r="H58" s="432"/>
      <c r="I58" s="432"/>
      <c r="J58" s="432"/>
      <c r="K58" s="432"/>
      <c r="L58" s="432"/>
      <c r="M58" s="432"/>
      <c r="N58" s="432"/>
      <c r="O58" s="432"/>
      <c r="P58" s="432"/>
      <c r="Q58" s="432"/>
      <c r="R58" s="432"/>
      <c r="S58" s="432"/>
      <c r="T58" s="432"/>
      <c r="U58" s="432"/>
      <c r="V58" s="432"/>
      <c r="W58" s="432"/>
      <c r="X58" s="432"/>
      <c r="Y58" s="432"/>
      <c r="Z58" s="432"/>
      <c r="AA58" s="432"/>
      <c r="AB58" s="432"/>
      <c r="AC58" s="432"/>
      <c r="AD58" s="432"/>
      <c r="AE58" s="432"/>
      <c r="AF58" s="432"/>
      <c r="AG58" s="432"/>
      <c r="AH58" s="432"/>
      <c r="AI58" s="432"/>
      <c r="AJ58" s="432"/>
      <c r="AK58" s="432"/>
      <c r="AL58" s="432"/>
      <c r="AM58" s="584"/>
      <c r="AN58" s="157"/>
      <c r="AO58" s="157"/>
      <c r="AP58" s="157"/>
      <c r="AQ58" s="157"/>
      <c r="AR58" s="157"/>
      <c r="AS58" s="157"/>
      <c r="AT58" s="157"/>
      <c r="AU58" s="157"/>
      <c r="AV58" s="157"/>
      <c r="AW58" s="157"/>
      <c r="AX58" s="269"/>
    </row>
    <row r="59" spans="1:50" s="93" customFormat="1" x14ac:dyDescent="0.45">
      <c r="A59" s="255" t="str">
        <f>INDEX(MO_RIS_EBITDA_Adj,0,COLUMN())</f>
        <v>Adjusted EBITDA (No Adjustments)</v>
      </c>
      <c r="B59" s="260"/>
      <c r="C59" s="964">
        <f t="shared" ref="C59:AW59" si="25">INDEX(MO_RIS_EBITDA_Adj,0,COLUMN())</f>
        <v>89.170000000000016</v>
      </c>
      <c r="D59" s="964">
        <f t="shared" si="25"/>
        <v>112.49000000000001</v>
      </c>
      <c r="E59" s="964">
        <f t="shared" si="25"/>
        <v>137.47</v>
      </c>
      <c r="F59" s="964">
        <f t="shared" si="25"/>
        <v>112.98199999999994</v>
      </c>
      <c r="G59" s="965">
        <f t="shared" si="25"/>
        <v>26.535999999999987</v>
      </c>
      <c r="H59" s="965">
        <f t="shared" si="25"/>
        <v>23.271000000000001</v>
      </c>
      <c r="I59" s="965">
        <f t="shared" si="25"/>
        <v>-4.345000000000006</v>
      </c>
      <c r="J59" s="965">
        <f t="shared" si="25"/>
        <v>14.726000000000006</v>
      </c>
      <c r="K59" s="964">
        <f t="shared" si="25"/>
        <v>60.188000000000017</v>
      </c>
      <c r="L59" s="965">
        <f t="shared" si="25"/>
        <v>16.124000000000009</v>
      </c>
      <c r="M59" s="965">
        <f t="shared" si="25"/>
        <v>15.673999999999992</v>
      </c>
      <c r="N59" s="965">
        <f t="shared" si="25"/>
        <v>16.369</v>
      </c>
      <c r="O59" s="965">
        <f t="shared" si="25"/>
        <v>20.527999999999992</v>
      </c>
      <c r="P59" s="964">
        <f t="shared" si="25"/>
        <v>68.694999999999965</v>
      </c>
      <c r="Q59" s="965">
        <f t="shared" si="25"/>
        <v>16.236000000000011</v>
      </c>
      <c r="R59" s="965">
        <f t="shared" si="25"/>
        <v>19.858999999999995</v>
      </c>
      <c r="S59" s="965">
        <f t="shared" si="25"/>
        <v>15.607000000000014</v>
      </c>
      <c r="T59" s="965">
        <f t="shared" si="25"/>
        <v>20.931000000000012</v>
      </c>
      <c r="U59" s="964">
        <f t="shared" si="25"/>
        <v>72.632999999999981</v>
      </c>
      <c r="V59" s="965">
        <f t="shared" si="25"/>
        <v>15.795999999999992</v>
      </c>
      <c r="W59" s="965">
        <f t="shared" si="25"/>
        <v>20.034999999999982</v>
      </c>
      <c r="X59" s="965">
        <f t="shared" si="25"/>
        <v>25.530999999999992</v>
      </c>
      <c r="Y59" s="965">
        <f t="shared" si="25"/>
        <v>20.760999999999981</v>
      </c>
      <c r="Z59" s="964">
        <f t="shared" si="25"/>
        <v>82.123000000000076</v>
      </c>
      <c r="AA59" s="965">
        <f t="shared" si="25"/>
        <v>18.274000000000001</v>
      </c>
      <c r="AB59" s="965">
        <f t="shared" si="25"/>
        <v>24.146000000000001</v>
      </c>
      <c r="AC59" s="965">
        <f t="shared" si="25"/>
        <v>17.934000000000005</v>
      </c>
      <c r="AD59" s="965">
        <f t="shared" si="25"/>
        <v>-0.57199999999998852</v>
      </c>
      <c r="AE59" s="964">
        <f t="shared" si="25"/>
        <v>59.781999999999954</v>
      </c>
      <c r="AF59" s="965">
        <f t="shared" si="25"/>
        <v>16.638000000000019</v>
      </c>
      <c r="AG59" s="965">
        <f t="shared" si="25"/>
        <v>30.26400000000001</v>
      </c>
      <c r="AH59" s="965">
        <f t="shared" si="25"/>
        <v>21.731999999999985</v>
      </c>
      <c r="AI59" s="965">
        <f t="shared" si="25"/>
        <v>22.858999999999995</v>
      </c>
      <c r="AJ59" s="964">
        <f t="shared" si="25"/>
        <v>91.493000000000052</v>
      </c>
      <c r="AK59" s="965">
        <f t="shared" si="25"/>
        <v>19.84699999999998</v>
      </c>
      <c r="AL59" s="965">
        <f t="shared" si="25"/>
        <v>24.855999999999995</v>
      </c>
      <c r="AM59" s="966">
        <f t="shared" si="25"/>
        <v>22.673000000000016</v>
      </c>
      <c r="AN59" s="967">
        <f t="shared" si="25"/>
        <v>22.997966900000023</v>
      </c>
      <c r="AO59" s="968">
        <f t="shared" si="25"/>
        <v>90.373966900000013</v>
      </c>
      <c r="AP59" s="967">
        <f t="shared" si="25"/>
        <v>20.47348442000002</v>
      </c>
      <c r="AQ59" s="967">
        <f t="shared" si="25"/>
        <v>24.590484780000011</v>
      </c>
      <c r="AR59" s="967">
        <f t="shared" si="25"/>
        <v>24.503952360000028</v>
      </c>
      <c r="AS59" s="967">
        <f t="shared" si="25"/>
        <v>23.338622561800001</v>
      </c>
      <c r="AT59" s="968">
        <f t="shared" si="25"/>
        <v>92.906544121800067</v>
      </c>
      <c r="AU59" s="968">
        <f t="shared" si="25"/>
        <v>97.943413590944402</v>
      </c>
      <c r="AV59" s="968">
        <f t="shared" si="25"/>
        <v>100.80187215256194</v>
      </c>
      <c r="AW59" s="968">
        <f t="shared" si="25"/>
        <v>104.43359709996218</v>
      </c>
      <c r="AX59" s="807"/>
    </row>
    <row r="60" spans="1:50" s="93" customFormat="1" x14ac:dyDescent="0.45">
      <c r="A60" s="255" t="str">
        <f>INDEX(MO_RIS_NI_NONGAAP_Diluted,0,COLUMN())</f>
        <v>Adjusted Net Income</v>
      </c>
      <c r="B60" s="260"/>
      <c r="C60" s="964">
        <f t="shared" ref="C60:AW60" si="26">INDEX(MO_RIS_NI_NONGAAP_Diluted,0,COLUMN())</f>
        <v>48.379000000000019</v>
      </c>
      <c r="D60" s="964">
        <f t="shared" si="26"/>
        <v>61.606000000000009</v>
      </c>
      <c r="E60" s="964">
        <f t="shared" si="26"/>
        <v>75.657000000000011</v>
      </c>
      <c r="F60" s="964">
        <f t="shared" si="26"/>
        <v>67.64599999999993</v>
      </c>
      <c r="G60" s="965">
        <f t="shared" si="26"/>
        <v>14.585999999999988</v>
      </c>
      <c r="H60" s="965">
        <f t="shared" si="26"/>
        <v>13.356</v>
      </c>
      <c r="I60" s="965">
        <f t="shared" si="26"/>
        <v>6.7309999999999945</v>
      </c>
      <c r="J60" s="965">
        <f t="shared" si="26"/>
        <v>7.454000000000006</v>
      </c>
      <c r="K60" s="964">
        <f t="shared" si="26"/>
        <v>41.996000000000009</v>
      </c>
      <c r="L60" s="965">
        <f t="shared" si="26"/>
        <v>7.7890000000000095</v>
      </c>
      <c r="M60" s="965">
        <f t="shared" si="26"/>
        <v>7.7219999999999915</v>
      </c>
      <c r="N60" s="965">
        <f t="shared" si="26"/>
        <v>9.695999999999998</v>
      </c>
      <c r="O60" s="965">
        <f t="shared" si="26"/>
        <v>12.523999999999992</v>
      </c>
      <c r="P60" s="964">
        <f t="shared" si="26"/>
        <v>37.731999999999957</v>
      </c>
      <c r="Q60" s="965">
        <f t="shared" si="26"/>
        <v>9.5450000000000088</v>
      </c>
      <c r="R60" s="965">
        <f t="shared" si="26"/>
        <v>12.973999999999995</v>
      </c>
      <c r="S60" s="965">
        <f t="shared" si="26"/>
        <v>10.042000000000014</v>
      </c>
      <c r="T60" s="965">
        <f t="shared" si="26"/>
        <v>11.539000000000009</v>
      </c>
      <c r="U60" s="964">
        <f t="shared" si="26"/>
        <v>44.11999999999999</v>
      </c>
      <c r="V60" s="965">
        <f t="shared" si="26"/>
        <v>9.345999999999993</v>
      </c>
      <c r="W60" s="965">
        <f t="shared" si="26"/>
        <v>14.367999999999984</v>
      </c>
      <c r="X60" s="965">
        <f t="shared" si="26"/>
        <v>14.359999999999989</v>
      </c>
      <c r="Y60" s="965">
        <f t="shared" si="26"/>
        <v>12.695999999999978</v>
      </c>
      <c r="Z60" s="964">
        <f t="shared" si="26"/>
        <v>50.770000000000067</v>
      </c>
      <c r="AA60" s="965">
        <f t="shared" si="26"/>
        <v>10.471</v>
      </c>
      <c r="AB60" s="965">
        <f t="shared" si="26"/>
        <v>14.215000000000003</v>
      </c>
      <c r="AC60" s="965">
        <f t="shared" si="26"/>
        <v>9.3840000000000039</v>
      </c>
      <c r="AD60" s="965">
        <f t="shared" si="26"/>
        <v>10.420000000000009</v>
      </c>
      <c r="AE60" s="964">
        <f t="shared" si="26"/>
        <v>44.489999999999959</v>
      </c>
      <c r="AF60" s="965">
        <f t="shared" si="26"/>
        <v>12.246000000000018</v>
      </c>
      <c r="AG60" s="965">
        <f t="shared" si="26"/>
        <v>15.602000000000009</v>
      </c>
      <c r="AH60" s="965">
        <f t="shared" si="26"/>
        <v>13.217999999999984</v>
      </c>
      <c r="AI60" s="965">
        <f t="shared" si="26"/>
        <v>14.758999999999993</v>
      </c>
      <c r="AJ60" s="964">
        <f t="shared" si="26"/>
        <v>55.82500000000006</v>
      </c>
      <c r="AK60" s="965">
        <f t="shared" si="26"/>
        <v>10.457999999999974</v>
      </c>
      <c r="AL60" s="965">
        <f t="shared" si="26"/>
        <v>15.772999999999993</v>
      </c>
      <c r="AM60" s="966">
        <f t="shared" si="26"/>
        <v>14.899000000000015</v>
      </c>
      <c r="AN60" s="967">
        <f t="shared" si="26"/>
        <v>12.209496757409855</v>
      </c>
      <c r="AO60" s="968">
        <f t="shared" si="26"/>
        <v>53.339496757409805</v>
      </c>
      <c r="AP60" s="967">
        <f t="shared" ca="1" si="26"/>
        <v>10.24422653034353</v>
      </c>
      <c r="AQ60" s="967">
        <f t="shared" ca="1" si="26"/>
        <v>13.455248724319164</v>
      </c>
      <c r="AR60" s="967">
        <f t="shared" ca="1" si="26"/>
        <v>13.396635076576098</v>
      </c>
      <c r="AS60" s="967">
        <f t="shared" ca="1" si="26"/>
        <v>12.509546254485656</v>
      </c>
      <c r="AT60" s="968">
        <f t="shared" ca="1" si="26"/>
        <v>49.605656585724489</v>
      </c>
      <c r="AU60" s="968">
        <f t="shared" ca="1" si="26"/>
        <v>53.614375484285112</v>
      </c>
      <c r="AV60" s="968">
        <f t="shared" ca="1" si="26"/>
        <v>55.976987012727619</v>
      </c>
      <c r="AW60" s="968">
        <f t="shared" ca="1" si="26"/>
        <v>58.943631609966161</v>
      </c>
      <c r="AX60" s="807"/>
    </row>
    <row r="61" spans="1:50" s="92" customFormat="1" x14ac:dyDescent="0.45">
      <c r="A61" s="267" t="str">
        <f>INDEX(MO_RIS_EPS_WAD_Adj,0,COLUMN())</f>
        <v>Adjusted Earnings Per Share - WAD</v>
      </c>
      <c r="B61" s="268"/>
      <c r="C61" s="439">
        <f t="shared" ref="C61:AW61" si="27">INDEX(MO_RIS_EPS_WAD_Adj,0,COLUMN())</f>
        <v>0.84002986525906409</v>
      </c>
      <c r="D61" s="439">
        <f t="shared" si="27"/>
        <v>1.0578679854385606</v>
      </c>
      <c r="E61" s="439">
        <f t="shared" si="27"/>
        <v>1.2812579383224103</v>
      </c>
      <c r="F61" s="439">
        <f t="shared" si="27"/>
        <v>1.1376341192694481</v>
      </c>
      <c r="G61" s="431">
        <f t="shared" si="27"/>
        <v>0.24484657221513442</v>
      </c>
      <c r="H61" s="431">
        <f t="shared" si="27"/>
        <v>0.22352763970477482</v>
      </c>
      <c r="I61" s="431">
        <f t="shared" si="27"/>
        <v>0.11117167112608586</v>
      </c>
      <c r="J61" s="431">
        <f t="shared" si="27"/>
        <v>0.12301954053340385</v>
      </c>
      <c r="K61" s="439">
        <f t="shared" si="27"/>
        <v>0.69837363222137239</v>
      </c>
      <c r="L61" s="431">
        <f t="shared" si="27"/>
        <v>0.1281717952937306</v>
      </c>
      <c r="M61" s="431">
        <f t="shared" si="27"/>
        <v>0.12703165098374666</v>
      </c>
      <c r="N61" s="431">
        <f t="shared" si="27"/>
        <v>0.15932955385753017</v>
      </c>
      <c r="O61" s="431">
        <f t="shared" si="27"/>
        <v>0.20545967583174735</v>
      </c>
      <c r="P61" s="439">
        <f t="shared" si="27"/>
        <v>0.62009235977583788</v>
      </c>
      <c r="Q61" s="431">
        <f t="shared" si="27"/>
        <v>0.15631141097864551</v>
      </c>
      <c r="R61" s="431">
        <f t="shared" si="27"/>
        <v>0.21201424976304858</v>
      </c>
      <c r="S61" s="431">
        <f t="shared" si="27"/>
        <v>0.16387343135495053</v>
      </c>
      <c r="T61" s="431">
        <f t="shared" si="27"/>
        <v>0.18800814663951135</v>
      </c>
      <c r="U61" s="439">
        <f t="shared" si="27"/>
        <v>0.7205265134812926</v>
      </c>
      <c r="V61" s="431">
        <f t="shared" si="27"/>
        <v>0.15153382190803541</v>
      </c>
      <c r="W61" s="431">
        <f t="shared" si="27"/>
        <v>0.23154773415844751</v>
      </c>
      <c r="X61" s="431">
        <f t="shared" si="27"/>
        <v>0.23126600421947704</v>
      </c>
      <c r="Y61" s="431">
        <f t="shared" si="27"/>
        <v>0.20363123115416659</v>
      </c>
      <c r="Z61" s="439">
        <f t="shared" si="27"/>
        <v>0.81873891307853686</v>
      </c>
      <c r="AA61" s="431">
        <f t="shared" si="27"/>
        <v>0.16715355267148763</v>
      </c>
      <c r="AB61" s="431">
        <f t="shared" si="27"/>
        <v>0.22375255784668666</v>
      </c>
      <c r="AC61" s="431">
        <f t="shared" si="27"/>
        <v>0.14729704275758154</v>
      </c>
      <c r="AD61" s="431">
        <f t="shared" si="27"/>
        <v>0.16309792136238432</v>
      </c>
      <c r="AE61" s="439">
        <f t="shared" si="27"/>
        <v>0.70129255989911665</v>
      </c>
      <c r="AF61" s="431">
        <f t="shared" si="27"/>
        <v>0.19118243981640518</v>
      </c>
      <c r="AG61" s="431">
        <f t="shared" si="27"/>
        <v>0.24056000123348303</v>
      </c>
      <c r="AH61" s="431">
        <f t="shared" si="27"/>
        <v>0.20405705816969225</v>
      </c>
      <c r="AI61" s="431">
        <f t="shared" si="27"/>
        <v>0.22735184928447083</v>
      </c>
      <c r="AJ61" s="439">
        <f t="shared" si="27"/>
        <v>0.86416408668730749</v>
      </c>
      <c r="AK61" s="431">
        <f t="shared" si="27"/>
        <v>0.16002325830489764</v>
      </c>
      <c r="AL61" s="431">
        <f t="shared" si="27"/>
        <v>0.24058877364246481</v>
      </c>
      <c r="AM61" s="583">
        <f t="shared" si="27"/>
        <v>0.22689753898635501</v>
      </c>
      <c r="AN61" s="164">
        <f t="shared" ca="1" si="27"/>
        <v>0.18593897352293273</v>
      </c>
      <c r="AO61" s="161">
        <f t="shared" ca="1" si="27"/>
        <v>0.81359507868578607</v>
      </c>
      <c r="AP61" s="164">
        <f t="shared" ca="1" si="27"/>
        <v>0.15600978512340902</v>
      </c>
      <c r="AQ61" s="164">
        <f t="shared" ca="1" si="27"/>
        <v>0.20491058607942195</v>
      </c>
      <c r="AR61" s="164">
        <f t="shared" ca="1" si="27"/>
        <v>0.20401795621004049</v>
      </c>
      <c r="AS61" s="164">
        <f t="shared" ca="1" si="27"/>
        <v>0.19050844076641166</v>
      </c>
      <c r="AT61" s="161">
        <f t="shared" ca="1" si="27"/>
        <v>0.7554467681792838</v>
      </c>
      <c r="AU61" s="161">
        <f t="shared" ca="1" si="27"/>
        <v>0.81649572801360126</v>
      </c>
      <c r="AV61" s="161">
        <f t="shared" ca="1" si="27"/>
        <v>0.85247604490630513</v>
      </c>
      <c r="AW61" s="161">
        <f t="shared" ca="1" si="27"/>
        <v>0.89765520848510838</v>
      </c>
      <c r="AX61" s="164"/>
    </row>
    <row r="62" spans="1:50" x14ac:dyDescent="0.45">
      <c r="A62" s="269"/>
      <c r="B62" s="266"/>
      <c r="C62" s="477"/>
      <c r="D62" s="477"/>
      <c r="E62" s="477"/>
      <c r="F62" s="477"/>
      <c r="G62" s="433"/>
      <c r="H62" s="433"/>
      <c r="I62" s="433"/>
      <c r="J62" s="433"/>
      <c r="K62" s="477"/>
      <c r="L62" s="433"/>
      <c r="M62" s="433"/>
      <c r="N62" s="433"/>
      <c r="O62" s="433"/>
      <c r="P62" s="477"/>
      <c r="Q62" s="433"/>
      <c r="R62" s="433"/>
      <c r="S62" s="433"/>
      <c r="T62" s="433"/>
      <c r="U62" s="477"/>
      <c r="V62" s="433"/>
      <c r="W62" s="433"/>
      <c r="X62" s="433"/>
      <c r="Y62" s="442"/>
      <c r="Z62" s="443"/>
      <c r="AA62" s="433"/>
      <c r="AB62" s="433"/>
      <c r="AC62" s="433"/>
      <c r="AD62" s="442"/>
      <c r="AE62" s="443"/>
      <c r="AF62" s="433"/>
      <c r="AG62" s="433"/>
      <c r="AH62" s="433"/>
      <c r="AI62" s="442"/>
      <c r="AJ62" s="443"/>
      <c r="AK62" s="433"/>
      <c r="AL62" s="433"/>
      <c r="AM62" s="585"/>
      <c r="AN62" s="166"/>
      <c r="AO62" s="167"/>
      <c r="AP62" s="165"/>
      <c r="AQ62" s="165"/>
      <c r="AR62" s="165"/>
      <c r="AS62" s="166"/>
      <c r="AT62" s="167"/>
      <c r="AU62" s="167"/>
      <c r="AV62" s="167"/>
      <c r="AW62" s="167"/>
      <c r="AX62" s="269"/>
    </row>
    <row r="63" spans="1:50" x14ac:dyDescent="0.45">
      <c r="A63" s="158" t="s">
        <v>14</v>
      </c>
      <c r="B63" s="808"/>
      <c r="C63" s="969"/>
      <c r="D63" s="969"/>
      <c r="E63" s="969"/>
      <c r="F63" s="969"/>
      <c r="G63" s="969"/>
      <c r="H63" s="969"/>
      <c r="I63" s="969"/>
      <c r="J63" s="969"/>
      <c r="K63" s="969"/>
      <c r="L63" s="969"/>
      <c r="M63" s="969"/>
      <c r="N63" s="969"/>
      <c r="O63" s="969"/>
      <c r="P63" s="969"/>
      <c r="Q63" s="969"/>
      <c r="R63" s="969"/>
      <c r="S63" s="969"/>
      <c r="T63" s="969"/>
      <c r="U63" s="969"/>
      <c r="V63" s="969"/>
      <c r="W63" s="969"/>
      <c r="X63" s="969"/>
      <c r="Y63" s="969"/>
      <c r="Z63" s="969"/>
      <c r="AA63" s="969"/>
      <c r="AB63" s="969"/>
      <c r="AC63" s="969"/>
      <c r="AD63" s="969"/>
      <c r="AE63" s="969"/>
      <c r="AF63" s="969"/>
      <c r="AG63" s="969"/>
      <c r="AH63" s="969"/>
      <c r="AI63" s="969"/>
      <c r="AJ63" s="969"/>
      <c r="AK63" s="969"/>
      <c r="AL63" s="969"/>
      <c r="AM63" s="970"/>
      <c r="AN63" s="971"/>
      <c r="AO63" s="971"/>
      <c r="AP63" s="971"/>
      <c r="AQ63" s="971"/>
      <c r="AR63" s="971"/>
      <c r="AS63" s="971"/>
      <c r="AT63" s="971"/>
      <c r="AU63" s="971"/>
      <c r="AV63" s="971"/>
      <c r="AW63" s="971"/>
      <c r="AX63" s="806"/>
    </row>
    <row r="64" spans="1:50" s="94" customFormat="1" x14ac:dyDescent="0.45">
      <c r="A64" s="270" t="str">
        <f>INDEX(MO_MA_COGS,0,COLUMN())</f>
        <v>COGS Margin, %</v>
      </c>
      <c r="B64" s="266"/>
      <c r="C64" s="441">
        <f t="shared" ref="C64:AW64" si="28">INDEX(SP_GF_COGS,0,COLUMN())/INDEX(SP_GF_Rev,0,COLUMN())</f>
        <v>0.35911943004204777</v>
      </c>
      <c r="D64" s="441">
        <f t="shared" si="28"/>
        <v>0.33547937956152735</v>
      </c>
      <c r="E64" s="441">
        <f t="shared" si="28"/>
        <v>0.32664859771772892</v>
      </c>
      <c r="F64" s="441">
        <f t="shared" si="28"/>
        <v>0.38477149419093543</v>
      </c>
      <c r="G64" s="430">
        <f t="shared" si="28"/>
        <v>0.40762720375425693</v>
      </c>
      <c r="H64" s="430">
        <f t="shared" si="28"/>
        <v>0.39640442559933742</v>
      </c>
      <c r="I64" s="430">
        <f t="shared" si="28"/>
        <v>0.60499384496665265</v>
      </c>
      <c r="J64" s="430">
        <f t="shared" si="28"/>
        <v>0.42894716283430118</v>
      </c>
      <c r="K64" s="441">
        <f t="shared" si="28"/>
        <v>0.45866232484083591</v>
      </c>
      <c r="L64" s="430">
        <f t="shared" si="28"/>
        <v>0.43805452355505792</v>
      </c>
      <c r="M64" s="430">
        <f t="shared" si="28"/>
        <v>0.43401455372181985</v>
      </c>
      <c r="N64" s="430">
        <f t="shared" si="28"/>
        <v>0.40772459165154262</v>
      </c>
      <c r="O64" s="430">
        <f t="shared" si="28"/>
        <v>0.40709412094588282</v>
      </c>
      <c r="P64" s="441">
        <f t="shared" si="28"/>
        <v>0.42131674231220362</v>
      </c>
      <c r="Q64" s="430">
        <f t="shared" si="28"/>
        <v>0.43006122916734874</v>
      </c>
      <c r="R64" s="430">
        <f t="shared" si="28"/>
        <v>0.42356563424770083</v>
      </c>
      <c r="S64" s="430">
        <f t="shared" si="28"/>
        <v>0.42964317451637152</v>
      </c>
      <c r="T64" s="430">
        <f t="shared" si="28"/>
        <v>0.42022640565388697</v>
      </c>
      <c r="U64" s="441">
        <f t="shared" si="28"/>
        <v>0.42575389307520961</v>
      </c>
      <c r="V64" s="430">
        <f t="shared" si="28"/>
        <v>0.41952456937113869</v>
      </c>
      <c r="W64" s="430">
        <f t="shared" si="28"/>
        <v>0.39596275734079867</v>
      </c>
      <c r="X64" s="430">
        <f t="shared" si="28"/>
        <v>0.38628898551631369</v>
      </c>
      <c r="Y64" s="430">
        <f t="shared" si="28"/>
        <v>0.39042187559013486</v>
      </c>
      <c r="Z64" s="441">
        <f t="shared" si="28"/>
        <v>0.39774618149851648</v>
      </c>
      <c r="AA64" s="430">
        <f t="shared" si="28"/>
        <v>0.41520905577366679</v>
      </c>
      <c r="AB64" s="430">
        <f t="shared" si="28"/>
        <v>0.40237694842655369</v>
      </c>
      <c r="AC64" s="430">
        <f t="shared" si="28"/>
        <v>0.42068101582963213</v>
      </c>
      <c r="AD64" s="430">
        <f t="shared" si="28"/>
        <v>0.40788068495672991</v>
      </c>
      <c r="AE64" s="441">
        <f t="shared" si="28"/>
        <v>0.41148810117905393</v>
      </c>
      <c r="AF64" s="430">
        <f t="shared" si="28"/>
        <v>0.41346846846846841</v>
      </c>
      <c r="AG64" s="430">
        <f t="shared" si="28"/>
        <v>0.41318743717436174</v>
      </c>
      <c r="AH64" s="430">
        <f t="shared" si="28"/>
        <v>0.41426792086622299</v>
      </c>
      <c r="AI64" s="430">
        <f t="shared" si="28"/>
        <v>0.3993025930185109</v>
      </c>
      <c r="AJ64" s="441">
        <f t="shared" si="28"/>
        <v>0.40998879383490838</v>
      </c>
      <c r="AK64" s="430">
        <f t="shared" si="28"/>
        <v>0.42738186423582414</v>
      </c>
      <c r="AL64" s="430">
        <f t="shared" si="28"/>
        <v>0.41975777618877369</v>
      </c>
      <c r="AM64" s="582">
        <f t="shared" si="28"/>
        <v>0.42573689560040651</v>
      </c>
      <c r="AN64" s="163">
        <f t="shared" si="28"/>
        <v>0.42556991777806991</v>
      </c>
      <c r="AO64" s="167">
        <f t="shared" si="28"/>
        <v>0.42461437689447046</v>
      </c>
      <c r="AP64" s="163">
        <f t="shared" si="28"/>
        <v>0.42549720843021244</v>
      </c>
      <c r="AQ64" s="163">
        <f t="shared" si="28"/>
        <v>0.42520163059589583</v>
      </c>
      <c r="AR64" s="163">
        <f t="shared" si="28"/>
        <v>0.42360665632783906</v>
      </c>
      <c r="AS64" s="163">
        <f t="shared" si="28"/>
        <v>0.42148065849072475</v>
      </c>
      <c r="AT64" s="167">
        <f t="shared" si="28"/>
        <v>0.42392296728392409</v>
      </c>
      <c r="AU64" s="167">
        <f t="shared" si="28"/>
        <v>0.42589183976528311</v>
      </c>
      <c r="AV64" s="167">
        <f t="shared" si="28"/>
        <v>0.42583092256975891</v>
      </c>
      <c r="AW64" s="167">
        <f t="shared" si="28"/>
        <v>0.4257671543118593</v>
      </c>
      <c r="AX64" s="269"/>
    </row>
    <row r="65" spans="1:50" s="94" customFormat="1" x14ac:dyDescent="0.45">
      <c r="A65" s="270" t="str">
        <f>INDEX(MO_MA_SGA,0,COLUMN())</f>
        <v>SG&amp;A Margin, %</v>
      </c>
      <c r="B65" s="266"/>
      <c r="C65" s="441">
        <f t="shared" ref="C65:AW65" si="29">INDEX(SP_GF_SGA,0,COLUMN())/INDEX(SP_GF_Rev,0,COLUMN())</f>
        <v>0.27897509004115673</v>
      </c>
      <c r="D65" s="441">
        <f t="shared" si="29"/>
        <v>0.28492513364443928</v>
      </c>
      <c r="E65" s="441">
        <f t="shared" si="29"/>
        <v>0.28097991089604152</v>
      </c>
      <c r="F65" s="441">
        <f t="shared" si="29"/>
        <v>0.30317298562237505</v>
      </c>
      <c r="G65" s="430">
        <f t="shared" si="29"/>
        <v>0.29922668882213843</v>
      </c>
      <c r="H65" s="430">
        <f t="shared" si="29"/>
        <v>0.32634744015628236</v>
      </c>
      <c r="I65" s="430">
        <f t="shared" si="29"/>
        <v>0.31480698917816519</v>
      </c>
      <c r="J65" s="430">
        <f t="shared" si="29"/>
        <v>0.31277831306476395</v>
      </c>
      <c r="K65" s="441">
        <f t="shared" si="29"/>
        <v>0.31332660170419663</v>
      </c>
      <c r="L65" s="430">
        <f t="shared" si="29"/>
        <v>0.2881656403209662</v>
      </c>
      <c r="M65" s="430">
        <f t="shared" si="29"/>
        <v>0.29652585899318784</v>
      </c>
      <c r="N65" s="430">
        <f t="shared" si="29"/>
        <v>0.31093628467721024</v>
      </c>
      <c r="O65" s="430">
        <f t="shared" si="29"/>
        <v>0.29643736174720381</v>
      </c>
      <c r="P65" s="441">
        <f t="shared" si="29"/>
        <v>0.29812025090519656</v>
      </c>
      <c r="Q65" s="430">
        <f t="shared" si="29"/>
        <v>0.29808290494744771</v>
      </c>
      <c r="R65" s="430">
        <f t="shared" si="29"/>
        <v>0.27542693967408211</v>
      </c>
      <c r="S65" s="430">
        <f t="shared" si="29"/>
        <v>0.31352108824936764</v>
      </c>
      <c r="T65" s="430">
        <f t="shared" si="29"/>
        <v>0.29074676339983735</v>
      </c>
      <c r="U65" s="441">
        <f t="shared" si="29"/>
        <v>0.29407870824424287</v>
      </c>
      <c r="V65" s="430">
        <f t="shared" si="29"/>
        <v>0.30276993576367578</v>
      </c>
      <c r="W65" s="430">
        <f t="shared" si="29"/>
        <v>0.30527027664627338</v>
      </c>
      <c r="X65" s="430">
        <f t="shared" si="29"/>
        <v>0.2620045672099352</v>
      </c>
      <c r="Y65" s="430">
        <f t="shared" si="29"/>
        <v>0.28787249310722518</v>
      </c>
      <c r="Z65" s="441">
        <f t="shared" si="29"/>
        <v>0.2892956375680894</v>
      </c>
      <c r="AA65" s="430">
        <f t="shared" si="29"/>
        <v>0.2952903255373428</v>
      </c>
      <c r="AB65" s="430">
        <f t="shared" si="29"/>
        <v>0.27215003732834614</v>
      </c>
      <c r="AC65" s="430">
        <f t="shared" si="29"/>
        <v>0.29065026762327756</v>
      </c>
      <c r="AD65" s="430">
        <f t="shared" si="29"/>
        <v>0.44541336770392193</v>
      </c>
      <c r="AE65" s="441">
        <f t="shared" si="29"/>
        <v>0.32674537069295073</v>
      </c>
      <c r="AF65" s="430">
        <f t="shared" si="29"/>
        <v>0.30007507507507503</v>
      </c>
      <c r="AG65" s="430">
        <f t="shared" si="29"/>
        <v>0.2191895396751099</v>
      </c>
      <c r="AH65" s="430">
        <f t="shared" si="29"/>
        <v>0.26820359601733063</v>
      </c>
      <c r="AI65" s="430">
        <f t="shared" si="29"/>
        <v>0.28946841265719486</v>
      </c>
      <c r="AJ65" s="441">
        <f t="shared" si="29"/>
        <v>0.26957157678112825</v>
      </c>
      <c r="AK65" s="430">
        <f t="shared" si="29"/>
        <v>0.26267053943167429</v>
      </c>
      <c r="AL65" s="430">
        <f t="shared" si="29"/>
        <v>0.25379126445000594</v>
      </c>
      <c r="AM65" s="582">
        <f t="shared" si="29"/>
        <v>0.27125744155655579</v>
      </c>
      <c r="AN65" s="163">
        <f t="shared" si="29"/>
        <v>0.27105379487855952</v>
      </c>
      <c r="AO65" s="167">
        <f t="shared" si="29"/>
        <v>0.26479589409805859</v>
      </c>
      <c r="AP65" s="163">
        <f t="shared" si="29"/>
        <v>0.2645661488795108</v>
      </c>
      <c r="AQ65" s="163">
        <f t="shared" si="29"/>
        <v>0.25408844553095744</v>
      </c>
      <c r="AR65" s="163">
        <f t="shared" si="29"/>
        <v>0.26891354261324441</v>
      </c>
      <c r="AS65" s="163">
        <f t="shared" si="29"/>
        <v>0.27412109037516558</v>
      </c>
      <c r="AT65" s="167">
        <f t="shared" si="29"/>
        <v>0.26550261971026673</v>
      </c>
      <c r="AU65" s="167">
        <f t="shared" si="29"/>
        <v>0.26255418701702249</v>
      </c>
      <c r="AV65" s="167">
        <f t="shared" si="29"/>
        <v>0.26366687762771057</v>
      </c>
      <c r="AW65" s="167">
        <f t="shared" si="29"/>
        <v>0.26376962337905552</v>
      </c>
      <c r="AX65" s="269"/>
    </row>
    <row r="66" spans="1:50" s="94" customFormat="1" x14ac:dyDescent="0.45">
      <c r="A66" s="541" t="str">
        <f>INDEX(MO_MA_RD,0,COLUMN())</f>
        <v>R&amp;D Margin, %</v>
      </c>
      <c r="B66" s="542"/>
      <c r="C66" s="543">
        <f t="shared" ref="C66:AW66" si="30">INDEX(SP_GF_RD,0,COLUMN())/INDEX(SP_GF_Rev,0,COLUMN())</f>
        <v>5.6330981354369772E-2</v>
      </c>
      <c r="D66" s="543">
        <f t="shared" si="30"/>
        <v>6.1254290913310111E-2</v>
      </c>
      <c r="E66" s="543">
        <f t="shared" si="30"/>
        <v>7.2551095187688291E-2</v>
      </c>
      <c r="F66" s="543">
        <f t="shared" si="30"/>
        <v>6.6564688448576687E-2</v>
      </c>
      <c r="G66" s="487">
        <f t="shared" si="30"/>
        <v>5.0872371700645493E-2</v>
      </c>
      <c r="H66" s="487">
        <f t="shared" si="30"/>
        <v>6.7752360889801133E-2</v>
      </c>
      <c r="I66" s="487">
        <f t="shared" si="30"/>
        <v>0.12011501644404432</v>
      </c>
      <c r="J66" s="487">
        <f t="shared" si="30"/>
        <v>0.13044799180576894</v>
      </c>
      <c r="K66" s="543">
        <f t="shared" si="30"/>
        <v>9.2655852581819645E-2</v>
      </c>
      <c r="L66" s="487">
        <f t="shared" si="30"/>
        <v>0.13701290990211548</v>
      </c>
      <c r="M66" s="487">
        <f t="shared" si="30"/>
        <v>0.13940540495689477</v>
      </c>
      <c r="N66" s="487">
        <f t="shared" si="30"/>
        <v>0.14871499870365568</v>
      </c>
      <c r="O66" s="487">
        <f t="shared" si="30"/>
        <v>0.13657818487709131</v>
      </c>
      <c r="P66" s="543">
        <f t="shared" si="30"/>
        <v>0.14043347442500892</v>
      </c>
      <c r="Q66" s="487">
        <f t="shared" si="30"/>
        <v>0.13895255558102224</v>
      </c>
      <c r="R66" s="487">
        <f t="shared" si="30"/>
        <v>0.14260303583820561</v>
      </c>
      <c r="S66" s="487">
        <f t="shared" si="30"/>
        <v>0.12347904846537698</v>
      </c>
      <c r="T66" s="487">
        <f t="shared" si="30"/>
        <v>0.12539089373944587</v>
      </c>
      <c r="U66" s="543">
        <f t="shared" si="30"/>
        <v>0.13268233846453745</v>
      </c>
      <c r="V66" s="487">
        <f t="shared" si="30"/>
        <v>0.14844728120780656</v>
      </c>
      <c r="W66" s="487">
        <f t="shared" si="30"/>
        <v>0.14121699196326065</v>
      </c>
      <c r="X66" s="487">
        <f t="shared" si="30"/>
        <v>0.15203960334094535</v>
      </c>
      <c r="Y66" s="487">
        <f t="shared" si="30"/>
        <v>0.16488272840578616</v>
      </c>
      <c r="Z66" s="543">
        <f t="shared" si="30"/>
        <v>0.15181388631618603</v>
      </c>
      <c r="AA66" s="487">
        <f t="shared" si="30"/>
        <v>0.14992132720245643</v>
      </c>
      <c r="AB66" s="487">
        <f t="shared" si="30"/>
        <v>0.14338609575663427</v>
      </c>
      <c r="AC66" s="487">
        <f t="shared" si="30"/>
        <v>0.15251110351896141</v>
      </c>
      <c r="AD66" s="487">
        <f t="shared" si="30"/>
        <v>0.15091879948444117</v>
      </c>
      <c r="AE66" s="543">
        <f t="shared" si="30"/>
        <v>0.14918675226310171</v>
      </c>
      <c r="AF66" s="487">
        <f t="shared" si="30"/>
        <v>0.16154654654654654</v>
      </c>
      <c r="AG66" s="487">
        <f t="shared" si="30"/>
        <v>0.1353964441647931</v>
      </c>
      <c r="AH66" s="487">
        <f t="shared" si="30"/>
        <v>0.15146675632512399</v>
      </c>
      <c r="AI66" s="487">
        <f t="shared" si="30"/>
        <v>0.14163297102793337</v>
      </c>
      <c r="AJ66" s="543">
        <f t="shared" si="30"/>
        <v>0.14754154123509702</v>
      </c>
      <c r="AK66" s="487">
        <f t="shared" si="30"/>
        <v>0.15943303933687747</v>
      </c>
      <c r="AL66" s="487">
        <f t="shared" si="30"/>
        <v>0.14131212012870933</v>
      </c>
      <c r="AM66" s="586">
        <f t="shared" si="30"/>
        <v>0.13839843182808187</v>
      </c>
      <c r="AN66" s="487">
        <f t="shared" si="30"/>
        <v>0.13750896581309327</v>
      </c>
      <c r="AO66" s="544">
        <f t="shared" si="30"/>
        <v>0.1440047777939639</v>
      </c>
      <c r="AP66" s="487">
        <f t="shared" si="30"/>
        <v>0.1604276914799185</v>
      </c>
      <c r="AQ66" s="487">
        <f t="shared" si="30"/>
        <v>0.14351474092182626</v>
      </c>
      <c r="AR66" s="487">
        <f t="shared" si="30"/>
        <v>0.13465225710220741</v>
      </c>
      <c r="AS66" s="487">
        <f t="shared" si="30"/>
        <v>0.14068684839586093</v>
      </c>
      <c r="AT66" s="544">
        <f t="shared" si="30"/>
        <v>0.14468665623176546</v>
      </c>
      <c r="AU66" s="544">
        <f t="shared" si="30"/>
        <v>0.14175903116950375</v>
      </c>
      <c r="AV66" s="544">
        <f t="shared" si="30"/>
        <v>0.14094447960461845</v>
      </c>
      <c r="AW66" s="544">
        <f t="shared" si="30"/>
        <v>0.14012827056317592</v>
      </c>
      <c r="AX66" s="269"/>
    </row>
    <row r="67" spans="1:50" s="95" customFormat="1" x14ac:dyDescent="0.45">
      <c r="A67" s="271" t="str">
        <f>INDEX(MO_MA_EBITDA,0,COLUMN())</f>
        <v>EBITDA Margin, %</v>
      </c>
      <c r="B67" s="272"/>
      <c r="C67" s="168">
        <f t="shared" ref="C67:AW67" si="31">INDEX(SP_GF_EBITDA,0,COLUMN())/INDEX(SP_GF_Rev,0,COLUMN())</f>
        <v>0.30557449856242569</v>
      </c>
      <c r="D67" s="168">
        <f t="shared" si="31"/>
        <v>0.31834119588072318</v>
      </c>
      <c r="E67" s="168">
        <f t="shared" si="31"/>
        <v>0.31982039619854125</v>
      </c>
      <c r="F67" s="168">
        <f t="shared" si="31"/>
        <v>0.2454908317381129</v>
      </c>
      <c r="G67" s="169">
        <f t="shared" si="31"/>
        <v>0.24227373572295913</v>
      </c>
      <c r="H67" s="169">
        <f t="shared" si="31"/>
        <v>0.20949577335457906</v>
      </c>
      <c r="I67" s="169">
        <f t="shared" si="31"/>
        <v>-3.9915850588862184E-2</v>
      </c>
      <c r="J67" s="169">
        <f t="shared" si="31"/>
        <v>0.12782653229516597</v>
      </c>
      <c r="K67" s="168">
        <f t="shared" si="31"/>
        <v>0.13535522087314777</v>
      </c>
      <c r="L67" s="169">
        <f t="shared" si="31"/>
        <v>0.13676692622186035</v>
      </c>
      <c r="M67" s="169">
        <f t="shared" si="31"/>
        <v>0.13005418232809757</v>
      </c>
      <c r="N67" s="169">
        <f t="shared" si="31"/>
        <v>0.13262412496759141</v>
      </c>
      <c r="O67" s="169">
        <f t="shared" si="31"/>
        <v>0.15989033242982206</v>
      </c>
      <c r="P67" s="168">
        <f t="shared" si="31"/>
        <v>0.14012953235759085</v>
      </c>
      <c r="Q67" s="169">
        <f t="shared" si="31"/>
        <v>0.13290331030418134</v>
      </c>
      <c r="R67" s="169">
        <f t="shared" si="31"/>
        <v>0.15840439024001143</v>
      </c>
      <c r="S67" s="169">
        <f t="shared" si="31"/>
        <v>0.13335668876888382</v>
      </c>
      <c r="T67" s="169">
        <f t="shared" si="31"/>
        <v>0.16363593720682978</v>
      </c>
      <c r="U67" s="168">
        <f t="shared" si="31"/>
        <v>0.1474850602160101</v>
      </c>
      <c r="V67" s="169">
        <f t="shared" si="31"/>
        <v>0.12925821365737897</v>
      </c>
      <c r="W67" s="169">
        <f t="shared" si="31"/>
        <v>0.15754997404966725</v>
      </c>
      <c r="X67" s="169">
        <f t="shared" si="31"/>
        <v>0.19966684393280568</v>
      </c>
      <c r="Y67" s="169">
        <f t="shared" si="31"/>
        <v>0.15682290289685377</v>
      </c>
      <c r="Z67" s="168">
        <f t="shared" si="31"/>
        <v>0.16114429461720811</v>
      </c>
      <c r="AA67" s="169">
        <f t="shared" si="31"/>
        <v>0.13957929148653397</v>
      </c>
      <c r="AB67" s="169">
        <f t="shared" si="31"/>
        <v>0.18208691848846589</v>
      </c>
      <c r="AC67" s="169">
        <f t="shared" si="31"/>
        <v>0.13615761302812895</v>
      </c>
      <c r="AD67" s="169">
        <f t="shared" si="31"/>
        <v>-4.2128521450928999E-3</v>
      </c>
      <c r="AE67" s="168">
        <f t="shared" si="31"/>
        <v>0.11257977586489364</v>
      </c>
      <c r="AF67" s="169">
        <f t="shared" si="31"/>
        <v>0.12490990990991004</v>
      </c>
      <c r="AG67" s="169">
        <f t="shared" si="31"/>
        <v>0.23222657898573529</v>
      </c>
      <c r="AH67" s="169">
        <f t="shared" si="31"/>
        <v>0.16606172679132242</v>
      </c>
      <c r="AI67" s="169">
        <f t="shared" si="31"/>
        <v>0.16959602329636086</v>
      </c>
      <c r="AJ67" s="168">
        <f t="shared" si="31"/>
        <v>0.17289808814886631</v>
      </c>
      <c r="AK67" s="169">
        <f t="shared" si="31"/>
        <v>0.15051455699562408</v>
      </c>
      <c r="AL67" s="169">
        <f t="shared" si="31"/>
        <v>0.18513883923251098</v>
      </c>
      <c r="AM67" s="587">
        <f t="shared" si="31"/>
        <v>0.16460723101495583</v>
      </c>
      <c r="AN67" s="169">
        <f t="shared" si="31"/>
        <v>0.16586732153027731</v>
      </c>
      <c r="AO67" s="168">
        <f t="shared" si="31"/>
        <v>0.16658495121350711</v>
      </c>
      <c r="AP67" s="169">
        <f t="shared" si="31"/>
        <v>0.14950895121035829</v>
      </c>
      <c r="AQ67" s="169">
        <f t="shared" si="31"/>
        <v>0.17719518295132045</v>
      </c>
      <c r="AR67" s="169">
        <f t="shared" si="31"/>
        <v>0.17282754395670913</v>
      </c>
      <c r="AS67" s="169">
        <f t="shared" si="31"/>
        <v>0.16371140273824869</v>
      </c>
      <c r="AT67" s="168">
        <f t="shared" si="31"/>
        <v>0.1658877567740438</v>
      </c>
      <c r="AU67" s="168">
        <f t="shared" si="31"/>
        <v>0.16979494204819062</v>
      </c>
      <c r="AV67" s="168">
        <f t="shared" si="31"/>
        <v>0.1695577201979121</v>
      </c>
      <c r="AW67" s="168">
        <f t="shared" si="31"/>
        <v>0.17033495174590926</v>
      </c>
      <c r="AX67" s="293"/>
    </row>
    <row r="68" spans="1:50" s="95" customFormat="1" x14ac:dyDescent="0.45">
      <c r="A68" s="273" t="str">
        <f>INDEX(MO_MA_EBITDA_Adj,0,COLUMN())</f>
        <v>Adjusted EBITDA Margin, %</v>
      </c>
      <c r="B68" s="274"/>
      <c r="C68" s="444">
        <f t="shared" ref="C68:AW68" si="32">INDEX(SP_NGF_EBITDA,0,COLUMN())/INDEX(SP_GF_Rev,0,COLUMN())</f>
        <v>0.30557449856242569</v>
      </c>
      <c r="D68" s="444">
        <f t="shared" si="32"/>
        <v>0.31834119588072324</v>
      </c>
      <c r="E68" s="444">
        <f t="shared" si="32"/>
        <v>0.31982039619854125</v>
      </c>
      <c r="F68" s="444">
        <f t="shared" si="32"/>
        <v>0.2454908317381129</v>
      </c>
      <c r="G68" s="434">
        <f t="shared" si="32"/>
        <v>0.2422737357229591</v>
      </c>
      <c r="H68" s="434">
        <f t="shared" si="32"/>
        <v>0.20949577335457908</v>
      </c>
      <c r="I68" s="434">
        <f t="shared" si="32"/>
        <v>-3.9915850588862198E-2</v>
      </c>
      <c r="J68" s="434">
        <f t="shared" si="32"/>
        <v>0.12782653229516597</v>
      </c>
      <c r="K68" s="444">
        <f t="shared" si="32"/>
        <v>0.1353552208731478</v>
      </c>
      <c r="L68" s="434">
        <f t="shared" si="32"/>
        <v>0.1367669262218604</v>
      </c>
      <c r="M68" s="434">
        <f t="shared" si="32"/>
        <v>0.1300541823280976</v>
      </c>
      <c r="N68" s="434">
        <f t="shared" si="32"/>
        <v>0.13262412496759138</v>
      </c>
      <c r="O68" s="434">
        <f t="shared" si="32"/>
        <v>0.15989033242982204</v>
      </c>
      <c r="P68" s="444">
        <f t="shared" si="32"/>
        <v>0.14012953235759085</v>
      </c>
      <c r="Q68" s="434">
        <f t="shared" si="32"/>
        <v>0.13290331030418134</v>
      </c>
      <c r="R68" s="434">
        <f t="shared" si="32"/>
        <v>0.15840439024001143</v>
      </c>
      <c r="S68" s="434">
        <f t="shared" si="32"/>
        <v>0.13335668876888382</v>
      </c>
      <c r="T68" s="434">
        <f t="shared" si="32"/>
        <v>0.16363593720682978</v>
      </c>
      <c r="U68" s="444">
        <f t="shared" si="32"/>
        <v>0.14748506021601004</v>
      </c>
      <c r="V68" s="434">
        <f t="shared" si="32"/>
        <v>0.12925821365737894</v>
      </c>
      <c r="W68" s="434">
        <f t="shared" si="32"/>
        <v>0.15754997404966722</v>
      </c>
      <c r="X68" s="434">
        <f t="shared" si="32"/>
        <v>0.19966684393280565</v>
      </c>
      <c r="Y68" s="434">
        <f t="shared" si="32"/>
        <v>0.15682290289685374</v>
      </c>
      <c r="Z68" s="444">
        <f t="shared" si="32"/>
        <v>0.16114429461720811</v>
      </c>
      <c r="AA68" s="434">
        <f t="shared" si="32"/>
        <v>0.13957929148653397</v>
      </c>
      <c r="AB68" s="434">
        <f t="shared" si="32"/>
        <v>0.18208691848846592</v>
      </c>
      <c r="AC68" s="434">
        <f t="shared" si="32"/>
        <v>0.13615761302812895</v>
      </c>
      <c r="AD68" s="434">
        <f t="shared" si="32"/>
        <v>-4.2128521450928999E-3</v>
      </c>
      <c r="AE68" s="444">
        <f t="shared" si="32"/>
        <v>0.11257977586489364</v>
      </c>
      <c r="AF68" s="434">
        <f t="shared" si="32"/>
        <v>0.12490990990991004</v>
      </c>
      <c r="AG68" s="434">
        <f t="shared" si="32"/>
        <v>0.23222657898573532</v>
      </c>
      <c r="AH68" s="434">
        <f t="shared" si="32"/>
        <v>0.16606172679132239</v>
      </c>
      <c r="AI68" s="434">
        <f t="shared" si="32"/>
        <v>0.16959602329636084</v>
      </c>
      <c r="AJ68" s="444">
        <f t="shared" si="32"/>
        <v>0.17289808814886634</v>
      </c>
      <c r="AK68" s="434">
        <f t="shared" si="32"/>
        <v>0.15051455699562405</v>
      </c>
      <c r="AL68" s="434">
        <f t="shared" si="32"/>
        <v>0.18513883923251098</v>
      </c>
      <c r="AM68" s="588">
        <f t="shared" si="32"/>
        <v>0.16460723101495581</v>
      </c>
      <c r="AN68" s="171">
        <f t="shared" si="32"/>
        <v>0.16586732153027733</v>
      </c>
      <c r="AO68" s="170">
        <f t="shared" si="32"/>
        <v>0.16658495121350717</v>
      </c>
      <c r="AP68" s="171">
        <f t="shared" si="32"/>
        <v>0.14950895121035832</v>
      </c>
      <c r="AQ68" s="171">
        <f t="shared" si="32"/>
        <v>0.17719518295132045</v>
      </c>
      <c r="AR68" s="171">
        <f t="shared" si="32"/>
        <v>0.17282754395670913</v>
      </c>
      <c r="AS68" s="171">
        <f t="shared" si="32"/>
        <v>0.16371140273824869</v>
      </c>
      <c r="AT68" s="170">
        <f t="shared" si="32"/>
        <v>0.16588775677404374</v>
      </c>
      <c r="AU68" s="170">
        <f t="shared" si="32"/>
        <v>0.16979494204819062</v>
      </c>
      <c r="AV68" s="170">
        <f t="shared" si="32"/>
        <v>0.1695577201979121</v>
      </c>
      <c r="AW68" s="170">
        <f t="shared" si="32"/>
        <v>0.17033495174590926</v>
      </c>
      <c r="AX68" s="293"/>
    </row>
    <row r="69" spans="1:50" x14ac:dyDescent="0.45">
      <c r="A69" s="267"/>
      <c r="B69" s="260"/>
      <c r="C69" s="964"/>
      <c r="D69" s="964"/>
      <c r="E69" s="964"/>
      <c r="F69" s="964"/>
      <c r="G69" s="965"/>
      <c r="H69" s="965"/>
      <c r="I69" s="965"/>
      <c r="J69" s="965"/>
      <c r="K69" s="964"/>
      <c r="L69" s="965"/>
      <c r="M69" s="965"/>
      <c r="N69" s="965"/>
      <c r="O69" s="965"/>
      <c r="P69" s="964"/>
      <c r="Q69" s="965"/>
      <c r="R69" s="965"/>
      <c r="S69" s="965"/>
      <c r="T69" s="965"/>
      <c r="U69" s="964"/>
      <c r="V69" s="965"/>
      <c r="W69" s="965"/>
      <c r="X69" s="965"/>
      <c r="Y69" s="965"/>
      <c r="Z69" s="964"/>
      <c r="AA69" s="965"/>
      <c r="AB69" s="965"/>
      <c r="AC69" s="965"/>
      <c r="AD69" s="965"/>
      <c r="AE69" s="964"/>
      <c r="AF69" s="965"/>
      <c r="AG69" s="965"/>
      <c r="AH69" s="965"/>
      <c r="AI69" s="965"/>
      <c r="AJ69" s="964"/>
      <c r="AK69" s="965"/>
      <c r="AL69" s="965"/>
      <c r="AM69" s="966"/>
      <c r="AN69" s="967"/>
      <c r="AO69" s="968"/>
      <c r="AP69" s="967"/>
      <c r="AQ69" s="967"/>
      <c r="AR69" s="967"/>
      <c r="AS69" s="967"/>
      <c r="AT69" s="968"/>
      <c r="AU69" s="968"/>
      <c r="AV69" s="968"/>
      <c r="AW69" s="968"/>
      <c r="AX69" s="807"/>
    </row>
    <row r="70" spans="1:50" x14ac:dyDescent="0.45">
      <c r="A70" s="158" t="s">
        <v>282</v>
      </c>
      <c r="B70" s="808"/>
      <c r="C70" s="969"/>
      <c r="D70" s="969"/>
      <c r="E70" s="969"/>
      <c r="F70" s="969"/>
      <c r="G70" s="969"/>
      <c r="H70" s="969"/>
      <c r="I70" s="969"/>
      <c r="J70" s="969"/>
      <c r="K70" s="969"/>
      <c r="L70" s="969"/>
      <c r="M70" s="969"/>
      <c r="N70" s="969"/>
      <c r="O70" s="969"/>
      <c r="P70" s="969"/>
      <c r="Q70" s="969"/>
      <c r="R70" s="969"/>
      <c r="S70" s="969"/>
      <c r="T70" s="969"/>
      <c r="U70" s="969"/>
      <c r="V70" s="969"/>
      <c r="W70" s="969"/>
      <c r="X70" s="969"/>
      <c r="Y70" s="969"/>
      <c r="Z70" s="969"/>
      <c r="AA70" s="969"/>
      <c r="AB70" s="969"/>
      <c r="AC70" s="969"/>
      <c r="AD70" s="969"/>
      <c r="AE70" s="969"/>
      <c r="AF70" s="969"/>
      <c r="AG70" s="969"/>
      <c r="AH70" s="969"/>
      <c r="AI70" s="969"/>
      <c r="AJ70" s="969"/>
      <c r="AK70" s="969"/>
      <c r="AL70" s="969"/>
      <c r="AM70" s="970"/>
      <c r="AN70" s="971"/>
      <c r="AO70" s="971"/>
      <c r="AP70" s="971"/>
      <c r="AQ70" s="971"/>
      <c r="AR70" s="971"/>
      <c r="AS70" s="971"/>
      <c r="AT70" s="971"/>
      <c r="AU70" s="971"/>
      <c r="AV70" s="971"/>
      <c r="AW70" s="971"/>
      <c r="AX70" s="806"/>
    </row>
    <row r="71" spans="1:50" s="93" customFormat="1" x14ac:dyDescent="0.45">
      <c r="A71" s="255" t="str">
        <f>INDEX(MO_CFSum_CFO_BeforeWC,0,COLUMN())</f>
        <v>Operating Cash Flow before WC</v>
      </c>
      <c r="B71" s="260"/>
      <c r="C71" s="964">
        <f t="shared" ref="C71:AW71" si="33">INDEX(MO_CFSum_CFO_BeforeWC,0,COLUMN())</f>
        <v>64.530999999999992</v>
      </c>
      <c r="D71" s="964">
        <f t="shared" si="33"/>
        <v>78.84899999999999</v>
      </c>
      <c r="E71" s="964">
        <f t="shared" si="33"/>
        <v>90.589000000000013</v>
      </c>
      <c r="F71" s="964">
        <f t="shared" si="33"/>
        <v>85.548000000000002</v>
      </c>
      <c r="G71" s="965">
        <f t="shared" si="33"/>
        <v>22.245999999999999</v>
      </c>
      <c r="H71" s="965">
        <f t="shared" si="33"/>
        <v>19.518999999999998</v>
      </c>
      <c r="I71" s="965">
        <f t="shared" si="33"/>
        <v>21.347999999999999</v>
      </c>
      <c r="J71" s="965">
        <f t="shared" si="33"/>
        <v>7.3580000000000014</v>
      </c>
      <c r="K71" s="964">
        <f t="shared" si="33"/>
        <v>70.471000000000004</v>
      </c>
      <c r="L71" s="965">
        <f t="shared" si="33"/>
        <v>13.037000000000001</v>
      </c>
      <c r="M71" s="965">
        <f t="shared" si="33"/>
        <v>13.878000000000002</v>
      </c>
      <c r="N71" s="965">
        <f t="shared" si="33"/>
        <v>16.250999999999998</v>
      </c>
      <c r="O71" s="965">
        <f t="shared" si="33"/>
        <v>7.7120000000000033</v>
      </c>
      <c r="P71" s="964">
        <f t="shared" si="33"/>
        <v>50.878</v>
      </c>
      <c r="Q71" s="965">
        <f t="shared" si="33"/>
        <v>14.68</v>
      </c>
      <c r="R71" s="965">
        <f t="shared" si="33"/>
        <v>16.987000000000002</v>
      </c>
      <c r="S71" s="965">
        <f t="shared" si="33"/>
        <v>17.738</v>
      </c>
      <c r="T71" s="965">
        <f t="shared" si="33"/>
        <v>37.265000000000001</v>
      </c>
      <c r="U71" s="964">
        <f t="shared" si="33"/>
        <v>86.670000000000016</v>
      </c>
      <c r="V71" s="965">
        <f t="shared" si="33"/>
        <v>16.391999999999999</v>
      </c>
      <c r="W71" s="965">
        <f t="shared" si="33"/>
        <v>21.045000000000002</v>
      </c>
      <c r="X71" s="965">
        <f t="shared" si="33"/>
        <v>22.001999999999995</v>
      </c>
      <c r="Y71" s="965">
        <f t="shared" si="33"/>
        <v>20.948999999999998</v>
      </c>
      <c r="Z71" s="964">
        <f t="shared" si="33"/>
        <v>80.388000000000005</v>
      </c>
      <c r="AA71" s="965">
        <f t="shared" si="33"/>
        <v>18.246000000000002</v>
      </c>
      <c r="AB71" s="965">
        <f t="shared" si="33"/>
        <v>22.875</v>
      </c>
      <c r="AC71" s="965">
        <f t="shared" si="33"/>
        <v>20.241</v>
      </c>
      <c r="AD71" s="965">
        <f t="shared" si="33"/>
        <v>5.8909999999999965</v>
      </c>
      <c r="AE71" s="964">
        <f t="shared" si="33"/>
        <v>67.253</v>
      </c>
      <c r="AF71" s="965">
        <f t="shared" si="33"/>
        <v>17.006999999999998</v>
      </c>
      <c r="AG71" s="965">
        <f t="shared" si="33"/>
        <v>28.510000000000009</v>
      </c>
      <c r="AH71" s="965">
        <f t="shared" si="33"/>
        <v>21.784999999999997</v>
      </c>
      <c r="AI71" s="965">
        <f t="shared" si="33"/>
        <v>23.844000000000001</v>
      </c>
      <c r="AJ71" s="964">
        <f t="shared" si="33"/>
        <v>91.146000000000015</v>
      </c>
      <c r="AK71" s="965">
        <f t="shared" si="33"/>
        <v>22.137999999999998</v>
      </c>
      <c r="AL71" s="965">
        <f t="shared" si="33"/>
        <v>26.143000000000004</v>
      </c>
      <c r="AM71" s="966">
        <f t="shared" si="33"/>
        <v>26.939000000000004</v>
      </c>
      <c r="AN71" s="967">
        <f t="shared" si="33"/>
        <v>20.945028767120242</v>
      </c>
      <c r="AO71" s="968">
        <f t="shared" si="33"/>
        <v>96.165028767120219</v>
      </c>
      <c r="AP71" s="967">
        <f t="shared" ca="1" si="33"/>
        <v>18.954562767912037</v>
      </c>
      <c r="AQ71" s="967">
        <f t="shared" ca="1" si="33"/>
        <v>22.206751913092489</v>
      </c>
      <c r="AR71" s="967">
        <f t="shared" ca="1" si="33"/>
        <v>22.147386808327077</v>
      </c>
      <c r="AS71" s="967">
        <f t="shared" ca="1" si="33"/>
        <v>21.248925052620088</v>
      </c>
      <c r="AT71" s="968">
        <f t="shared" ca="1" si="33"/>
        <v>84.557626541951691</v>
      </c>
      <c r="AU71" s="968">
        <f t="shared" ca="1" si="33"/>
        <v>88.61773927254518</v>
      </c>
      <c r="AV71" s="968">
        <f t="shared" ca="1" si="33"/>
        <v>91.010640692377962</v>
      </c>
      <c r="AW71" s="968">
        <f t="shared" ca="1" si="33"/>
        <v>94.015319194709321</v>
      </c>
      <c r="AX71" s="807"/>
    </row>
    <row r="72" spans="1:50" s="91" customFormat="1" x14ac:dyDescent="0.45">
      <c r="A72" s="539" t="str">
        <f>INDEX(MO_CFSum_Capex,0,COLUMN())</f>
        <v>Capex</v>
      </c>
      <c r="B72" s="540"/>
      <c r="C72" s="953">
        <f t="shared" ref="C72:AW72" si="34">INDEX(MO_CFSum_Capex,0,COLUMN())</f>
        <v>-12.856</v>
      </c>
      <c r="D72" s="953">
        <f t="shared" si="34"/>
        <v>-17.499000000000002</v>
      </c>
      <c r="E72" s="953">
        <f t="shared" si="34"/>
        <v>-23.420999999999999</v>
      </c>
      <c r="F72" s="953">
        <f t="shared" si="34"/>
        <v>-39.423999999999999</v>
      </c>
      <c r="G72" s="954">
        <f t="shared" si="34"/>
        <v>-9.1349999999999998</v>
      </c>
      <c r="H72" s="954">
        <f t="shared" si="34"/>
        <v>-10.771000000000001</v>
      </c>
      <c r="I72" s="954">
        <f t="shared" si="34"/>
        <v>-6.4560000000000022</v>
      </c>
      <c r="J72" s="954">
        <f t="shared" si="34"/>
        <v>-2.3559999999999972</v>
      </c>
      <c r="K72" s="953">
        <f t="shared" si="34"/>
        <v>-28.718</v>
      </c>
      <c r="L72" s="954">
        <f t="shared" si="34"/>
        <v>-5.157</v>
      </c>
      <c r="M72" s="954">
        <f t="shared" si="34"/>
        <v>-5.7149999999999999</v>
      </c>
      <c r="N72" s="954">
        <f t="shared" si="34"/>
        <v>-4.1070000000000002</v>
      </c>
      <c r="O72" s="954">
        <f t="shared" si="34"/>
        <v>-6.1530000000000005</v>
      </c>
      <c r="P72" s="953">
        <f t="shared" si="34"/>
        <v>-21.132000000000001</v>
      </c>
      <c r="Q72" s="954">
        <f t="shared" si="34"/>
        <v>-6.9719999999999995</v>
      </c>
      <c r="R72" s="954">
        <f t="shared" si="34"/>
        <v>-5.7270000000000003</v>
      </c>
      <c r="S72" s="954">
        <f t="shared" si="34"/>
        <v>-8.8309999999999995</v>
      </c>
      <c r="T72" s="954">
        <f t="shared" si="34"/>
        <v>-7.1580000000000013</v>
      </c>
      <c r="U72" s="953">
        <f t="shared" si="34"/>
        <v>-28.688000000000002</v>
      </c>
      <c r="V72" s="954">
        <f t="shared" si="34"/>
        <v>-6.41</v>
      </c>
      <c r="W72" s="954">
        <f t="shared" si="34"/>
        <v>-3.8979999999999997</v>
      </c>
      <c r="X72" s="954">
        <f t="shared" si="34"/>
        <v>-4.3050000000000015</v>
      </c>
      <c r="Y72" s="954">
        <f t="shared" si="34"/>
        <v>-5.8009999999999984</v>
      </c>
      <c r="Z72" s="953">
        <f t="shared" si="34"/>
        <v>-20.414000000000001</v>
      </c>
      <c r="AA72" s="954">
        <f t="shared" si="34"/>
        <v>-7.7190000000000003</v>
      </c>
      <c r="AB72" s="954">
        <f t="shared" si="34"/>
        <v>-7.3280000000000003</v>
      </c>
      <c r="AC72" s="954">
        <f t="shared" si="34"/>
        <v>-6.2059999999999995</v>
      </c>
      <c r="AD72" s="954">
        <f t="shared" si="34"/>
        <v>-7.4129999999999985</v>
      </c>
      <c r="AE72" s="953">
        <f t="shared" si="34"/>
        <v>-28.665999999999997</v>
      </c>
      <c r="AF72" s="954">
        <f t="shared" si="34"/>
        <v>-6.9640000000000004</v>
      </c>
      <c r="AG72" s="954">
        <f t="shared" si="34"/>
        <v>-6.3559999999999999</v>
      </c>
      <c r="AH72" s="954">
        <f t="shared" si="34"/>
        <v>-5.641</v>
      </c>
      <c r="AI72" s="954">
        <f t="shared" si="34"/>
        <v>-6.5620000000000021</v>
      </c>
      <c r="AJ72" s="953">
        <f t="shared" si="34"/>
        <v>-25.523000000000003</v>
      </c>
      <c r="AK72" s="954">
        <f t="shared" si="34"/>
        <v>-8.4239999999999995</v>
      </c>
      <c r="AL72" s="954">
        <f t="shared" si="34"/>
        <v>-6.669999999999999</v>
      </c>
      <c r="AM72" s="955">
        <f t="shared" si="34"/>
        <v>-6.6420000000000003</v>
      </c>
      <c r="AN72" s="954">
        <f t="shared" si="34"/>
        <v>-7.2</v>
      </c>
      <c r="AO72" s="953">
        <f t="shared" si="34"/>
        <v>-28.936</v>
      </c>
      <c r="AP72" s="954">
        <f t="shared" si="34"/>
        <v>-7.4</v>
      </c>
      <c r="AQ72" s="954">
        <f t="shared" si="34"/>
        <v>-7.4</v>
      </c>
      <c r="AR72" s="954">
        <f t="shared" si="34"/>
        <v>-7.4</v>
      </c>
      <c r="AS72" s="954">
        <f t="shared" si="34"/>
        <v>-7.4</v>
      </c>
      <c r="AT72" s="953">
        <f t="shared" si="34"/>
        <v>-29.6</v>
      </c>
      <c r="AU72" s="953">
        <f t="shared" si="34"/>
        <v>-31</v>
      </c>
      <c r="AV72" s="953">
        <f t="shared" si="34"/>
        <v>-32.4</v>
      </c>
      <c r="AW72" s="953">
        <f t="shared" si="34"/>
        <v>-33.799999999999997</v>
      </c>
      <c r="AX72" s="806"/>
    </row>
    <row r="73" spans="1:50" s="93" customFormat="1" x14ac:dyDescent="0.45">
      <c r="A73" s="258" t="s">
        <v>283</v>
      </c>
      <c r="B73" s="259"/>
      <c r="C73" s="956">
        <f t="shared" ref="C73:AW73" si="35">SUM(C71:C72)</f>
        <v>51.67499999999999</v>
      </c>
      <c r="D73" s="956">
        <f t="shared" si="35"/>
        <v>61.349999999999987</v>
      </c>
      <c r="E73" s="956">
        <f t="shared" si="35"/>
        <v>67.168000000000006</v>
      </c>
      <c r="F73" s="956">
        <f t="shared" si="35"/>
        <v>46.124000000000002</v>
      </c>
      <c r="G73" s="957">
        <f t="shared" si="35"/>
        <v>13.110999999999999</v>
      </c>
      <c r="H73" s="957">
        <f t="shared" si="35"/>
        <v>8.7479999999999976</v>
      </c>
      <c r="I73" s="957">
        <f t="shared" si="35"/>
        <v>14.891999999999996</v>
      </c>
      <c r="J73" s="957">
        <f t="shared" si="35"/>
        <v>5.0020000000000042</v>
      </c>
      <c r="K73" s="956">
        <f t="shared" si="35"/>
        <v>41.753</v>
      </c>
      <c r="L73" s="957">
        <f t="shared" si="35"/>
        <v>7.8800000000000008</v>
      </c>
      <c r="M73" s="957">
        <f t="shared" si="35"/>
        <v>8.163000000000002</v>
      </c>
      <c r="N73" s="957">
        <f t="shared" si="35"/>
        <v>12.143999999999998</v>
      </c>
      <c r="O73" s="957">
        <f t="shared" si="35"/>
        <v>1.5590000000000028</v>
      </c>
      <c r="P73" s="956">
        <f t="shared" si="35"/>
        <v>29.745999999999999</v>
      </c>
      <c r="Q73" s="957">
        <f t="shared" si="35"/>
        <v>7.7080000000000002</v>
      </c>
      <c r="R73" s="957">
        <f t="shared" si="35"/>
        <v>11.260000000000002</v>
      </c>
      <c r="S73" s="957">
        <f t="shared" si="35"/>
        <v>8.907</v>
      </c>
      <c r="T73" s="957">
        <f t="shared" si="35"/>
        <v>30.106999999999999</v>
      </c>
      <c r="U73" s="956">
        <f t="shared" si="35"/>
        <v>57.982000000000014</v>
      </c>
      <c r="V73" s="957">
        <f t="shared" si="35"/>
        <v>9.9819999999999993</v>
      </c>
      <c r="W73" s="957">
        <f t="shared" si="35"/>
        <v>17.147000000000002</v>
      </c>
      <c r="X73" s="957">
        <f t="shared" si="35"/>
        <v>17.696999999999996</v>
      </c>
      <c r="Y73" s="957">
        <f t="shared" si="35"/>
        <v>15.148</v>
      </c>
      <c r="Z73" s="956">
        <f t="shared" si="35"/>
        <v>59.974000000000004</v>
      </c>
      <c r="AA73" s="957">
        <f t="shared" si="35"/>
        <v>10.527000000000001</v>
      </c>
      <c r="AB73" s="957">
        <f t="shared" si="35"/>
        <v>15.547000000000001</v>
      </c>
      <c r="AC73" s="957">
        <f t="shared" si="35"/>
        <v>14.035</v>
      </c>
      <c r="AD73" s="957">
        <f t="shared" si="35"/>
        <v>-1.522000000000002</v>
      </c>
      <c r="AE73" s="956">
        <f t="shared" si="35"/>
        <v>38.587000000000003</v>
      </c>
      <c r="AF73" s="957">
        <f t="shared" si="35"/>
        <v>10.042999999999997</v>
      </c>
      <c r="AG73" s="957">
        <f t="shared" si="35"/>
        <v>22.154000000000011</v>
      </c>
      <c r="AH73" s="957">
        <f t="shared" si="35"/>
        <v>16.143999999999998</v>
      </c>
      <c r="AI73" s="957">
        <f t="shared" si="35"/>
        <v>17.282</v>
      </c>
      <c r="AJ73" s="956">
        <f t="shared" si="35"/>
        <v>65.623000000000019</v>
      </c>
      <c r="AK73" s="957">
        <f t="shared" si="35"/>
        <v>13.713999999999999</v>
      </c>
      <c r="AL73" s="957">
        <f t="shared" si="35"/>
        <v>19.473000000000006</v>
      </c>
      <c r="AM73" s="958">
        <f t="shared" si="35"/>
        <v>20.297000000000004</v>
      </c>
      <c r="AN73" s="957">
        <f t="shared" si="35"/>
        <v>13.745028767120242</v>
      </c>
      <c r="AO73" s="956">
        <f t="shared" si="35"/>
        <v>67.229028767120212</v>
      </c>
      <c r="AP73" s="957">
        <f t="shared" ca="1" si="35"/>
        <v>11.554562767912037</v>
      </c>
      <c r="AQ73" s="957">
        <f t="shared" ca="1" si="35"/>
        <v>14.806751913092489</v>
      </c>
      <c r="AR73" s="957">
        <f t="shared" ca="1" si="35"/>
        <v>14.747386808327077</v>
      </c>
      <c r="AS73" s="957">
        <f t="shared" ca="1" si="35"/>
        <v>13.848925052620087</v>
      </c>
      <c r="AT73" s="956">
        <f t="shared" ca="1" si="35"/>
        <v>54.95762654195169</v>
      </c>
      <c r="AU73" s="956">
        <f t="shared" ca="1" si="35"/>
        <v>57.61773927254518</v>
      </c>
      <c r="AV73" s="956">
        <f t="shared" ca="1" si="35"/>
        <v>58.610640692377963</v>
      </c>
      <c r="AW73" s="956">
        <f t="shared" ca="1" si="35"/>
        <v>60.215319194709323</v>
      </c>
      <c r="AX73" s="807"/>
    </row>
    <row r="74" spans="1:50" s="91" customFormat="1" x14ac:dyDescent="0.45">
      <c r="A74" s="539" t="str">
        <f>INDEX(MO_CFSum_Dividend,0,COLUMN())</f>
        <v>Dividend Paid</v>
      </c>
      <c r="B74" s="540"/>
      <c r="C74" s="953">
        <f t="shared" ref="C74:AW74" si="36">INDEX(MO_CFSum_Dividend,0,COLUMN())</f>
        <v>-34.274999999999999</v>
      </c>
      <c r="D74" s="953">
        <f t="shared" si="36"/>
        <v>-34.716000000000001</v>
      </c>
      <c r="E74" s="953">
        <f t="shared" si="36"/>
        <v>-40.988999999999997</v>
      </c>
      <c r="F74" s="953">
        <f t="shared" si="36"/>
        <v>-41.534999999999997</v>
      </c>
      <c r="G74" s="954">
        <f t="shared" si="36"/>
        <v>-10.417</v>
      </c>
      <c r="H74" s="954">
        <f t="shared" si="36"/>
        <v>-10.426</v>
      </c>
      <c r="I74" s="954">
        <f t="shared" si="36"/>
        <v>-10.672000000000001</v>
      </c>
      <c r="J74" s="954">
        <f t="shared" si="36"/>
        <v>-10.688000000000002</v>
      </c>
      <c r="K74" s="953">
        <f t="shared" si="36"/>
        <v>-42.203000000000003</v>
      </c>
      <c r="L74" s="954">
        <f t="shared" si="36"/>
        <v>-10.686999999999999</v>
      </c>
      <c r="M74" s="954">
        <f t="shared" si="36"/>
        <v>-10.688000000000001</v>
      </c>
      <c r="N74" s="954">
        <f t="shared" si="36"/>
        <v>-10.698</v>
      </c>
      <c r="O74" s="954">
        <f t="shared" si="36"/>
        <v>-10.697000000000003</v>
      </c>
      <c r="P74" s="953">
        <f t="shared" si="36"/>
        <v>-42.77</v>
      </c>
      <c r="Q74" s="954">
        <f t="shared" si="36"/>
        <v>-10.7</v>
      </c>
      <c r="R74" s="954">
        <f t="shared" si="36"/>
        <v>-10.702999999999999</v>
      </c>
      <c r="S74" s="954">
        <f t="shared" si="36"/>
        <v>-10.722000000000001</v>
      </c>
      <c r="T74" s="954">
        <f t="shared" si="36"/>
        <v>-10.725000000000001</v>
      </c>
      <c r="U74" s="953">
        <f t="shared" si="36"/>
        <v>-42.85</v>
      </c>
      <c r="V74" s="954">
        <f t="shared" si="36"/>
        <v>0</v>
      </c>
      <c r="W74" s="954">
        <f t="shared" si="36"/>
        <v>0</v>
      </c>
      <c r="X74" s="954">
        <f t="shared" si="36"/>
        <v>0</v>
      </c>
      <c r="Y74" s="954">
        <f t="shared" si="36"/>
        <v>0</v>
      </c>
      <c r="Z74" s="953">
        <f t="shared" si="36"/>
        <v>0</v>
      </c>
      <c r="AA74" s="954">
        <f t="shared" si="36"/>
        <v>0</v>
      </c>
      <c r="AB74" s="954">
        <f t="shared" si="36"/>
        <v>0</v>
      </c>
      <c r="AC74" s="954">
        <f t="shared" si="36"/>
        <v>0</v>
      </c>
      <c r="AD74" s="954">
        <f t="shared" si="36"/>
        <v>0</v>
      </c>
      <c r="AE74" s="953">
        <f t="shared" si="36"/>
        <v>0</v>
      </c>
      <c r="AF74" s="954">
        <f t="shared" si="36"/>
        <v>0</v>
      </c>
      <c r="AG74" s="954">
        <f t="shared" si="36"/>
        <v>0</v>
      </c>
      <c r="AH74" s="954">
        <f t="shared" si="36"/>
        <v>0</v>
      </c>
      <c r="AI74" s="954">
        <f t="shared" si="36"/>
        <v>0</v>
      </c>
      <c r="AJ74" s="953">
        <f t="shared" si="36"/>
        <v>0</v>
      </c>
      <c r="AK74" s="954">
        <f t="shared" si="36"/>
        <v>0</v>
      </c>
      <c r="AL74" s="954">
        <f t="shared" si="36"/>
        <v>0</v>
      </c>
      <c r="AM74" s="955">
        <f t="shared" si="36"/>
        <v>0</v>
      </c>
      <c r="AN74" s="954">
        <f t="shared" ca="1" si="36"/>
        <v>0</v>
      </c>
      <c r="AO74" s="953">
        <f t="shared" ca="1" si="36"/>
        <v>0</v>
      </c>
      <c r="AP74" s="954">
        <f t="shared" ca="1" si="36"/>
        <v>0</v>
      </c>
      <c r="AQ74" s="954">
        <f t="shared" ca="1" si="36"/>
        <v>0</v>
      </c>
      <c r="AR74" s="954">
        <f t="shared" ca="1" si="36"/>
        <v>0</v>
      </c>
      <c r="AS74" s="954">
        <f t="shared" ca="1" si="36"/>
        <v>0</v>
      </c>
      <c r="AT74" s="953">
        <f t="shared" ca="1" si="36"/>
        <v>0</v>
      </c>
      <c r="AU74" s="953">
        <f t="shared" ca="1" si="36"/>
        <v>0</v>
      </c>
      <c r="AV74" s="953">
        <f t="shared" ca="1" si="36"/>
        <v>0</v>
      </c>
      <c r="AW74" s="953">
        <f t="shared" ca="1" si="36"/>
        <v>0</v>
      </c>
      <c r="AX74" s="806"/>
    </row>
    <row r="75" spans="1:50" s="93" customFormat="1" x14ac:dyDescent="0.45">
      <c r="A75" s="258" t="s">
        <v>284</v>
      </c>
      <c r="B75" s="259"/>
      <c r="C75" s="956">
        <f t="shared" ref="C75:AW75" si="37">SUM(C73:C74)</f>
        <v>17.399999999999991</v>
      </c>
      <c r="D75" s="956">
        <f t="shared" si="37"/>
        <v>26.633999999999986</v>
      </c>
      <c r="E75" s="956">
        <f t="shared" si="37"/>
        <v>26.179000000000009</v>
      </c>
      <c r="F75" s="956">
        <f t="shared" si="37"/>
        <v>4.5890000000000057</v>
      </c>
      <c r="G75" s="957">
        <f t="shared" si="37"/>
        <v>2.6939999999999991</v>
      </c>
      <c r="H75" s="957">
        <f t="shared" si="37"/>
        <v>-1.6780000000000026</v>
      </c>
      <c r="I75" s="957">
        <f t="shared" si="37"/>
        <v>4.2199999999999953</v>
      </c>
      <c r="J75" s="957">
        <f t="shared" si="37"/>
        <v>-5.6859999999999982</v>
      </c>
      <c r="K75" s="956">
        <f t="shared" si="37"/>
        <v>-0.45000000000000284</v>
      </c>
      <c r="L75" s="957">
        <f t="shared" si="37"/>
        <v>-2.8069999999999986</v>
      </c>
      <c r="M75" s="957">
        <f t="shared" si="37"/>
        <v>-2.5249999999999986</v>
      </c>
      <c r="N75" s="957">
        <f t="shared" si="37"/>
        <v>1.445999999999998</v>
      </c>
      <c r="O75" s="957">
        <f t="shared" si="37"/>
        <v>-9.1379999999999999</v>
      </c>
      <c r="P75" s="956">
        <f t="shared" si="37"/>
        <v>-13.024000000000004</v>
      </c>
      <c r="Q75" s="957">
        <f t="shared" si="37"/>
        <v>-2.9919999999999991</v>
      </c>
      <c r="R75" s="957">
        <f t="shared" si="37"/>
        <v>0.55700000000000216</v>
      </c>
      <c r="S75" s="957">
        <f t="shared" si="37"/>
        <v>-1.8150000000000013</v>
      </c>
      <c r="T75" s="957">
        <f t="shared" si="37"/>
        <v>19.381999999999998</v>
      </c>
      <c r="U75" s="956">
        <f t="shared" si="37"/>
        <v>15.132000000000012</v>
      </c>
      <c r="V75" s="957">
        <f t="shared" si="37"/>
        <v>9.9819999999999993</v>
      </c>
      <c r="W75" s="957">
        <f t="shared" si="37"/>
        <v>17.147000000000002</v>
      </c>
      <c r="X75" s="957">
        <f t="shared" si="37"/>
        <v>17.696999999999996</v>
      </c>
      <c r="Y75" s="957">
        <f t="shared" si="37"/>
        <v>15.148</v>
      </c>
      <c r="Z75" s="956">
        <f t="shared" si="37"/>
        <v>59.974000000000004</v>
      </c>
      <c r="AA75" s="957">
        <f t="shared" si="37"/>
        <v>10.527000000000001</v>
      </c>
      <c r="AB75" s="957">
        <f t="shared" si="37"/>
        <v>15.547000000000001</v>
      </c>
      <c r="AC75" s="957">
        <f t="shared" si="37"/>
        <v>14.035</v>
      </c>
      <c r="AD75" s="957">
        <f t="shared" si="37"/>
        <v>-1.522000000000002</v>
      </c>
      <c r="AE75" s="956">
        <f t="shared" si="37"/>
        <v>38.587000000000003</v>
      </c>
      <c r="AF75" s="957">
        <f t="shared" si="37"/>
        <v>10.042999999999997</v>
      </c>
      <c r="AG75" s="957">
        <f t="shared" si="37"/>
        <v>22.154000000000011</v>
      </c>
      <c r="AH75" s="957">
        <f t="shared" si="37"/>
        <v>16.143999999999998</v>
      </c>
      <c r="AI75" s="957">
        <f t="shared" si="37"/>
        <v>17.282</v>
      </c>
      <c r="AJ75" s="956">
        <f t="shared" si="37"/>
        <v>65.623000000000019</v>
      </c>
      <c r="AK75" s="957">
        <f t="shared" si="37"/>
        <v>13.713999999999999</v>
      </c>
      <c r="AL75" s="957">
        <f t="shared" si="37"/>
        <v>19.473000000000006</v>
      </c>
      <c r="AM75" s="958">
        <f t="shared" si="37"/>
        <v>20.297000000000004</v>
      </c>
      <c r="AN75" s="957">
        <f t="shared" ca="1" si="37"/>
        <v>13.745028767120242</v>
      </c>
      <c r="AO75" s="956">
        <f t="shared" ca="1" si="37"/>
        <v>67.229028767120212</v>
      </c>
      <c r="AP75" s="957">
        <f t="shared" ca="1" si="37"/>
        <v>11.554562767912037</v>
      </c>
      <c r="AQ75" s="957">
        <f t="shared" ca="1" si="37"/>
        <v>14.806751913092489</v>
      </c>
      <c r="AR75" s="957">
        <f t="shared" ca="1" si="37"/>
        <v>14.747386808327077</v>
      </c>
      <c r="AS75" s="957">
        <f t="shared" ca="1" si="37"/>
        <v>13.848925052620087</v>
      </c>
      <c r="AT75" s="956">
        <f t="shared" ca="1" si="37"/>
        <v>54.95762654195169</v>
      </c>
      <c r="AU75" s="956">
        <f t="shared" ca="1" si="37"/>
        <v>57.61773927254518</v>
      </c>
      <c r="AV75" s="956">
        <f t="shared" ca="1" si="37"/>
        <v>58.610640692377963</v>
      </c>
      <c r="AW75" s="956">
        <f t="shared" ca="1" si="37"/>
        <v>60.215319194709323</v>
      </c>
      <c r="AX75" s="807"/>
    </row>
    <row r="76" spans="1:50" s="91" customFormat="1" x14ac:dyDescent="0.45">
      <c r="A76" s="256" t="str">
        <f>INDEX(MO_CFSum_Acquisition,0,COLUMN())</f>
        <v>Acquisitions</v>
      </c>
      <c r="B76" s="257"/>
      <c r="C76" s="959">
        <f t="shared" ref="C76:AW76" si="38">INDEX(MO_CFSum_Acquisition,0,COLUMN())</f>
        <v>-1.514</v>
      </c>
      <c r="D76" s="959">
        <f t="shared" si="38"/>
        <v>0</v>
      </c>
      <c r="E76" s="959">
        <f t="shared" si="38"/>
        <v>-11.494</v>
      </c>
      <c r="F76" s="959">
        <f t="shared" si="38"/>
        <v>-7.1059999999999999</v>
      </c>
      <c r="G76" s="960">
        <f t="shared" si="38"/>
        <v>0</v>
      </c>
      <c r="H76" s="960">
        <f t="shared" si="38"/>
        <v>-34.802</v>
      </c>
      <c r="I76" s="960">
        <f t="shared" si="38"/>
        <v>-0.23100000000000165</v>
      </c>
      <c r="J76" s="960">
        <f t="shared" si="38"/>
        <v>0</v>
      </c>
      <c r="K76" s="959">
        <f t="shared" si="38"/>
        <v>-35.033000000000001</v>
      </c>
      <c r="L76" s="960">
        <f t="shared" si="38"/>
        <v>0</v>
      </c>
      <c r="M76" s="960">
        <f t="shared" si="38"/>
        <v>0</v>
      </c>
      <c r="N76" s="960">
        <f t="shared" si="38"/>
        <v>0</v>
      </c>
      <c r="O76" s="960">
        <f t="shared" si="38"/>
        <v>-2.3450000000000002</v>
      </c>
      <c r="P76" s="959">
        <f t="shared" si="38"/>
        <v>-2.3450000000000002</v>
      </c>
      <c r="Q76" s="960">
        <f t="shared" si="38"/>
        <v>0</v>
      </c>
      <c r="R76" s="960">
        <f t="shared" si="38"/>
        <v>0</v>
      </c>
      <c r="S76" s="960">
        <f t="shared" si="38"/>
        <v>0</v>
      </c>
      <c r="T76" s="960">
        <f t="shared" si="38"/>
        <v>-163.84299999999999</v>
      </c>
      <c r="U76" s="959">
        <f t="shared" si="38"/>
        <v>-163.84299999999999</v>
      </c>
      <c r="V76" s="960">
        <f t="shared" si="38"/>
        <v>0</v>
      </c>
      <c r="W76" s="960">
        <f t="shared" si="38"/>
        <v>0</v>
      </c>
      <c r="X76" s="960">
        <f t="shared" si="38"/>
        <v>0</v>
      </c>
      <c r="Y76" s="960">
        <f t="shared" si="38"/>
        <v>0</v>
      </c>
      <c r="Z76" s="959">
        <f t="shared" si="38"/>
        <v>0</v>
      </c>
      <c r="AA76" s="960">
        <f t="shared" si="38"/>
        <v>-33.856000000000002</v>
      </c>
      <c r="AB76" s="960">
        <f t="shared" si="38"/>
        <v>-25.036000000000001</v>
      </c>
      <c r="AC76" s="960">
        <f t="shared" si="38"/>
        <v>0</v>
      </c>
      <c r="AD76" s="960">
        <f t="shared" si="38"/>
        <v>-3.9749999999999943</v>
      </c>
      <c r="AE76" s="959">
        <f t="shared" si="38"/>
        <v>-62.866999999999997</v>
      </c>
      <c r="AF76" s="960">
        <f t="shared" si="38"/>
        <v>0</v>
      </c>
      <c r="AG76" s="960">
        <f t="shared" si="38"/>
        <v>0</v>
      </c>
      <c r="AH76" s="960">
        <f t="shared" si="38"/>
        <v>0</v>
      </c>
      <c r="AI76" s="960">
        <f t="shared" si="38"/>
        <v>0</v>
      </c>
      <c r="AJ76" s="959">
        <f t="shared" si="38"/>
        <v>0</v>
      </c>
      <c r="AK76" s="960">
        <f t="shared" si="38"/>
        <v>0</v>
      </c>
      <c r="AL76" s="960">
        <f t="shared" si="38"/>
        <v>0</v>
      </c>
      <c r="AM76" s="961">
        <f t="shared" si="38"/>
        <v>-71.605000000000004</v>
      </c>
      <c r="AN76" s="962">
        <f t="shared" si="38"/>
        <v>0</v>
      </c>
      <c r="AO76" s="963">
        <f t="shared" si="38"/>
        <v>-71.605000000000004</v>
      </c>
      <c r="AP76" s="962">
        <f t="shared" si="38"/>
        <v>0</v>
      </c>
      <c r="AQ76" s="962">
        <f t="shared" si="38"/>
        <v>0</v>
      </c>
      <c r="AR76" s="962">
        <f t="shared" si="38"/>
        <v>0</v>
      </c>
      <c r="AS76" s="962">
        <f t="shared" si="38"/>
        <v>0</v>
      </c>
      <c r="AT76" s="963">
        <f t="shared" si="38"/>
        <v>0</v>
      </c>
      <c r="AU76" s="963">
        <f t="shared" si="38"/>
        <v>0</v>
      </c>
      <c r="AV76" s="963">
        <f t="shared" si="38"/>
        <v>0</v>
      </c>
      <c r="AW76" s="963">
        <f t="shared" si="38"/>
        <v>0</v>
      </c>
      <c r="AX76" s="806"/>
    </row>
    <row r="77" spans="1:50" s="91" customFormat="1" x14ac:dyDescent="0.45">
      <c r="A77" s="256" t="str">
        <f>INDEX(MO_CFSum_Divestiture,0,COLUMN())</f>
        <v>Divestiture</v>
      </c>
      <c r="B77" s="257"/>
      <c r="C77" s="959">
        <f t="shared" ref="C77:AW77" si="39">INDEX(MO_CFSum_Divestiture,0,COLUMN())</f>
        <v>0</v>
      </c>
      <c r="D77" s="959">
        <f t="shared" si="39"/>
        <v>0.33600000000000002</v>
      </c>
      <c r="E77" s="959">
        <f t="shared" si="39"/>
        <v>1.0999999999999999E-2</v>
      </c>
      <c r="F77" s="959">
        <f t="shared" si="39"/>
        <v>0</v>
      </c>
      <c r="G77" s="960">
        <f t="shared" si="39"/>
        <v>0</v>
      </c>
      <c r="H77" s="960">
        <f t="shared" si="39"/>
        <v>0</v>
      </c>
      <c r="I77" s="960">
        <f t="shared" si="39"/>
        <v>0</v>
      </c>
      <c r="J77" s="960">
        <f t="shared" si="39"/>
        <v>0</v>
      </c>
      <c r="K77" s="959">
        <f t="shared" si="39"/>
        <v>0</v>
      </c>
      <c r="L77" s="960">
        <f t="shared" si="39"/>
        <v>0</v>
      </c>
      <c r="M77" s="960">
        <f t="shared" si="39"/>
        <v>0</v>
      </c>
      <c r="N77" s="960">
        <f t="shared" si="39"/>
        <v>0</v>
      </c>
      <c r="O77" s="960">
        <f t="shared" si="39"/>
        <v>0</v>
      </c>
      <c r="P77" s="959">
        <f t="shared" si="39"/>
        <v>0</v>
      </c>
      <c r="Q77" s="960">
        <f t="shared" si="39"/>
        <v>0</v>
      </c>
      <c r="R77" s="960">
        <f t="shared" si="39"/>
        <v>0</v>
      </c>
      <c r="S77" s="960">
        <f t="shared" si="39"/>
        <v>0</v>
      </c>
      <c r="T77" s="960">
        <f t="shared" si="39"/>
        <v>0</v>
      </c>
      <c r="U77" s="959">
        <f t="shared" si="39"/>
        <v>0</v>
      </c>
      <c r="V77" s="960">
        <f t="shared" si="39"/>
        <v>0</v>
      </c>
      <c r="W77" s="960">
        <f t="shared" si="39"/>
        <v>0</v>
      </c>
      <c r="X77" s="960">
        <f t="shared" si="39"/>
        <v>0</v>
      </c>
      <c r="Y77" s="960">
        <f t="shared" si="39"/>
        <v>0</v>
      </c>
      <c r="Z77" s="959">
        <f t="shared" si="39"/>
        <v>0</v>
      </c>
      <c r="AA77" s="960">
        <f t="shared" si="39"/>
        <v>0</v>
      </c>
      <c r="AB77" s="960">
        <f t="shared" si="39"/>
        <v>0</v>
      </c>
      <c r="AC77" s="960">
        <f t="shared" si="39"/>
        <v>0</v>
      </c>
      <c r="AD77" s="960">
        <f t="shared" si="39"/>
        <v>0</v>
      </c>
      <c r="AE77" s="959">
        <f t="shared" si="39"/>
        <v>0</v>
      </c>
      <c r="AF77" s="960">
        <f t="shared" si="39"/>
        <v>0</v>
      </c>
      <c r="AG77" s="960">
        <f t="shared" si="39"/>
        <v>0</v>
      </c>
      <c r="AH77" s="960">
        <f t="shared" si="39"/>
        <v>0</v>
      </c>
      <c r="AI77" s="960">
        <f t="shared" si="39"/>
        <v>0</v>
      </c>
      <c r="AJ77" s="959">
        <f t="shared" si="39"/>
        <v>0</v>
      </c>
      <c r="AK77" s="960">
        <f t="shared" si="39"/>
        <v>0</v>
      </c>
      <c r="AL77" s="960">
        <f t="shared" si="39"/>
        <v>0</v>
      </c>
      <c r="AM77" s="961">
        <f t="shared" si="39"/>
        <v>0</v>
      </c>
      <c r="AN77" s="962">
        <f t="shared" si="39"/>
        <v>0</v>
      </c>
      <c r="AO77" s="963">
        <f t="shared" si="39"/>
        <v>0</v>
      </c>
      <c r="AP77" s="962">
        <f t="shared" si="39"/>
        <v>0</v>
      </c>
      <c r="AQ77" s="962">
        <f t="shared" si="39"/>
        <v>0</v>
      </c>
      <c r="AR77" s="962">
        <f t="shared" si="39"/>
        <v>0</v>
      </c>
      <c r="AS77" s="962">
        <f t="shared" si="39"/>
        <v>0</v>
      </c>
      <c r="AT77" s="963">
        <f t="shared" si="39"/>
        <v>0</v>
      </c>
      <c r="AU77" s="963">
        <f t="shared" si="39"/>
        <v>0</v>
      </c>
      <c r="AV77" s="963">
        <f t="shared" si="39"/>
        <v>0</v>
      </c>
      <c r="AW77" s="963">
        <f t="shared" si="39"/>
        <v>0</v>
      </c>
      <c r="AX77" s="806"/>
    </row>
    <row r="78" spans="1:50" s="91" customFormat="1" x14ac:dyDescent="0.45">
      <c r="A78" s="256" t="s">
        <v>285</v>
      </c>
      <c r="B78" s="257"/>
      <c r="C78" s="959">
        <f t="shared" ref="C78:AW78" ca="1" si="40">SUM(OFFSET(INDEX(MO_CFS_CFO_BeforeWC,0,COLUMN()),1,0,ROW(INDEX(MO_CFS_CFO,0,COLUMN()))-ROW(INDEX(MO_CFS_CFO_BeforeWC,0,COLUMN()))-1,1))</f>
        <v>-9.3109999999999946</v>
      </c>
      <c r="D78" s="959">
        <f t="shared" ca="1" si="40"/>
        <v>-8.5320000000000018</v>
      </c>
      <c r="E78" s="959">
        <f t="shared" ca="1" si="40"/>
        <v>-12.484000000000004</v>
      </c>
      <c r="F78" s="959">
        <f t="shared" ca="1" si="40"/>
        <v>-17.482999999999997</v>
      </c>
      <c r="G78" s="960">
        <f t="shared" ca="1" si="40"/>
        <v>9.2810000000000006</v>
      </c>
      <c r="H78" s="960">
        <f t="shared" ca="1" si="40"/>
        <v>-7.6449999999999987</v>
      </c>
      <c r="I78" s="960">
        <f t="shared" ca="1" si="40"/>
        <v>6.8220000000000027</v>
      </c>
      <c r="J78" s="960">
        <f t="shared" ca="1" si="40"/>
        <v>25.121999999999996</v>
      </c>
      <c r="K78" s="959">
        <f t="shared" ca="1" si="40"/>
        <v>33.579999999999991</v>
      </c>
      <c r="L78" s="960">
        <f t="shared" ca="1" si="40"/>
        <v>5.5280000000000005</v>
      </c>
      <c r="M78" s="960">
        <f t="shared" ca="1" si="40"/>
        <v>10.298000000000002</v>
      </c>
      <c r="N78" s="960">
        <f t="shared" ca="1" si="40"/>
        <v>-0.28600000000000003</v>
      </c>
      <c r="O78" s="960">
        <f t="shared" ca="1" si="40"/>
        <v>16.34</v>
      </c>
      <c r="P78" s="959">
        <f t="shared" ca="1" si="40"/>
        <v>31.88</v>
      </c>
      <c r="Q78" s="960">
        <f t="shared" ca="1" si="40"/>
        <v>-10.973000000000001</v>
      </c>
      <c r="R78" s="960">
        <f t="shared" ca="1" si="40"/>
        <v>-6.8079999999999998</v>
      </c>
      <c r="S78" s="960">
        <f t="shared" ca="1" si="40"/>
        <v>-4.3319999999999999</v>
      </c>
      <c r="T78" s="960">
        <f t="shared" ca="1" si="40"/>
        <v>-23.760999999999996</v>
      </c>
      <c r="U78" s="959">
        <f t="shared" ca="1" si="40"/>
        <v>-45.873999999999995</v>
      </c>
      <c r="V78" s="960">
        <f t="shared" ca="1" si="40"/>
        <v>-3.4590000000000005</v>
      </c>
      <c r="W78" s="960">
        <f t="shared" ca="1" si="40"/>
        <v>22.406999999999996</v>
      </c>
      <c r="X78" s="960">
        <f t="shared" ca="1" si="40"/>
        <v>3.0359999999999987</v>
      </c>
      <c r="Y78" s="960">
        <f t="shared" ca="1" si="40"/>
        <v>8.2200000000000042</v>
      </c>
      <c r="Z78" s="959">
        <f t="shared" ca="1" si="40"/>
        <v>30.204000000000001</v>
      </c>
      <c r="AA78" s="960">
        <f t="shared" ca="1" si="40"/>
        <v>-4.4529999999999994</v>
      </c>
      <c r="AB78" s="960">
        <f t="shared" ca="1" si="40"/>
        <v>1.4259999999999997</v>
      </c>
      <c r="AC78" s="960">
        <f t="shared" ca="1" si="40"/>
        <v>-3.0830000000000006</v>
      </c>
      <c r="AD78" s="960">
        <f t="shared" ca="1" si="40"/>
        <v>12.899999999999999</v>
      </c>
      <c r="AE78" s="959">
        <f t="shared" ca="1" si="40"/>
        <v>6.7899999999999991</v>
      </c>
      <c r="AF78" s="960">
        <f t="shared" ca="1" si="40"/>
        <v>-13.994999999999999</v>
      </c>
      <c r="AG78" s="960">
        <f t="shared" ca="1" si="40"/>
        <v>-16.606000000000002</v>
      </c>
      <c r="AH78" s="960">
        <f t="shared" ca="1" si="40"/>
        <v>-3.4220000000000015</v>
      </c>
      <c r="AI78" s="960">
        <f t="shared" ca="1" si="40"/>
        <v>-6.6479999999999961</v>
      </c>
      <c r="AJ78" s="959">
        <f t="shared" ca="1" si="40"/>
        <v>-40.670999999999999</v>
      </c>
      <c r="AK78" s="960">
        <f t="shared" ca="1" si="40"/>
        <v>-5.1409999999999982</v>
      </c>
      <c r="AL78" s="960">
        <f t="shared" ca="1" si="40"/>
        <v>-2.3759999999999999</v>
      </c>
      <c r="AM78" s="961">
        <f t="shared" ca="1" si="40"/>
        <v>-3.3320000000000025</v>
      </c>
      <c r="AN78" s="962">
        <f t="shared" ca="1" si="40"/>
        <v>-4.0923256517704942</v>
      </c>
      <c r="AO78" s="963">
        <f t="shared" ca="1" si="40"/>
        <v>-14.941325651770494</v>
      </c>
      <c r="AP78" s="962">
        <f t="shared" ca="1" si="40"/>
        <v>0.24710196554922031</v>
      </c>
      <c r="AQ78" s="962">
        <f t="shared" ca="1" si="40"/>
        <v>0.25176976925404704</v>
      </c>
      <c r="AR78" s="962">
        <f t="shared" ca="1" si="40"/>
        <v>-1.202510229303257</v>
      </c>
      <c r="AS78" s="962">
        <f t="shared" ca="1" si="40"/>
        <v>-0.37494614208341392</v>
      </c>
      <c r="AT78" s="963">
        <f t="shared" ca="1" si="40"/>
        <v>-1.0785846365834035</v>
      </c>
      <c r="AU78" s="963">
        <f t="shared" ca="1" si="40"/>
        <v>-0.77421346877942243</v>
      </c>
      <c r="AV78" s="963">
        <f t="shared" ca="1" si="40"/>
        <v>-1.3887867323947485</v>
      </c>
      <c r="AW78" s="963">
        <f t="shared" ca="1" si="40"/>
        <v>-0.44052814694669262</v>
      </c>
      <c r="AX78" s="806"/>
    </row>
    <row r="79" spans="1:50" s="91" customFormat="1" x14ac:dyDescent="0.45">
      <c r="A79" s="256" t="s">
        <v>286</v>
      </c>
      <c r="B79" s="257"/>
      <c r="C79" s="959">
        <f t="shared" ref="C79:AW79" si="41">INDEX(MO_CFSum_NetShares,0,COLUMN())</f>
        <v>5.8550000000000004</v>
      </c>
      <c r="D79" s="959">
        <f t="shared" si="41"/>
        <v>5.7169999999999996</v>
      </c>
      <c r="E79" s="959">
        <f t="shared" si="41"/>
        <v>12.789</v>
      </c>
      <c r="F79" s="959">
        <f t="shared" si="41"/>
        <v>0.94799999999999995</v>
      </c>
      <c r="G79" s="960">
        <f t="shared" si="41"/>
        <v>0.25</v>
      </c>
      <c r="H79" s="960">
        <f t="shared" si="41"/>
        <v>1.2849999999999999</v>
      </c>
      <c r="I79" s="960">
        <f t="shared" si="41"/>
        <v>0.66500000000000026</v>
      </c>
      <c r="J79" s="960">
        <f t="shared" si="41"/>
        <v>0</v>
      </c>
      <c r="K79" s="959">
        <f t="shared" si="41"/>
        <v>2.2000000000000002</v>
      </c>
      <c r="L79" s="960">
        <f t="shared" si="41"/>
        <v>-5.3999999999999999E-2</v>
      </c>
      <c r="M79" s="960">
        <f t="shared" si="41"/>
        <v>-1.0000000000000009E-3</v>
      </c>
      <c r="N79" s="960">
        <f t="shared" si="41"/>
        <v>0.22500000000000001</v>
      </c>
      <c r="O79" s="960">
        <f t="shared" si="41"/>
        <v>0.21299999999999999</v>
      </c>
      <c r="P79" s="959">
        <f t="shared" si="41"/>
        <v>0.38300000000000001</v>
      </c>
      <c r="Q79" s="960">
        <f t="shared" si="41"/>
        <v>0.22500000000000001</v>
      </c>
      <c r="R79" s="960">
        <f t="shared" si="41"/>
        <v>0.254</v>
      </c>
      <c r="S79" s="960">
        <f t="shared" si="41"/>
        <v>0.253</v>
      </c>
      <c r="T79" s="960">
        <f t="shared" si="41"/>
        <v>0.26</v>
      </c>
      <c r="U79" s="959">
        <f t="shared" si="41"/>
        <v>0.99199999999999999</v>
      </c>
      <c r="V79" s="960">
        <f t="shared" si="41"/>
        <v>0.35899999999999999</v>
      </c>
      <c r="W79" s="960">
        <f t="shared" si="41"/>
        <v>0.34299999999999997</v>
      </c>
      <c r="X79" s="960">
        <f t="shared" si="41"/>
        <v>0.29700000000000004</v>
      </c>
      <c r="Y79" s="960">
        <f t="shared" si="41"/>
        <v>0.31100000000000005</v>
      </c>
      <c r="Z79" s="959">
        <f t="shared" si="41"/>
        <v>1.31</v>
      </c>
      <c r="AA79" s="960">
        <f t="shared" si="41"/>
        <v>3.97</v>
      </c>
      <c r="AB79" s="960">
        <f t="shared" si="41"/>
        <v>0.35000000000000009</v>
      </c>
      <c r="AC79" s="960">
        <f t="shared" si="41"/>
        <v>0.3199999999999994</v>
      </c>
      <c r="AD79" s="960">
        <f t="shared" si="41"/>
        <v>0.24900000000000055</v>
      </c>
      <c r="AE79" s="959">
        <f t="shared" si="41"/>
        <v>4.8890000000000002</v>
      </c>
      <c r="AF79" s="960">
        <f t="shared" si="41"/>
        <v>1.3520000000000001</v>
      </c>
      <c r="AG79" s="960">
        <f t="shared" si="41"/>
        <v>2.7559999999999993</v>
      </c>
      <c r="AH79" s="960">
        <f t="shared" si="41"/>
        <v>0.39700000000000024</v>
      </c>
      <c r="AI79" s="960">
        <f t="shared" si="41"/>
        <v>3.0280000000000005</v>
      </c>
      <c r="AJ79" s="959">
        <f t="shared" si="41"/>
        <v>7.5330000000000004</v>
      </c>
      <c r="AK79" s="960">
        <f t="shared" si="41"/>
        <v>1.0960000000000001</v>
      </c>
      <c r="AL79" s="960">
        <f t="shared" si="41"/>
        <v>0.48599999999999999</v>
      </c>
      <c r="AM79" s="961">
        <f t="shared" si="41"/>
        <v>0.49399999999999999</v>
      </c>
      <c r="AN79" s="962">
        <f t="shared" si="41"/>
        <v>0</v>
      </c>
      <c r="AO79" s="963">
        <f t="shared" si="41"/>
        <v>2.0760000000000001</v>
      </c>
      <c r="AP79" s="962">
        <f t="shared" si="41"/>
        <v>0</v>
      </c>
      <c r="AQ79" s="962">
        <f t="shared" si="41"/>
        <v>0</v>
      </c>
      <c r="AR79" s="962">
        <f t="shared" si="41"/>
        <v>0</v>
      </c>
      <c r="AS79" s="962">
        <f t="shared" si="41"/>
        <v>0</v>
      </c>
      <c r="AT79" s="963">
        <f t="shared" si="41"/>
        <v>0</v>
      </c>
      <c r="AU79" s="963">
        <f t="shared" si="41"/>
        <v>0</v>
      </c>
      <c r="AV79" s="963">
        <f t="shared" si="41"/>
        <v>0</v>
      </c>
      <c r="AW79" s="963">
        <f t="shared" si="41"/>
        <v>0</v>
      </c>
      <c r="AX79" s="806"/>
    </row>
    <row r="80" spans="1:50" s="91" customFormat="1" x14ac:dyDescent="0.45">
      <c r="A80" s="256" t="s">
        <v>287</v>
      </c>
      <c r="B80" s="257"/>
      <c r="C80" s="959">
        <f t="shared" ref="C80:AW80" si="42">INDEX(MO_CFSum_NetDebtIssuance,0,COLUMN())</f>
        <v>1.5760000000000001</v>
      </c>
      <c r="D80" s="959">
        <f t="shared" si="42"/>
        <v>1.524</v>
      </c>
      <c r="E80" s="959">
        <f t="shared" si="42"/>
        <v>4.1449999999999996</v>
      </c>
      <c r="F80" s="959">
        <f t="shared" si="42"/>
        <v>8.4000000000000005E-2</v>
      </c>
      <c r="G80" s="960">
        <f t="shared" si="42"/>
        <v>0.05</v>
      </c>
      <c r="H80" s="960">
        <f t="shared" si="42"/>
        <v>1.1999999999999997E-2</v>
      </c>
      <c r="I80" s="960">
        <f t="shared" si="42"/>
        <v>0</v>
      </c>
      <c r="J80" s="960">
        <f t="shared" si="42"/>
        <v>0.121</v>
      </c>
      <c r="K80" s="959">
        <f t="shared" si="42"/>
        <v>0.183</v>
      </c>
      <c r="L80" s="960">
        <f t="shared" si="42"/>
        <v>0</v>
      </c>
      <c r="M80" s="960">
        <f t="shared" si="42"/>
        <v>0</v>
      </c>
      <c r="N80" s="960">
        <f t="shared" si="42"/>
        <v>0</v>
      </c>
      <c r="O80" s="960">
        <f t="shared" si="42"/>
        <v>0</v>
      </c>
      <c r="P80" s="959">
        <f t="shared" si="42"/>
        <v>0</v>
      </c>
      <c r="Q80" s="960">
        <f t="shared" si="42"/>
        <v>0</v>
      </c>
      <c r="R80" s="960">
        <f t="shared" si="42"/>
        <v>0</v>
      </c>
      <c r="S80" s="960">
        <f t="shared" si="42"/>
        <v>0</v>
      </c>
      <c r="T80" s="960">
        <f t="shared" si="42"/>
        <v>99.617999999999981</v>
      </c>
      <c r="U80" s="959">
        <f t="shared" si="42"/>
        <v>99.617999999999981</v>
      </c>
      <c r="V80" s="960">
        <f t="shared" si="42"/>
        <v>-17</v>
      </c>
      <c r="W80" s="960">
        <f t="shared" si="42"/>
        <v>-40</v>
      </c>
      <c r="X80" s="960">
        <f t="shared" si="42"/>
        <v>-23</v>
      </c>
      <c r="Y80" s="960">
        <f t="shared" si="42"/>
        <v>-10</v>
      </c>
      <c r="Z80" s="959">
        <f t="shared" si="42"/>
        <v>-90</v>
      </c>
      <c r="AA80" s="960">
        <f t="shared" si="42"/>
        <v>30</v>
      </c>
      <c r="AB80" s="960">
        <f t="shared" si="42"/>
        <v>10</v>
      </c>
      <c r="AC80" s="960">
        <f t="shared" si="42"/>
        <v>-16</v>
      </c>
      <c r="AD80" s="960">
        <f t="shared" si="42"/>
        <v>-3.105</v>
      </c>
      <c r="AE80" s="959">
        <f t="shared" si="42"/>
        <v>20.895</v>
      </c>
      <c r="AF80" s="960">
        <f t="shared" si="42"/>
        <v>7</v>
      </c>
      <c r="AG80" s="960">
        <f t="shared" si="42"/>
        <v>-2</v>
      </c>
      <c r="AH80" s="960">
        <f t="shared" si="42"/>
        <v>-15</v>
      </c>
      <c r="AI80" s="960">
        <f t="shared" si="42"/>
        <v>-16</v>
      </c>
      <c r="AJ80" s="959">
        <f t="shared" si="42"/>
        <v>-26</v>
      </c>
      <c r="AK80" s="960">
        <f t="shared" si="42"/>
        <v>-5</v>
      </c>
      <c r="AL80" s="960">
        <f t="shared" si="42"/>
        <v>-6</v>
      </c>
      <c r="AM80" s="961">
        <f t="shared" si="42"/>
        <v>37</v>
      </c>
      <c r="AN80" s="962">
        <f t="shared" si="42"/>
        <v>0</v>
      </c>
      <c r="AO80" s="963">
        <f t="shared" si="42"/>
        <v>26</v>
      </c>
      <c r="AP80" s="962">
        <f t="shared" si="42"/>
        <v>0</v>
      </c>
      <c r="AQ80" s="962">
        <f t="shared" si="42"/>
        <v>0</v>
      </c>
      <c r="AR80" s="962">
        <f t="shared" si="42"/>
        <v>0</v>
      </c>
      <c r="AS80" s="962">
        <f t="shared" si="42"/>
        <v>0</v>
      </c>
      <c r="AT80" s="963">
        <f t="shared" si="42"/>
        <v>0</v>
      </c>
      <c r="AU80" s="963">
        <f t="shared" si="42"/>
        <v>0</v>
      </c>
      <c r="AV80" s="963">
        <f t="shared" si="42"/>
        <v>0</v>
      </c>
      <c r="AW80" s="963">
        <f t="shared" si="42"/>
        <v>0</v>
      </c>
      <c r="AX80" s="806"/>
    </row>
    <row r="81" spans="1:50" s="91" customFormat="1" x14ac:dyDescent="0.45">
      <c r="A81" s="539" t="s">
        <v>278</v>
      </c>
      <c r="B81" s="540"/>
      <c r="C81" s="953">
        <f>+Model!C520+Model!C522+Model!C524+Model!C526+Model!C535+Model!C537+Model!C540</f>
        <v>0.42499999999999999</v>
      </c>
      <c r="D81" s="953">
        <f>+Model!D520+Model!D522+Model!D524+Model!D526+Model!D535+Model!D537+Model!D540</f>
        <v>6.327</v>
      </c>
      <c r="E81" s="953">
        <f>+Model!E520+Model!E522+Model!E524+Model!E526+Model!E535+Model!E537+Model!E540</f>
        <v>-1.319</v>
      </c>
      <c r="F81" s="953">
        <f>+Model!F520+Model!F522+Model!F524+Model!F526+Model!F535+Model!F537+Model!F540</f>
        <v>-9.4770000000000003</v>
      </c>
      <c r="G81" s="954">
        <f>+Model!G520+Model!G522+Model!G524+Model!G526+Model!G535+Model!G537+Model!G540</f>
        <v>-6.2E-2</v>
      </c>
      <c r="H81" s="954">
        <f>+Model!H520+Model!H522+Model!H524+Model!H526+Model!H535+Model!H537+Model!H540</f>
        <v>-2.5679999999999996</v>
      </c>
      <c r="I81" s="954">
        <f>+Model!I520+Model!I522+Model!I524+Model!I526+Model!I535+Model!I537+Model!I540</f>
        <v>-2.1909999999999994</v>
      </c>
      <c r="J81" s="954">
        <f>+Model!J520+Model!J522+Model!J524+Model!J526+Model!J535+Model!J537+Model!J540</f>
        <v>1.4869999999999997</v>
      </c>
      <c r="K81" s="953">
        <f>+Model!K520+Model!K522+Model!K524+Model!K526+Model!K535+Model!K537+Model!K540</f>
        <v>-3.3339999999999996</v>
      </c>
      <c r="L81" s="954">
        <f>+Model!L520+Model!L522+Model!L524+Model!L526+Model!L535+Model!L537+Model!L540</f>
        <v>1.9359999999999999</v>
      </c>
      <c r="M81" s="954">
        <f>+Model!M520+Model!M522+Model!M524+Model!M526+Model!M535+Model!M537+Model!M540</f>
        <v>-0.54000000000000015</v>
      </c>
      <c r="N81" s="954">
        <f>+Model!N520+Model!N522+Model!N524+Model!N526+Model!N535+Model!N537+Model!N540</f>
        <v>-2.7249999999999988</v>
      </c>
      <c r="O81" s="954">
        <f>+Model!O520+Model!O522+Model!O524+Model!O526+Model!O535+Model!O537+Model!O540</f>
        <v>0.28299999999999959</v>
      </c>
      <c r="P81" s="953">
        <f>+Model!P520+Model!P522+Model!P524+Model!P526+Model!P535+Model!P537+Model!P540</f>
        <v>-1.0459999999999994</v>
      </c>
      <c r="Q81" s="954">
        <f>+Model!Q520+Model!Q522+Model!Q524+Model!Q526+Model!Q535+Model!Q537+Model!Q540</f>
        <v>-0.39399999999999991</v>
      </c>
      <c r="R81" s="954">
        <f>+Model!R520+Model!R522+Model!R524+Model!R526+Model!R535+Model!R537+Model!R540</f>
        <v>-0.21499999999999941</v>
      </c>
      <c r="S81" s="954">
        <f>+Model!S520+Model!S522+Model!S524+Model!S526+Model!S535+Model!S537+Model!S540</f>
        <v>-0.10500000000000087</v>
      </c>
      <c r="T81" s="954">
        <f>+Model!T520+Model!T522+Model!T524+Model!T526+Model!T535+Model!T537+Model!T540</f>
        <v>2.8720000000000008</v>
      </c>
      <c r="U81" s="953">
        <f>+Model!U520+Model!U522+Model!U524+Model!U526+Model!U535+Model!U537+Model!U540</f>
        <v>2.1580000000000004</v>
      </c>
      <c r="V81" s="954">
        <f>+Model!V520+Model!V522+Model!V524+Model!V526+Model!V535+Model!V537+Model!V540</f>
        <v>9.2910000000000004</v>
      </c>
      <c r="W81" s="954">
        <f>+Model!W520+Model!W522+Model!W524+Model!W526+Model!W535+Model!W537+Model!W540</f>
        <v>0</v>
      </c>
      <c r="X81" s="954">
        <f>+Model!X520+Model!X522+Model!X524+Model!X526+Model!X535+Model!X537+Model!X540</f>
        <v>-0.28199999999999997</v>
      </c>
      <c r="Y81" s="954">
        <f>+Model!Y520+Model!Y522+Model!Y524+Model!Y526+Model!Y535+Model!Y537+Model!Y540</f>
        <v>0</v>
      </c>
      <c r="Z81" s="953">
        <f>+Model!Z520+Model!Z522+Model!Z524+Model!Z526+Model!Z535+Model!Z537+Model!Z540</f>
        <v>9.0090000000000003</v>
      </c>
      <c r="AA81" s="954">
        <f>+Model!AA520+Model!AA522+Model!AA524+Model!AA526+Model!AA535+Model!AA537+Model!AA540</f>
        <v>-19.524999999999999</v>
      </c>
      <c r="AB81" s="954">
        <f>+Model!AB520+Model!AB522+Model!AB524+Model!AB526+Model!AB535+Model!AB537+Model!AB540</f>
        <v>-7.0000000000000062E-2</v>
      </c>
      <c r="AC81" s="954">
        <f>+Model!AC520+Model!AC522+Model!AC524+Model!AC526+Model!AC535+Model!AC537+Model!AC540</f>
        <v>1.100000000000001E-2</v>
      </c>
      <c r="AD81" s="954">
        <f>+Model!AD520+Model!AD522+Model!AD524+Model!AD526+Model!AD535+Model!AD537+Model!AD540</f>
        <v>-8.0999999999999961E-2</v>
      </c>
      <c r="AE81" s="953">
        <f>+Model!AE520+Model!AE522+Model!AE524+Model!AE526+Model!AE535+Model!AE537+Model!AE540</f>
        <v>-19.664999999999999</v>
      </c>
      <c r="AF81" s="954">
        <f>+Model!AF520+Model!AF522+Model!AF524+Model!AF526+Model!AF535+Model!AF537+Model!AF540</f>
        <v>-1.554</v>
      </c>
      <c r="AG81" s="954">
        <f>+Model!AG520+Model!AG522+Model!AG524+Model!AG526+Model!AG535+Model!AG537+Model!AG540</f>
        <v>-0.65000000000000013</v>
      </c>
      <c r="AH81" s="954">
        <f>+Model!AH520+Model!AH522+Model!AH524+Model!AH526+Model!AH535+Model!AH537+Model!AH540</f>
        <v>-0.39399999999999968</v>
      </c>
      <c r="AI81" s="954">
        <f>+Model!AI520+Model!AI522+Model!AI524+Model!AI526+Model!AI535+Model!AI537+Model!AI540</f>
        <v>-0.58300000000000018</v>
      </c>
      <c r="AJ81" s="953">
        <f>+Model!AJ520+Model!AJ522+Model!AJ524+Model!AJ526+Model!AJ535+Model!AJ537+Model!AJ540</f>
        <v>-3.181</v>
      </c>
      <c r="AK81" s="954">
        <f>+Model!AK520+Model!AK522+Model!AK524+Model!AK526+Model!AK535+Model!AK537+Model!AK540</f>
        <v>-2.4009999999999998</v>
      </c>
      <c r="AL81" s="954">
        <f>+Model!AL520+Model!AL522+Model!AL524+Model!AL526+Model!AL535+Model!AL537+Model!AL540</f>
        <v>2.0579999999999998</v>
      </c>
      <c r="AM81" s="955">
        <f>+Model!AM520+Model!AM522+Model!AM524+Model!AM526+Model!AM535+Model!AM537+Model!AM540</f>
        <v>-0.79899999999999993</v>
      </c>
      <c r="AN81" s="954">
        <f>+Model!AN520+Model!AN522+Model!AN524+Model!AN526+Model!AN535+Model!AN537+Model!AN540</f>
        <v>0</v>
      </c>
      <c r="AO81" s="953">
        <f>+Model!AO520+Model!AO522+Model!AO524+Model!AO526+Model!AO535+Model!AO537+Model!AO540</f>
        <v>-1.1419999999999999</v>
      </c>
      <c r="AP81" s="954">
        <f>+Model!AP520+Model!AP522+Model!AP524+Model!AP526+Model!AP535+Model!AP537+Model!AP540</f>
        <v>0</v>
      </c>
      <c r="AQ81" s="954">
        <f>+Model!AQ520+Model!AQ522+Model!AQ524+Model!AQ526+Model!AQ535+Model!AQ537+Model!AQ540</f>
        <v>0</v>
      </c>
      <c r="AR81" s="954">
        <f>+Model!AR520+Model!AR522+Model!AR524+Model!AR526+Model!AR535+Model!AR537+Model!AR540</f>
        <v>0</v>
      </c>
      <c r="AS81" s="954">
        <f>+Model!AS520+Model!AS522+Model!AS524+Model!AS526+Model!AS535+Model!AS537+Model!AS540</f>
        <v>0</v>
      </c>
      <c r="AT81" s="953">
        <f>+Model!AT520+Model!AT522+Model!AT524+Model!AT526+Model!AT535+Model!AT537+Model!AT540</f>
        <v>0</v>
      </c>
      <c r="AU81" s="953">
        <f>+Model!AU520+Model!AU522+Model!AU524+Model!AU526+Model!AU535+Model!AU537+Model!AU540</f>
        <v>0</v>
      </c>
      <c r="AV81" s="953">
        <f>+Model!AV520+Model!AV522+Model!AV524+Model!AV526+Model!AV535+Model!AV537+Model!AV540</f>
        <v>0</v>
      </c>
      <c r="AW81" s="953">
        <f>+Model!AW520+Model!AW522+Model!AW524+Model!AW526+Model!AW535+Model!AW537+Model!AW540</f>
        <v>0</v>
      </c>
      <c r="AX81" s="806"/>
    </row>
    <row r="82" spans="1:50" s="93" customFormat="1" x14ac:dyDescent="0.45">
      <c r="A82" s="258" t="s">
        <v>288</v>
      </c>
      <c r="B82" s="259"/>
      <c r="C82" s="956">
        <f t="shared" ref="C82:AW82" ca="1" si="43">SUM(C75:C81)</f>
        <v>14.430999999999999</v>
      </c>
      <c r="D82" s="956">
        <f t="shared" ca="1" si="43"/>
        <v>32.005999999999979</v>
      </c>
      <c r="E82" s="956">
        <f t="shared" ca="1" si="43"/>
        <v>17.827000000000005</v>
      </c>
      <c r="F82" s="956">
        <f t="shared" ca="1" si="43"/>
        <v>-28.444999999999993</v>
      </c>
      <c r="G82" s="957">
        <f t="shared" ca="1" si="43"/>
        <v>12.213000000000001</v>
      </c>
      <c r="H82" s="957">
        <f t="shared" ca="1" si="43"/>
        <v>-45.396000000000001</v>
      </c>
      <c r="I82" s="957">
        <f t="shared" ca="1" si="43"/>
        <v>9.2849999999999984</v>
      </c>
      <c r="J82" s="957">
        <f t="shared" ca="1" si="43"/>
        <v>21.043999999999997</v>
      </c>
      <c r="K82" s="956">
        <f t="shared" ca="1" si="43"/>
        <v>-2.8540000000000125</v>
      </c>
      <c r="L82" s="957">
        <f t="shared" ca="1" si="43"/>
        <v>4.6030000000000015</v>
      </c>
      <c r="M82" s="957">
        <f t="shared" ca="1" si="43"/>
        <v>7.2320000000000029</v>
      </c>
      <c r="N82" s="957">
        <f t="shared" ca="1" si="43"/>
        <v>-1.3400000000000007</v>
      </c>
      <c r="O82" s="957">
        <f t="shared" ca="1" si="43"/>
        <v>5.3529999999999989</v>
      </c>
      <c r="P82" s="956">
        <f t="shared" ca="1" si="43"/>
        <v>15.847999999999995</v>
      </c>
      <c r="Q82" s="957">
        <f t="shared" ca="1" si="43"/>
        <v>-14.134</v>
      </c>
      <c r="R82" s="957">
        <f t="shared" ca="1" si="43"/>
        <v>-6.211999999999998</v>
      </c>
      <c r="S82" s="957">
        <f t="shared" ca="1" si="43"/>
        <v>-5.9990000000000023</v>
      </c>
      <c r="T82" s="957">
        <f t="shared" ca="1" si="43"/>
        <v>-65.472000000000008</v>
      </c>
      <c r="U82" s="956">
        <f t="shared" ca="1" si="43"/>
        <v>-91.817000000000007</v>
      </c>
      <c r="V82" s="957">
        <f t="shared" ca="1" si="43"/>
        <v>-0.82700000000000173</v>
      </c>
      <c r="W82" s="957">
        <f t="shared" ca="1" si="43"/>
        <v>-0.10299999999999443</v>
      </c>
      <c r="X82" s="957">
        <f t="shared" ca="1" si="43"/>
        <v>-2.252000000000006</v>
      </c>
      <c r="Y82" s="957">
        <f t="shared" ca="1" si="43"/>
        <v>13.679000000000002</v>
      </c>
      <c r="Z82" s="956">
        <f t="shared" ca="1" si="43"/>
        <v>10.497</v>
      </c>
      <c r="AA82" s="957">
        <f t="shared" ca="1" si="43"/>
        <v>-13.337</v>
      </c>
      <c r="AB82" s="957">
        <f t="shared" ca="1" si="43"/>
        <v>2.2169999999999987</v>
      </c>
      <c r="AC82" s="957">
        <f t="shared" ca="1" si="43"/>
        <v>-4.7170000000000014</v>
      </c>
      <c r="AD82" s="957">
        <f t="shared" ca="1" si="43"/>
        <v>4.4660000000000029</v>
      </c>
      <c r="AE82" s="956">
        <f t="shared" ca="1" si="43"/>
        <v>-11.370999999999995</v>
      </c>
      <c r="AF82" s="957">
        <f t="shared" ca="1" si="43"/>
        <v>2.8459999999999983</v>
      </c>
      <c r="AG82" s="957">
        <f t="shared" ca="1" si="43"/>
        <v>5.6540000000000088</v>
      </c>
      <c r="AH82" s="957">
        <f t="shared" ca="1" si="43"/>
        <v>-2.2750000000000017</v>
      </c>
      <c r="AI82" s="957">
        <f t="shared" ca="1" si="43"/>
        <v>-2.9209999999999958</v>
      </c>
      <c r="AJ82" s="956">
        <f t="shared" ca="1" si="43"/>
        <v>3.3040000000000207</v>
      </c>
      <c r="AK82" s="957">
        <f t="shared" ca="1" si="43"/>
        <v>2.2680000000000007</v>
      </c>
      <c r="AL82" s="957">
        <f t="shared" ca="1" si="43"/>
        <v>13.641000000000005</v>
      </c>
      <c r="AM82" s="958">
        <f t="shared" ca="1" si="43"/>
        <v>-17.945</v>
      </c>
      <c r="AN82" s="957">
        <f t="shared" ca="1" si="43"/>
        <v>9.6527031153497482</v>
      </c>
      <c r="AO82" s="956">
        <f t="shared" ca="1" si="43"/>
        <v>7.6167031153497149</v>
      </c>
      <c r="AP82" s="957">
        <f t="shared" ca="1" si="43"/>
        <v>11.801664733461257</v>
      </c>
      <c r="AQ82" s="957">
        <f t="shared" ca="1" si="43"/>
        <v>15.058521682346536</v>
      </c>
      <c r="AR82" s="957">
        <f t="shared" ca="1" si="43"/>
        <v>13.544876579023819</v>
      </c>
      <c r="AS82" s="957">
        <f t="shared" ca="1" si="43"/>
        <v>13.473978910536673</v>
      </c>
      <c r="AT82" s="956">
        <f t="shared" ca="1" si="43"/>
        <v>53.87904190536829</v>
      </c>
      <c r="AU82" s="956">
        <f t="shared" ca="1" si="43"/>
        <v>56.843525803765758</v>
      </c>
      <c r="AV82" s="956">
        <f t="shared" ca="1" si="43"/>
        <v>57.221853959983214</v>
      </c>
      <c r="AW82" s="956">
        <f t="shared" ca="1" si="43"/>
        <v>59.774791047762633</v>
      </c>
      <c r="AX82" s="807"/>
    </row>
    <row r="83" spans="1:50" s="93" customFormat="1" x14ac:dyDescent="0.45">
      <c r="A83" s="255"/>
      <c r="B83" s="260"/>
      <c r="C83" s="964"/>
      <c r="D83" s="964"/>
      <c r="E83" s="964"/>
      <c r="F83" s="964"/>
      <c r="G83" s="965"/>
      <c r="H83" s="965"/>
      <c r="I83" s="965"/>
      <c r="J83" s="965"/>
      <c r="K83" s="964"/>
      <c r="L83" s="965"/>
      <c r="M83" s="965"/>
      <c r="N83" s="965"/>
      <c r="O83" s="965"/>
      <c r="P83" s="964"/>
      <c r="Q83" s="965"/>
      <c r="R83" s="965"/>
      <c r="S83" s="965"/>
      <c r="T83" s="965"/>
      <c r="U83" s="964"/>
      <c r="V83" s="965"/>
      <c r="W83" s="965"/>
      <c r="X83" s="965"/>
      <c r="Y83" s="965"/>
      <c r="Z83" s="964"/>
      <c r="AA83" s="965"/>
      <c r="AB83" s="965"/>
      <c r="AC83" s="965"/>
      <c r="AD83" s="965"/>
      <c r="AE83" s="964"/>
      <c r="AF83" s="965"/>
      <c r="AG83" s="965"/>
      <c r="AH83" s="965"/>
      <c r="AI83" s="965"/>
      <c r="AJ83" s="964"/>
      <c r="AK83" s="965"/>
      <c r="AL83" s="965"/>
      <c r="AM83" s="966"/>
      <c r="AN83" s="967"/>
      <c r="AO83" s="968"/>
      <c r="AP83" s="967"/>
      <c r="AQ83" s="967"/>
      <c r="AR83" s="967"/>
      <c r="AS83" s="967"/>
      <c r="AT83" s="968"/>
      <c r="AU83" s="968"/>
      <c r="AV83" s="968"/>
      <c r="AW83" s="968"/>
      <c r="AX83" s="807"/>
    </row>
    <row r="84" spans="1:50" s="92" customFormat="1" x14ac:dyDescent="0.45">
      <c r="A84" s="267" t="s">
        <v>289</v>
      </c>
      <c r="B84" s="268"/>
      <c r="C84" s="439">
        <f t="shared" ref="C84:AW84" si="44">INDEX(SP_CFA_CFO_BeforeWC,0,COLUMN())/INDEX(SP_CS_ShareCount,0,COLUMN())</f>
        <v>1.1204854840950131</v>
      </c>
      <c r="D84" s="439">
        <f t="shared" si="44"/>
        <v>1.3539563156810219</v>
      </c>
      <c r="E84" s="439">
        <f t="shared" si="44"/>
        <v>1.5341326694778914</v>
      </c>
      <c r="F84" s="439">
        <f t="shared" si="44"/>
        <v>1.438700346439743</v>
      </c>
      <c r="G84" s="431">
        <f t="shared" si="44"/>
        <v>0.37343047069092861</v>
      </c>
      <c r="H84" s="431">
        <f t="shared" si="44"/>
        <v>0.32667235694800084</v>
      </c>
      <c r="I84" s="431">
        <f t="shared" si="44"/>
        <v>0.35259141809533245</v>
      </c>
      <c r="J84" s="431">
        <f t="shared" si="44"/>
        <v>0.12143517296012678</v>
      </c>
      <c r="K84" s="439">
        <f t="shared" si="44"/>
        <v>1.1718994246183525</v>
      </c>
      <c r="L84" s="431">
        <f t="shared" si="44"/>
        <v>0.21453019582030608</v>
      </c>
      <c r="M84" s="431">
        <f t="shared" si="44"/>
        <v>0.22830163848127924</v>
      </c>
      <c r="N84" s="431">
        <f t="shared" si="44"/>
        <v>0.26704461424698051</v>
      </c>
      <c r="O84" s="431">
        <f t="shared" si="44"/>
        <v>0.12651748802414861</v>
      </c>
      <c r="P84" s="439">
        <f t="shared" si="44"/>
        <v>0.83613535144373785</v>
      </c>
      <c r="Q84" s="431">
        <f t="shared" si="44"/>
        <v>0.2404035110703524</v>
      </c>
      <c r="R84" s="431">
        <f t="shared" si="44"/>
        <v>0.2775925744354022</v>
      </c>
      <c r="S84" s="431">
        <f t="shared" si="44"/>
        <v>0.28946294815515916</v>
      </c>
      <c r="T84" s="431">
        <f t="shared" si="44"/>
        <v>0.60716904276985739</v>
      </c>
      <c r="U84" s="439">
        <f t="shared" si="44"/>
        <v>1.4154132575571998</v>
      </c>
      <c r="V84" s="431">
        <f t="shared" si="44"/>
        <v>0.26577599066087293</v>
      </c>
      <c r="W84" s="431">
        <f t="shared" si="44"/>
        <v>0.33915103461612844</v>
      </c>
      <c r="X84" s="431">
        <f t="shared" si="44"/>
        <v>0.35433945855410426</v>
      </c>
      <c r="Y84" s="431">
        <f t="shared" si="44"/>
        <v>0.33600115480849424</v>
      </c>
      <c r="Z84" s="439">
        <f t="shared" si="44"/>
        <v>1.2963715529753266</v>
      </c>
      <c r="AA84" s="431">
        <f t="shared" si="44"/>
        <v>0.29126957521191515</v>
      </c>
      <c r="AB84" s="431">
        <f t="shared" si="44"/>
        <v>0.36006611049897685</v>
      </c>
      <c r="AC84" s="431">
        <f t="shared" si="44"/>
        <v>0.31771520060275005</v>
      </c>
      <c r="AD84" s="431">
        <f t="shared" si="44"/>
        <v>9.2208239418983165E-2</v>
      </c>
      <c r="AE84" s="439">
        <f t="shared" si="44"/>
        <v>1.0601040353089535</v>
      </c>
      <c r="AF84" s="431">
        <f t="shared" si="44"/>
        <v>0.26551035064164608</v>
      </c>
      <c r="AG84" s="431">
        <f t="shared" si="44"/>
        <v>0.43958246604067425</v>
      </c>
      <c r="AH84" s="431">
        <f t="shared" si="44"/>
        <v>0.33631283191305417</v>
      </c>
      <c r="AI84" s="431">
        <f t="shared" si="44"/>
        <v>0.36729978279957487</v>
      </c>
      <c r="AJ84" s="439">
        <f t="shared" si="44"/>
        <v>1.4109287925696599</v>
      </c>
      <c r="AK84" s="431">
        <f t="shared" si="44"/>
        <v>0.33874496962648998</v>
      </c>
      <c r="AL84" s="431">
        <f t="shared" si="44"/>
        <v>0.39876449054301411</v>
      </c>
      <c r="AM84" s="583">
        <f t="shared" si="44"/>
        <v>0.41025523879142306</v>
      </c>
      <c r="AN84" s="164">
        <f t="shared" ca="1" si="44"/>
        <v>0.3189727821503448</v>
      </c>
      <c r="AO84" s="161">
        <f t="shared" ca="1" si="44"/>
        <v>1.4668191284676344</v>
      </c>
      <c r="AP84" s="164">
        <f t="shared" ca="1" si="44"/>
        <v>0.28865988620723743</v>
      </c>
      <c r="AQ84" s="164">
        <f t="shared" ca="1" si="44"/>
        <v>0.33818762050884027</v>
      </c>
      <c r="AR84" s="164">
        <f t="shared" ca="1" si="44"/>
        <v>0.33728354666677446</v>
      </c>
      <c r="AS84" s="164">
        <f t="shared" ca="1" si="44"/>
        <v>0.3236008323072016</v>
      </c>
      <c r="AT84" s="161">
        <f t="shared" ca="1" si="44"/>
        <v>1.2877318856900537</v>
      </c>
      <c r="AU84" s="161">
        <f t="shared" ca="1" si="44"/>
        <v>1.3495635244966067</v>
      </c>
      <c r="AV84" s="161">
        <f t="shared" ca="1" si="44"/>
        <v>1.3860051275033194</v>
      </c>
      <c r="AW84" s="161">
        <f t="shared" ca="1" si="44"/>
        <v>1.4317635111280049</v>
      </c>
      <c r="AX84" s="164"/>
    </row>
    <row r="85" spans="1:50" s="92" customFormat="1" x14ac:dyDescent="0.45">
      <c r="A85" s="267" t="s">
        <v>290</v>
      </c>
      <c r="B85" s="268"/>
      <c r="C85" s="439">
        <f t="shared" ref="C85:AW85" si="45">INDEX(SP_CFA_FCF_PreDiv,0,COLUMN())/INDEX(SP_CS_ShareCount,0,COLUMN())</f>
        <v>0.89726003611612704</v>
      </c>
      <c r="D85" s="439">
        <f t="shared" si="45"/>
        <v>1.0534720791263135</v>
      </c>
      <c r="E85" s="439">
        <f t="shared" si="45"/>
        <v>1.1374959779166456</v>
      </c>
      <c r="F85" s="439">
        <f t="shared" si="45"/>
        <v>0.77568867512024486</v>
      </c>
      <c r="G85" s="431">
        <f t="shared" si="45"/>
        <v>0.22008661787416905</v>
      </c>
      <c r="H85" s="431">
        <f t="shared" si="45"/>
        <v>0.14640759150474467</v>
      </c>
      <c r="I85" s="431">
        <f t="shared" si="45"/>
        <v>0.24596174809235946</v>
      </c>
      <c r="J85" s="431">
        <f t="shared" si="45"/>
        <v>8.255215209928711E-2</v>
      </c>
      <c r="K85" s="439">
        <f t="shared" si="45"/>
        <v>0.69433265706588621</v>
      </c>
      <c r="L85" s="431">
        <f t="shared" si="45"/>
        <v>0.12966924469310515</v>
      </c>
      <c r="M85" s="431">
        <f t="shared" si="45"/>
        <v>0.13428637231032445</v>
      </c>
      <c r="N85" s="431">
        <f t="shared" si="45"/>
        <v>0.19955632240571849</v>
      </c>
      <c r="O85" s="431">
        <f t="shared" si="45"/>
        <v>2.5575825185379663E-2</v>
      </c>
      <c r="P85" s="439">
        <f t="shared" si="45"/>
        <v>0.48884944699173366</v>
      </c>
      <c r="Q85" s="431">
        <f t="shared" si="45"/>
        <v>0.12622821957290711</v>
      </c>
      <c r="R85" s="431">
        <f t="shared" si="45"/>
        <v>0.18400496780730138</v>
      </c>
      <c r="S85" s="431">
        <f t="shared" si="45"/>
        <v>0.14535158863558478</v>
      </c>
      <c r="T85" s="431">
        <f t="shared" si="45"/>
        <v>0.49054175152749491</v>
      </c>
      <c r="U85" s="439">
        <f t="shared" si="45"/>
        <v>0.94690771316120415</v>
      </c>
      <c r="V85" s="431">
        <f t="shared" si="45"/>
        <v>0.16184577469355987</v>
      </c>
      <c r="W85" s="431">
        <f t="shared" si="45"/>
        <v>0.2763327531747567</v>
      </c>
      <c r="X85" s="431">
        <f t="shared" si="45"/>
        <v>0.28500797191309801</v>
      </c>
      <c r="Y85" s="431">
        <f t="shared" si="45"/>
        <v>0.24295887598639893</v>
      </c>
      <c r="Z85" s="439">
        <f t="shared" si="45"/>
        <v>0.96716658603451067</v>
      </c>
      <c r="AA85" s="431">
        <f t="shared" si="45"/>
        <v>0.1680475073032901</v>
      </c>
      <c r="AB85" s="431">
        <f t="shared" si="45"/>
        <v>0.24471903037934833</v>
      </c>
      <c r="AC85" s="431">
        <f t="shared" si="45"/>
        <v>0.22030200288817731</v>
      </c>
      <c r="AD85" s="431">
        <f t="shared" si="45"/>
        <v>-2.3822940145254226E-2</v>
      </c>
      <c r="AE85" s="439">
        <f t="shared" si="45"/>
        <v>0.60824401008827245</v>
      </c>
      <c r="AF85" s="431">
        <f t="shared" si="45"/>
        <v>0.15678958378867827</v>
      </c>
      <c r="AG85" s="431">
        <f t="shared" si="45"/>
        <v>0.34158225018116795</v>
      </c>
      <c r="AH85" s="431">
        <f t="shared" si="45"/>
        <v>0.24922810917623811</v>
      </c>
      <c r="AI85" s="431">
        <f t="shared" si="45"/>
        <v>0.26621686153087787</v>
      </c>
      <c r="AJ85" s="439">
        <f t="shared" si="45"/>
        <v>1.015835913312694</v>
      </c>
      <c r="AK85" s="431">
        <f t="shared" si="45"/>
        <v>0.20984499563906783</v>
      </c>
      <c r="AL85" s="431">
        <f t="shared" si="45"/>
        <v>0.29702562538133015</v>
      </c>
      <c r="AM85" s="583">
        <f t="shared" si="45"/>
        <v>0.30910392300194939</v>
      </c>
      <c r="AN85" s="164">
        <f t="shared" ca="1" si="45"/>
        <v>0.20932365934332728</v>
      </c>
      <c r="AO85" s="161">
        <f t="shared" ca="1" si="45"/>
        <v>1.025454124520883</v>
      </c>
      <c r="AP85" s="164">
        <f t="shared" ca="1" si="45"/>
        <v>0.17596495443335824</v>
      </c>
      <c r="AQ85" s="164">
        <f t="shared" ca="1" si="45"/>
        <v>0.22549268873496114</v>
      </c>
      <c r="AR85" s="164">
        <f t="shared" ca="1" si="45"/>
        <v>0.22458861489289531</v>
      </c>
      <c r="AS85" s="164">
        <f t="shared" ca="1" si="45"/>
        <v>0.21090590053332248</v>
      </c>
      <c r="AT85" s="161">
        <f t="shared" ca="1" si="45"/>
        <v>0.8369521585945372</v>
      </c>
      <c r="AU85" s="161">
        <f t="shared" ca="1" si="45"/>
        <v>0.87746313463305892</v>
      </c>
      <c r="AV85" s="161">
        <f t="shared" ca="1" si="45"/>
        <v>0.89258407487174041</v>
      </c>
      <c r="AW85" s="161">
        <f t="shared" ca="1" si="45"/>
        <v>0.91702179572839493</v>
      </c>
      <c r="AX85" s="164"/>
    </row>
    <row r="86" spans="1:50" s="92" customFormat="1" x14ac:dyDescent="0.45">
      <c r="A86" s="267" t="s">
        <v>97</v>
      </c>
      <c r="B86" s="268"/>
      <c r="C86" s="439">
        <f t="shared" ref="C86:AW86" si="46">INDEX(MO_CFSum_DPS,0,COLUMN())</f>
        <v>0.6</v>
      </c>
      <c r="D86" s="439">
        <f t="shared" si="46"/>
        <v>0.6</v>
      </c>
      <c r="E86" s="439">
        <f t="shared" si="46"/>
        <v>0.7</v>
      </c>
      <c r="F86" s="439">
        <f t="shared" si="46"/>
        <v>0.7</v>
      </c>
      <c r="G86" s="431">
        <f t="shared" si="46"/>
        <v>0.17499999999999999</v>
      </c>
      <c r="H86" s="431">
        <f t="shared" si="46"/>
        <v>0.17499999999999999</v>
      </c>
      <c r="I86" s="431">
        <f t="shared" si="46"/>
        <v>0.17499999999999999</v>
      </c>
      <c r="J86" s="431">
        <f t="shared" si="46"/>
        <v>0.17499999999999999</v>
      </c>
      <c r="K86" s="439">
        <f t="shared" si="46"/>
        <v>0.7</v>
      </c>
      <c r="L86" s="431">
        <f t="shared" si="46"/>
        <v>0.17499999999999999</v>
      </c>
      <c r="M86" s="431">
        <f t="shared" si="46"/>
        <v>0.17499999999999999</v>
      </c>
      <c r="N86" s="431">
        <f t="shared" si="46"/>
        <v>0.17499999999999999</v>
      </c>
      <c r="O86" s="431">
        <f t="shared" si="46"/>
        <v>0.17499999999999999</v>
      </c>
      <c r="P86" s="439">
        <f t="shared" si="46"/>
        <v>0.7</v>
      </c>
      <c r="Q86" s="431">
        <f t="shared" si="46"/>
        <v>0.17499999999999999</v>
      </c>
      <c r="R86" s="431">
        <f t="shared" si="46"/>
        <v>0.17499999999999999</v>
      </c>
      <c r="S86" s="431">
        <f t="shared" si="46"/>
        <v>0.17499999999999999</v>
      </c>
      <c r="T86" s="431">
        <f t="shared" si="46"/>
        <v>0.17499999999999999</v>
      </c>
      <c r="U86" s="439">
        <f t="shared" si="46"/>
        <v>0.7</v>
      </c>
      <c r="V86" s="431">
        <f t="shared" si="46"/>
        <v>0</v>
      </c>
      <c r="W86" s="431">
        <f t="shared" si="46"/>
        <v>0</v>
      </c>
      <c r="X86" s="431">
        <f t="shared" si="46"/>
        <v>0</v>
      </c>
      <c r="Y86" s="431">
        <f t="shared" si="46"/>
        <v>0</v>
      </c>
      <c r="Z86" s="439">
        <f t="shared" si="46"/>
        <v>0</v>
      </c>
      <c r="AA86" s="431">
        <f t="shared" si="46"/>
        <v>0</v>
      </c>
      <c r="AB86" s="431">
        <f t="shared" si="46"/>
        <v>0</v>
      </c>
      <c r="AC86" s="431">
        <f t="shared" si="46"/>
        <v>0</v>
      </c>
      <c r="AD86" s="431">
        <f t="shared" si="46"/>
        <v>0</v>
      </c>
      <c r="AE86" s="439">
        <f t="shared" si="46"/>
        <v>0</v>
      </c>
      <c r="AF86" s="431">
        <f t="shared" si="46"/>
        <v>0</v>
      </c>
      <c r="AG86" s="431">
        <f t="shared" si="46"/>
        <v>0</v>
      </c>
      <c r="AH86" s="431">
        <f t="shared" si="46"/>
        <v>0</v>
      </c>
      <c r="AI86" s="431">
        <f t="shared" si="46"/>
        <v>0</v>
      </c>
      <c r="AJ86" s="439">
        <f t="shared" si="46"/>
        <v>0</v>
      </c>
      <c r="AK86" s="431">
        <f t="shared" si="46"/>
        <v>0</v>
      </c>
      <c r="AL86" s="431">
        <f t="shared" si="46"/>
        <v>0</v>
      </c>
      <c r="AM86" s="583">
        <f t="shared" si="46"/>
        <v>0</v>
      </c>
      <c r="AN86" s="164">
        <f t="shared" si="46"/>
        <v>0</v>
      </c>
      <c r="AO86" s="161">
        <f t="shared" si="46"/>
        <v>0</v>
      </c>
      <c r="AP86" s="164">
        <f t="shared" si="46"/>
        <v>0</v>
      </c>
      <c r="AQ86" s="164">
        <f t="shared" si="46"/>
        <v>0</v>
      </c>
      <c r="AR86" s="164">
        <f t="shared" si="46"/>
        <v>0</v>
      </c>
      <c r="AS86" s="164">
        <f t="shared" si="46"/>
        <v>0</v>
      </c>
      <c r="AT86" s="161">
        <f t="shared" si="46"/>
        <v>0</v>
      </c>
      <c r="AU86" s="161">
        <f t="shared" si="46"/>
        <v>0</v>
      </c>
      <c r="AV86" s="161">
        <f t="shared" si="46"/>
        <v>0</v>
      </c>
      <c r="AW86" s="161">
        <f t="shared" si="46"/>
        <v>0</v>
      </c>
      <c r="AX86" s="164"/>
    </row>
    <row r="87" spans="1:50" s="96" customFormat="1" x14ac:dyDescent="0.45">
      <c r="A87" s="275" t="s">
        <v>291</v>
      </c>
      <c r="B87" s="276"/>
      <c r="C87" s="445">
        <f t="shared" ref="C87:AW87" si="47">C86/C85</f>
        <v>0.66870246734397687</v>
      </c>
      <c r="D87" s="445">
        <f t="shared" si="47"/>
        <v>0.56954523227383869</v>
      </c>
      <c r="E87" s="445">
        <f t="shared" si="47"/>
        <v>0.61538679132920426</v>
      </c>
      <c r="F87" s="445">
        <f t="shared" si="47"/>
        <v>0.90242390078917689</v>
      </c>
      <c r="G87" s="435">
        <f t="shared" si="47"/>
        <v>0.79514148424986653</v>
      </c>
      <c r="H87" s="435">
        <f t="shared" si="47"/>
        <v>1.1952932098765434</v>
      </c>
      <c r="I87" s="435">
        <f t="shared" si="47"/>
        <v>0.71149274778404525</v>
      </c>
      <c r="J87" s="435">
        <f t="shared" si="47"/>
        <v>2.1198720511795259</v>
      </c>
      <c r="K87" s="445">
        <f t="shared" si="47"/>
        <v>1.0081622877398031</v>
      </c>
      <c r="L87" s="435">
        <f t="shared" si="47"/>
        <v>1.3495875634517767</v>
      </c>
      <c r="M87" s="435">
        <f t="shared" si="47"/>
        <v>1.3031851035158637</v>
      </c>
      <c r="N87" s="435">
        <f t="shared" si="47"/>
        <v>0.87694540513833996</v>
      </c>
      <c r="O87" s="435">
        <f t="shared" si="47"/>
        <v>6.8423989737010782</v>
      </c>
      <c r="P87" s="445">
        <f t="shared" si="47"/>
        <v>1.4319337053721508</v>
      </c>
      <c r="Q87" s="435">
        <f t="shared" si="47"/>
        <v>1.3863777893098079</v>
      </c>
      <c r="R87" s="435">
        <f t="shared" si="47"/>
        <v>0.95106127886323255</v>
      </c>
      <c r="S87" s="435">
        <f t="shared" si="47"/>
        <v>1.2039772089367913</v>
      </c>
      <c r="T87" s="435">
        <f t="shared" si="47"/>
        <v>0.35674843059753542</v>
      </c>
      <c r="U87" s="445">
        <f t="shared" si="47"/>
        <v>0.73924838743058163</v>
      </c>
      <c r="V87" s="435">
        <f t="shared" si="47"/>
        <v>0</v>
      </c>
      <c r="W87" s="435">
        <f t="shared" si="47"/>
        <v>0</v>
      </c>
      <c r="X87" s="435">
        <f t="shared" si="47"/>
        <v>0</v>
      </c>
      <c r="Y87" s="435">
        <f t="shared" si="47"/>
        <v>0</v>
      </c>
      <c r="Z87" s="445">
        <f t="shared" si="47"/>
        <v>0</v>
      </c>
      <c r="AA87" s="435">
        <f t="shared" si="47"/>
        <v>0</v>
      </c>
      <c r="AB87" s="435">
        <f t="shared" si="47"/>
        <v>0</v>
      </c>
      <c r="AC87" s="435">
        <f t="shared" si="47"/>
        <v>0</v>
      </c>
      <c r="AD87" s="435">
        <f t="shared" si="47"/>
        <v>0</v>
      </c>
      <c r="AE87" s="445">
        <f t="shared" si="47"/>
        <v>0</v>
      </c>
      <c r="AF87" s="435">
        <f t="shared" si="47"/>
        <v>0</v>
      </c>
      <c r="AG87" s="435">
        <f t="shared" si="47"/>
        <v>0</v>
      </c>
      <c r="AH87" s="435">
        <f t="shared" si="47"/>
        <v>0</v>
      </c>
      <c r="AI87" s="435">
        <f t="shared" si="47"/>
        <v>0</v>
      </c>
      <c r="AJ87" s="445">
        <f t="shared" si="47"/>
        <v>0</v>
      </c>
      <c r="AK87" s="435">
        <f t="shared" si="47"/>
        <v>0</v>
      </c>
      <c r="AL87" s="435">
        <f t="shared" si="47"/>
        <v>0</v>
      </c>
      <c r="AM87" s="589">
        <f t="shared" si="47"/>
        <v>0</v>
      </c>
      <c r="AN87" s="173">
        <f t="shared" ca="1" si="47"/>
        <v>0</v>
      </c>
      <c r="AO87" s="172">
        <f t="shared" ca="1" si="47"/>
        <v>0</v>
      </c>
      <c r="AP87" s="173">
        <f t="shared" ca="1" si="47"/>
        <v>0</v>
      </c>
      <c r="AQ87" s="173">
        <f t="shared" ca="1" si="47"/>
        <v>0</v>
      </c>
      <c r="AR87" s="173">
        <f t="shared" ca="1" si="47"/>
        <v>0</v>
      </c>
      <c r="AS87" s="173">
        <f t="shared" ca="1" si="47"/>
        <v>0</v>
      </c>
      <c r="AT87" s="172">
        <f t="shared" ca="1" si="47"/>
        <v>0</v>
      </c>
      <c r="AU87" s="172">
        <f t="shared" ca="1" si="47"/>
        <v>0</v>
      </c>
      <c r="AV87" s="172">
        <f t="shared" ca="1" si="47"/>
        <v>0</v>
      </c>
      <c r="AW87" s="172">
        <f t="shared" ca="1" si="47"/>
        <v>0</v>
      </c>
      <c r="AX87" s="294"/>
    </row>
    <row r="88" spans="1:50" s="96" customFormat="1" x14ac:dyDescent="0.45">
      <c r="A88" s="275" t="s">
        <v>292</v>
      </c>
      <c r="B88" s="276"/>
      <c r="C88" s="445">
        <f t="shared" ref="C88:AW88" si="48">C86/C61</f>
        <v>0.71426031956013947</v>
      </c>
      <c r="D88" s="445">
        <f t="shared" si="48"/>
        <v>0.56717852157257387</v>
      </c>
      <c r="E88" s="445">
        <f t="shared" si="48"/>
        <v>0.54633807843292748</v>
      </c>
      <c r="F88" s="445">
        <f t="shared" si="48"/>
        <v>0.61531206575407327</v>
      </c>
      <c r="G88" s="435">
        <f t="shared" si="48"/>
        <v>0.71473330590977702</v>
      </c>
      <c r="H88" s="435">
        <f t="shared" si="48"/>
        <v>0.78290094339622629</v>
      </c>
      <c r="I88" s="435">
        <f t="shared" si="48"/>
        <v>1.5741420294161355</v>
      </c>
      <c r="J88" s="435">
        <f t="shared" si="48"/>
        <v>1.4225382345049626</v>
      </c>
      <c r="K88" s="445">
        <f t="shared" si="48"/>
        <v>1.0023287932184015</v>
      </c>
      <c r="L88" s="435">
        <f t="shared" si="48"/>
        <v>1.3653549878033109</v>
      </c>
      <c r="M88" s="435">
        <f t="shared" si="48"/>
        <v>1.3776094276094288</v>
      </c>
      <c r="N88" s="435">
        <f t="shared" si="48"/>
        <v>1.0983524133663367</v>
      </c>
      <c r="O88" s="435">
        <f t="shared" si="48"/>
        <v>0.85174864260619665</v>
      </c>
      <c r="P88" s="445">
        <f t="shared" si="48"/>
        <v>1.1288640941376031</v>
      </c>
      <c r="Q88" s="435">
        <f t="shared" si="48"/>
        <v>1.1195599790466202</v>
      </c>
      <c r="R88" s="435">
        <f t="shared" si="48"/>
        <v>0.82541621704948387</v>
      </c>
      <c r="S88" s="435">
        <f t="shared" si="48"/>
        <v>1.0678973312089211</v>
      </c>
      <c r="T88" s="435">
        <f t="shared" si="48"/>
        <v>0.9308107288326537</v>
      </c>
      <c r="U88" s="445">
        <f t="shared" si="48"/>
        <v>0.97151178603807808</v>
      </c>
      <c r="V88" s="435">
        <f t="shared" si="48"/>
        <v>0</v>
      </c>
      <c r="W88" s="435">
        <f t="shared" si="48"/>
        <v>0</v>
      </c>
      <c r="X88" s="435">
        <f t="shared" si="48"/>
        <v>0</v>
      </c>
      <c r="Y88" s="435">
        <f t="shared" si="48"/>
        <v>0</v>
      </c>
      <c r="Z88" s="445">
        <f t="shared" si="48"/>
        <v>0</v>
      </c>
      <c r="AA88" s="435">
        <f t="shared" si="48"/>
        <v>0</v>
      </c>
      <c r="AB88" s="435">
        <f t="shared" si="48"/>
        <v>0</v>
      </c>
      <c r="AC88" s="435">
        <f t="shared" si="48"/>
        <v>0</v>
      </c>
      <c r="AD88" s="435">
        <f t="shared" si="48"/>
        <v>0</v>
      </c>
      <c r="AE88" s="445">
        <f t="shared" si="48"/>
        <v>0</v>
      </c>
      <c r="AF88" s="435">
        <f t="shared" si="48"/>
        <v>0</v>
      </c>
      <c r="AG88" s="435">
        <f t="shared" si="48"/>
        <v>0</v>
      </c>
      <c r="AH88" s="435">
        <f t="shared" si="48"/>
        <v>0</v>
      </c>
      <c r="AI88" s="435">
        <f t="shared" si="48"/>
        <v>0</v>
      </c>
      <c r="AJ88" s="445">
        <f t="shared" si="48"/>
        <v>0</v>
      </c>
      <c r="AK88" s="435">
        <f t="shared" si="48"/>
        <v>0</v>
      </c>
      <c r="AL88" s="435">
        <f t="shared" si="48"/>
        <v>0</v>
      </c>
      <c r="AM88" s="589">
        <f t="shared" si="48"/>
        <v>0</v>
      </c>
      <c r="AN88" s="173">
        <f t="shared" ca="1" si="48"/>
        <v>0</v>
      </c>
      <c r="AO88" s="172">
        <f t="shared" ca="1" si="48"/>
        <v>0</v>
      </c>
      <c r="AP88" s="173">
        <f t="shared" ca="1" si="48"/>
        <v>0</v>
      </c>
      <c r="AQ88" s="173">
        <f t="shared" ca="1" si="48"/>
        <v>0</v>
      </c>
      <c r="AR88" s="173">
        <f t="shared" ca="1" si="48"/>
        <v>0</v>
      </c>
      <c r="AS88" s="173">
        <f t="shared" ca="1" si="48"/>
        <v>0</v>
      </c>
      <c r="AT88" s="172">
        <f t="shared" ca="1" si="48"/>
        <v>0</v>
      </c>
      <c r="AU88" s="172">
        <f t="shared" ca="1" si="48"/>
        <v>0</v>
      </c>
      <c r="AV88" s="172">
        <f t="shared" ca="1" si="48"/>
        <v>0</v>
      </c>
      <c r="AW88" s="172">
        <f t="shared" ca="1" si="48"/>
        <v>0</v>
      </c>
      <c r="AX88" s="294"/>
    </row>
    <row r="89" spans="1:50" s="92" customFormat="1" x14ac:dyDescent="0.45">
      <c r="A89" s="267"/>
      <c r="B89" s="268"/>
      <c r="C89" s="439"/>
      <c r="D89" s="439"/>
      <c r="E89" s="439"/>
      <c r="F89" s="439"/>
      <c r="G89" s="431"/>
      <c r="H89" s="431"/>
      <c r="I89" s="431"/>
      <c r="J89" s="431"/>
      <c r="K89" s="439"/>
      <c r="L89" s="431"/>
      <c r="M89" s="431"/>
      <c r="N89" s="431"/>
      <c r="O89" s="431"/>
      <c r="P89" s="439"/>
      <c r="Q89" s="431"/>
      <c r="R89" s="431"/>
      <c r="S89" s="431"/>
      <c r="T89" s="431"/>
      <c r="U89" s="439"/>
      <c r="V89" s="431"/>
      <c r="W89" s="431"/>
      <c r="X89" s="431"/>
      <c r="Y89" s="431"/>
      <c r="Z89" s="439"/>
      <c r="AA89" s="431"/>
      <c r="AB89" s="431"/>
      <c r="AC89" s="431"/>
      <c r="AD89" s="431"/>
      <c r="AE89" s="439"/>
      <c r="AF89" s="431"/>
      <c r="AG89" s="431"/>
      <c r="AH89" s="431"/>
      <c r="AI89" s="431"/>
      <c r="AJ89" s="439"/>
      <c r="AK89" s="431"/>
      <c r="AL89" s="431"/>
      <c r="AM89" s="583"/>
      <c r="AN89" s="164"/>
      <c r="AO89" s="161"/>
      <c r="AP89" s="164"/>
      <c r="AQ89" s="164"/>
      <c r="AR89" s="164"/>
      <c r="AS89" s="164"/>
      <c r="AT89" s="161"/>
      <c r="AU89" s="161"/>
      <c r="AV89" s="161"/>
      <c r="AW89" s="161"/>
      <c r="AX89" s="164"/>
    </row>
    <row r="90" spans="1:50" x14ac:dyDescent="0.45">
      <c r="A90" s="158" t="s">
        <v>293</v>
      </c>
      <c r="B90" s="808"/>
      <c r="C90" s="969"/>
      <c r="D90" s="969"/>
      <c r="E90" s="969"/>
      <c r="F90" s="969"/>
      <c r="G90" s="969"/>
      <c r="H90" s="969"/>
      <c r="I90" s="969"/>
      <c r="J90" s="969"/>
      <c r="K90" s="969"/>
      <c r="L90" s="969"/>
      <c r="M90" s="969"/>
      <c r="N90" s="969"/>
      <c r="O90" s="969"/>
      <c r="P90" s="969"/>
      <c r="Q90" s="969"/>
      <c r="R90" s="969"/>
      <c r="S90" s="969"/>
      <c r="T90" s="969"/>
      <c r="U90" s="969"/>
      <c r="V90" s="969"/>
      <c r="W90" s="969"/>
      <c r="X90" s="969"/>
      <c r="Y90" s="969"/>
      <c r="Z90" s="969"/>
      <c r="AA90" s="969"/>
      <c r="AB90" s="969"/>
      <c r="AC90" s="969"/>
      <c r="AD90" s="969"/>
      <c r="AE90" s="969"/>
      <c r="AF90" s="969"/>
      <c r="AG90" s="969"/>
      <c r="AH90" s="969"/>
      <c r="AI90" s="969"/>
      <c r="AJ90" s="969"/>
      <c r="AK90" s="969"/>
      <c r="AL90" s="969"/>
      <c r="AM90" s="970"/>
      <c r="AN90" s="971"/>
      <c r="AO90" s="971"/>
      <c r="AP90" s="971"/>
      <c r="AQ90" s="971"/>
      <c r="AR90" s="971"/>
      <c r="AS90" s="971"/>
      <c r="AT90" s="971"/>
      <c r="AU90" s="971"/>
      <c r="AV90" s="971"/>
      <c r="AW90" s="971"/>
      <c r="AX90" s="806"/>
    </row>
    <row r="91" spans="1:50" s="97" customFormat="1" x14ac:dyDescent="0.45">
      <c r="A91" s="277" t="s">
        <v>105</v>
      </c>
      <c r="B91" s="278"/>
      <c r="C91" s="446">
        <f>SUM(-INDEX(MO_BSS_Cash,0,COLUMN()),INDEX(MO_BSS_Debt,0,COLUMN()))/INDEX(SP_BSR_EBITDA_LTM,0,COLUMN())</f>
        <v>-1.0291465739598518</v>
      </c>
      <c r="D91" s="446">
        <f>SUM(-INDEX(MO_BSS_Cash,0,COLUMN()),INDEX(MO_BSS_Debt,0,COLUMN()))/INDEX(SP_BSR_EBITDA_LTM,0,COLUMN())</f>
        <v>-1.0466441461463241</v>
      </c>
      <c r="E91" s="446">
        <f>SUM(-INDEX(MO_BSS_Cash,0,COLUMN()),INDEX(MO_BSS_Debt,0,COLUMN()))/INDEX(SP_BSR_EBITDA_LTM,0,COLUMN())</f>
        <v>-1.0142649305302973</v>
      </c>
      <c r="F91" s="446">
        <f>SUM(-INDEX(MO_BSS_Cash,0,COLUMN()),INDEX(MO_BSS_Debt,0,COLUMN()))/INDEX(SP_BSR_EBITDA_LTM,0,COLUMN())</f>
        <v>-1.044511515108602</v>
      </c>
      <c r="G91" s="478"/>
      <c r="H91" s="478"/>
      <c r="I91" s="478"/>
      <c r="J91" s="478">
        <f t="shared" ref="J91:AW91" si="49">SUM(-INDEX(MO_BSS_Cash,0,COLUMN()),INDEX(MO_BSS_Debt,0,COLUMN()))/INDEX(SP_BSR_EBITDA_LTM,0,COLUMN())</f>
        <v>-1.8907589552734769</v>
      </c>
      <c r="K91" s="446">
        <f t="shared" si="49"/>
        <v>-1.890758955273476</v>
      </c>
      <c r="L91" s="478">
        <f t="shared" si="49"/>
        <v>-2.3391795242687232</v>
      </c>
      <c r="M91" s="478">
        <f t="shared" si="49"/>
        <v>-2.9283766803385571</v>
      </c>
      <c r="N91" s="478">
        <f t="shared" si="49"/>
        <v>-1.984672380074094</v>
      </c>
      <c r="O91" s="478">
        <f t="shared" si="49"/>
        <v>-1.9009389329645539</v>
      </c>
      <c r="P91" s="446">
        <f t="shared" si="49"/>
        <v>-1.9009389329645545</v>
      </c>
      <c r="Q91" s="478">
        <f t="shared" si="49"/>
        <v>-1.697458107459997</v>
      </c>
      <c r="R91" s="478">
        <f t="shared" si="49"/>
        <v>-1.5176594695309078</v>
      </c>
      <c r="S91" s="478">
        <f t="shared" si="49"/>
        <v>-1.4511006506991548</v>
      </c>
      <c r="T91" s="478">
        <f t="shared" si="49"/>
        <v>0.94346922197898975</v>
      </c>
      <c r="U91" s="446">
        <f t="shared" si="49"/>
        <v>0.94346922197899052</v>
      </c>
      <c r="V91" s="478">
        <f t="shared" si="49"/>
        <v>0.85397476209604795</v>
      </c>
      <c r="W91" s="436">
        <f t="shared" si="49"/>
        <v>0.30059832248614743</v>
      </c>
      <c r="X91" s="436">
        <f t="shared" si="49"/>
        <v>1.2224612056918577E-2</v>
      </c>
      <c r="Y91" s="436">
        <f t="shared" si="49"/>
        <v>-0.27608587119321037</v>
      </c>
      <c r="Z91" s="446">
        <f t="shared" si="49"/>
        <v>-0.27608587119320993</v>
      </c>
      <c r="AA91" s="436">
        <f t="shared" si="49"/>
        <v>0.2560608030637937</v>
      </c>
      <c r="AB91" s="436">
        <f t="shared" si="49"/>
        <v>0.32066687708540004</v>
      </c>
      <c r="AC91" s="436">
        <f t="shared" si="49"/>
        <v>0.19282500154102203</v>
      </c>
      <c r="AD91" s="436">
        <f t="shared" si="49"/>
        <v>0.13641229801612523</v>
      </c>
      <c r="AE91" s="446">
        <f t="shared" si="49"/>
        <v>0.13641229801612537</v>
      </c>
      <c r="AF91" s="436">
        <f t="shared" si="49"/>
        <v>0.30020981666838625</v>
      </c>
      <c r="AG91" s="436">
        <f t="shared" si="49"/>
        <v>0.14958608241005841</v>
      </c>
      <c r="AH91" s="436">
        <f t="shared" si="49"/>
        <v>-4.4870853045752362E-2</v>
      </c>
      <c r="AI91" s="436">
        <f t="shared" si="49"/>
        <v>-0.24131900801154185</v>
      </c>
      <c r="AJ91" s="446">
        <f t="shared" si="49"/>
        <v>-0.24131900801154174</v>
      </c>
      <c r="AK91" s="436">
        <f t="shared" si="49"/>
        <v>-0.23871723934024633</v>
      </c>
      <c r="AL91" s="436">
        <f t="shared" si="49"/>
        <v>-0.48077138441552647</v>
      </c>
      <c r="AM91" s="590">
        <f t="shared" si="49"/>
        <v>0.11314899983376742</v>
      </c>
      <c r="AN91" s="175">
        <f t="shared" ca="1" si="49"/>
        <v>6.1665643743060716E-3</v>
      </c>
      <c r="AO91" s="174">
        <f t="shared" ca="1" si="49"/>
        <v>6.1665643743060716E-3</v>
      </c>
      <c r="AP91" s="175">
        <f t="shared" ca="1" si="49"/>
        <v>-0.12356386903258927</v>
      </c>
      <c r="AQ91" s="175">
        <f t="shared" ca="1" si="49"/>
        <v>-0.2898871224438711</v>
      </c>
      <c r="AR91" s="175">
        <f t="shared" ca="1" si="49"/>
        <v>-0.43048002642356226</v>
      </c>
      <c r="AS91" s="175">
        <f t="shared" ca="1" si="49"/>
        <v>-0.57392883918718862</v>
      </c>
      <c r="AT91" s="174">
        <f t="shared" ca="1" si="49"/>
        <v>-0.57392883918718851</v>
      </c>
      <c r="AU91" s="174">
        <f t="shared" ca="1" si="49"/>
        <v>-1.1247848812436061</v>
      </c>
      <c r="AV91" s="174">
        <f t="shared" ca="1" si="49"/>
        <v>-1.6605557139963572</v>
      </c>
      <c r="AW91" s="174">
        <f t="shared" ca="1" si="49"/>
        <v>-2.1751804222044928</v>
      </c>
      <c r="AX91" s="175"/>
    </row>
    <row r="92" spans="1:50" s="97" customFormat="1" x14ac:dyDescent="0.45">
      <c r="A92" s="277" t="s">
        <v>106</v>
      </c>
      <c r="B92" s="278"/>
      <c r="C92" s="446">
        <f>SUM(-INDEX(MO_BSS_Cash,0,COLUMN()),INDEX(MO_BSS_Debt,0,COLUMN()))/INDEX(SP_BSR_CashFlow_LTM,0,COLUMN())</f>
        <v>-1.4220917078613382</v>
      </c>
      <c r="D92" s="446">
        <f>SUM(-INDEX(MO_BSS_Cash,0,COLUMN()),INDEX(MO_BSS_Debt,0,COLUMN()))/INDEX(SP_BSR_CashFlow_LTM,0,COLUMN())</f>
        <v>-1.4931958553691236</v>
      </c>
      <c r="E92" s="446">
        <f>SUM(-INDEX(MO_BSS_Cash,0,COLUMN()),INDEX(MO_BSS_Debt,0,COLUMN()))/INDEX(SP_BSR_CashFlow_LTM,0,COLUMN())</f>
        <v>-1.5391603837110461</v>
      </c>
      <c r="F92" s="446">
        <f>SUM(-INDEX(MO_BSS_Cash,0,COLUMN()),INDEX(MO_BSS_Debt,0,COLUMN()))/INDEX(SP_BSR_CashFlow_LTM,0,COLUMN())</f>
        <v>-1.3794711740777106</v>
      </c>
      <c r="G92" s="478"/>
      <c r="H92" s="478"/>
      <c r="I92" s="478"/>
      <c r="J92" s="478">
        <f t="shared" ref="J92:AW92" si="50">SUM(-INDEX(MO_BSS_Cash,0,COLUMN()),INDEX(MO_BSS_Debt,0,COLUMN()))/INDEX(SP_BSR_CashFlow_LTM,0,COLUMN())</f>
        <v>-1.6148628513856766</v>
      </c>
      <c r="K92" s="446">
        <f t="shared" si="50"/>
        <v>-1.6148628513856764</v>
      </c>
      <c r="L92" s="478">
        <f t="shared" si="50"/>
        <v>-1.9006072279716628</v>
      </c>
      <c r="M92" s="478">
        <f t="shared" si="50"/>
        <v>-2.2206720483270708</v>
      </c>
      <c r="N92" s="478">
        <f t="shared" si="50"/>
        <v>-2.4705486501464651</v>
      </c>
      <c r="O92" s="478">
        <f t="shared" si="50"/>
        <v>-2.5666299775934589</v>
      </c>
      <c r="P92" s="446">
        <f t="shared" si="50"/>
        <v>-2.5666299775934589</v>
      </c>
      <c r="Q92" s="478">
        <f t="shared" si="50"/>
        <v>-2.2238152358104375</v>
      </c>
      <c r="R92" s="478">
        <f t="shared" si="50"/>
        <v>-1.9913176343699441</v>
      </c>
      <c r="S92" s="478">
        <f t="shared" si="50"/>
        <v>-1.8350578636833164</v>
      </c>
      <c r="T92" s="478">
        <f t="shared" si="50"/>
        <v>0.790665743625245</v>
      </c>
      <c r="U92" s="446">
        <f t="shared" si="50"/>
        <v>0.790665743625245</v>
      </c>
      <c r="V92" s="478">
        <f t="shared" si="50"/>
        <v>0.69755153764341149</v>
      </c>
      <c r="W92" s="436">
        <f t="shared" si="50"/>
        <v>0.23533102553007357</v>
      </c>
      <c r="X92" s="436">
        <f t="shared" si="50"/>
        <v>1.0402878888153545E-2</v>
      </c>
      <c r="Y92" s="436">
        <f t="shared" si="50"/>
        <v>-0.28204458376872177</v>
      </c>
      <c r="Z92" s="446">
        <f t="shared" si="50"/>
        <v>-0.28204458376872171</v>
      </c>
      <c r="AA92" s="436">
        <f t="shared" si="50"/>
        <v>0.26340555920332681</v>
      </c>
      <c r="AB92" s="436">
        <f t="shared" si="50"/>
        <v>0.338364734989057</v>
      </c>
      <c r="AC92" s="436">
        <f t="shared" si="50"/>
        <v>0.19002320467495229</v>
      </c>
      <c r="AD92" s="436">
        <f t="shared" si="50"/>
        <v>0.12125853121793825</v>
      </c>
      <c r="AE92" s="446">
        <f t="shared" si="50"/>
        <v>0.12125853121793825</v>
      </c>
      <c r="AF92" s="436">
        <f t="shared" si="50"/>
        <v>0.2644287575362802</v>
      </c>
      <c r="AG92" s="436">
        <f t="shared" si="50"/>
        <v>0.13416795768259152</v>
      </c>
      <c r="AH92" s="436">
        <f t="shared" si="50"/>
        <v>-4.1725301599879756E-2</v>
      </c>
      <c r="AI92" s="436">
        <f t="shared" si="50"/>
        <v>-0.24223772847958217</v>
      </c>
      <c r="AJ92" s="446">
        <f t="shared" si="50"/>
        <v>-0.24223772847958217</v>
      </c>
      <c r="AK92" s="436">
        <f t="shared" si="50"/>
        <v>-0.23481205272287253</v>
      </c>
      <c r="AL92" s="436">
        <f t="shared" si="50"/>
        <v>-0.45713981471621767</v>
      </c>
      <c r="AM92" s="590">
        <f t="shared" si="50"/>
        <v>0.10306468545586693</v>
      </c>
      <c r="AN92" s="175">
        <f t="shared" ca="1" si="50"/>
        <v>5.7952136217818235E-3</v>
      </c>
      <c r="AO92" s="174">
        <f t="shared" ca="1" si="50"/>
        <v>5.7952136217818253E-3</v>
      </c>
      <c r="AP92" s="175">
        <f t="shared" ca="1" si="50"/>
        <v>-0.12093111833404691</v>
      </c>
      <c r="AQ92" s="175">
        <f t="shared" ca="1" si="50"/>
        <v>-0.29538759145199817</v>
      </c>
      <c r="AR92" s="175">
        <f t="shared" ca="1" si="50"/>
        <v>-0.47294957729340364</v>
      </c>
      <c r="AS92" s="175">
        <f t="shared" ca="1" si="50"/>
        <v>-0.63059651980964049</v>
      </c>
      <c r="AT92" s="174">
        <f t="shared" ca="1" si="50"/>
        <v>-0.63059651980964049</v>
      </c>
      <c r="AU92" s="174">
        <f t="shared" ca="1" si="50"/>
        <v>-1.2431514472025613</v>
      </c>
      <c r="AV92" s="174">
        <f t="shared" ca="1" si="50"/>
        <v>-1.8392038943033777</v>
      </c>
      <c r="AW92" s="174">
        <f t="shared" ca="1" si="50"/>
        <v>-2.4162223537396987</v>
      </c>
      <c r="AX92" s="175"/>
    </row>
    <row r="93" spans="1:50" s="98" customFormat="1" x14ac:dyDescent="0.45">
      <c r="A93" s="279" t="s">
        <v>294</v>
      </c>
      <c r="B93" s="280"/>
      <c r="C93" s="447">
        <f>SUM(-INDEX(MO_BSS_Cash,0,COLUMN()),INDEX(MO_BSS_Debt,0,COLUMN()))/SUM(INDEX(MO_BS_SE,0,COLUMN()),INDEX(MO_BSS_Debt,0,COLUMN()))</f>
        <v>-0.48738375582216703</v>
      </c>
      <c r="D93" s="447">
        <f>SUM(-INDEX(MO_BSS_Cash,0,COLUMN()),INDEX(MO_BSS_Debt,0,COLUMN()))/SUM(INDEX(MO_BS_SE,0,COLUMN()),INDEX(MO_BSS_Debt,0,COLUMN()))</f>
        <v>-0.52404415364757195</v>
      </c>
      <c r="E93" s="447">
        <f>SUM(-INDEX(MO_BSS_Cash,0,COLUMN()),INDEX(MO_BSS_Debt,0,COLUMN()))/SUM(INDEX(MO_BS_SE,0,COLUMN()),INDEX(MO_BSS_Debt,0,COLUMN()))</f>
        <v>-0.47236403920359638</v>
      </c>
      <c r="F93" s="447">
        <f>SUM(-INDEX(MO_BSS_Cash,0,COLUMN()),INDEX(MO_BSS_Debt,0,COLUMN()))/SUM(INDEX(MO_BS_SE,0,COLUMN()),INDEX(MO_BSS_Debt,0,COLUMN()))</f>
        <v>-0.38433930740696109</v>
      </c>
      <c r="G93" s="437"/>
      <c r="H93" s="437"/>
      <c r="I93" s="437"/>
      <c r="J93" s="437">
        <f t="shared" ref="J93:AW93" si="51">SUM(-INDEX(MO_BSS_Cash,0,COLUMN()),INDEX(MO_BSS_Debt,0,COLUMN()))/SUM(INDEX(MO_BS_SE,0,COLUMN()),INDEX(MO_BSS_Debt,0,COLUMN()))</f>
        <v>-0.38564844623674127</v>
      </c>
      <c r="K93" s="447">
        <f t="shared" si="51"/>
        <v>-0.38564844623674127</v>
      </c>
      <c r="L93" s="437">
        <f t="shared" si="51"/>
        <v>-0.40075376884422109</v>
      </c>
      <c r="M93" s="437">
        <f t="shared" si="51"/>
        <v>-0.43281087388438622</v>
      </c>
      <c r="N93" s="437">
        <f t="shared" si="51"/>
        <v>-0.44184622355319092</v>
      </c>
      <c r="O93" s="437">
        <f t="shared" si="51"/>
        <v>-0.46055230302602806</v>
      </c>
      <c r="P93" s="447">
        <f t="shared" si="51"/>
        <v>-0.46055230302602806</v>
      </c>
      <c r="Q93" s="437">
        <f t="shared" si="51"/>
        <v>-0.41720068296934493</v>
      </c>
      <c r="R93" s="437">
        <f t="shared" si="51"/>
        <v>-0.38531532502947857</v>
      </c>
      <c r="S93" s="437">
        <f t="shared" si="51"/>
        <v>-0.36830379889171166</v>
      </c>
      <c r="T93" s="437">
        <f t="shared" si="51"/>
        <v>0.18304276170811776</v>
      </c>
      <c r="U93" s="447">
        <f t="shared" si="51"/>
        <v>0.18304276170811776</v>
      </c>
      <c r="V93" s="437">
        <f t="shared" si="51"/>
        <v>0.17214890848472325</v>
      </c>
      <c r="W93" s="437">
        <f t="shared" si="51"/>
        <v>6.5235057921078601E-2</v>
      </c>
      <c r="X93" s="437">
        <f t="shared" si="51"/>
        <v>3.1169635941130911E-3</v>
      </c>
      <c r="Y93" s="437">
        <f t="shared" si="51"/>
        <v>-7.0843605390525657E-2</v>
      </c>
      <c r="Z93" s="447">
        <f t="shared" si="51"/>
        <v>-7.0843605390525657E-2</v>
      </c>
      <c r="AA93" s="437">
        <f t="shared" si="51"/>
        <v>6.0311034889807012E-2</v>
      </c>
      <c r="AB93" s="437">
        <f t="shared" si="51"/>
        <v>7.4761565611834849E-2</v>
      </c>
      <c r="AC93" s="437">
        <f t="shared" si="51"/>
        <v>4.230269919402823E-2</v>
      </c>
      <c r="AD93" s="437">
        <f t="shared" si="51"/>
        <v>2.2627008129630147E-2</v>
      </c>
      <c r="AE93" s="447">
        <f t="shared" si="51"/>
        <v>2.2627008129630147E-2</v>
      </c>
      <c r="AF93" s="437">
        <f t="shared" si="51"/>
        <v>4.5829263938334225E-2</v>
      </c>
      <c r="AG93" s="437">
        <f t="shared" si="51"/>
        <v>2.4187663863685545E-2</v>
      </c>
      <c r="AH93" s="437">
        <f t="shared" si="51"/>
        <v>-7.7834696842266201E-3</v>
      </c>
      <c r="AI93" s="437">
        <f t="shared" si="51"/>
        <v>-5.7059641396990796E-2</v>
      </c>
      <c r="AJ93" s="447">
        <f t="shared" si="51"/>
        <v>-5.7059641396990796E-2</v>
      </c>
      <c r="AK93" s="437">
        <f t="shared" si="51"/>
        <v>-5.8441692733241991E-2</v>
      </c>
      <c r="AL93" s="437">
        <f t="shared" si="51"/>
        <v>-0.1097594649321961</v>
      </c>
      <c r="AM93" s="591">
        <f t="shared" si="51"/>
        <v>2.3376896940167969E-2</v>
      </c>
      <c r="AN93" s="177">
        <f t="shared" ca="1" si="51"/>
        <v>1.2498219306448705E-3</v>
      </c>
      <c r="AO93" s="176">
        <f t="shared" ca="1" si="51"/>
        <v>1.2498219306448705E-3</v>
      </c>
      <c r="AP93" s="177">
        <f t="shared" ca="1" si="51"/>
        <v>-2.4818958332934595E-2</v>
      </c>
      <c r="AQ93" s="177">
        <f t="shared" ca="1" si="51"/>
        <v>-5.6753024065485082E-2</v>
      </c>
      <c r="AR93" s="177">
        <f t="shared" ca="1" si="51"/>
        <v>-8.4100776251710904E-2</v>
      </c>
      <c r="AS93" s="177">
        <f t="shared" ca="1" si="51"/>
        <v>-0.11033789966289516</v>
      </c>
      <c r="AT93" s="176">
        <f t="shared" ca="1" si="51"/>
        <v>-0.11033789966289516</v>
      </c>
      <c r="AU93" s="176">
        <f t="shared" ca="1" si="51"/>
        <v>-0.20996803355777197</v>
      </c>
      <c r="AV93" s="176">
        <f t="shared" ca="1" si="51"/>
        <v>-0.29444317002548881</v>
      </c>
      <c r="AW93" s="176">
        <f t="shared" ca="1" si="51"/>
        <v>-0.36918746398813523</v>
      </c>
      <c r="AX93" s="295"/>
    </row>
    <row r="94" spans="1:50" s="95" customFormat="1" hidden="1" outlineLevel="1" x14ac:dyDescent="0.45">
      <c r="A94" s="273" t="s">
        <v>295</v>
      </c>
      <c r="B94" s="274"/>
      <c r="C94" s="959">
        <f>C59</f>
        <v>89.170000000000016</v>
      </c>
      <c r="D94" s="959">
        <f>D59</f>
        <v>112.49000000000001</v>
      </c>
      <c r="E94" s="959">
        <f>E59</f>
        <v>137.47</v>
      </c>
      <c r="F94" s="959">
        <f>F59</f>
        <v>112.98199999999994</v>
      </c>
      <c r="G94" s="960"/>
      <c r="H94" s="960"/>
      <c r="I94" s="960"/>
      <c r="J94" s="960">
        <f>SUM(J59,I59,H59,G59)</f>
        <v>60.187999999999988</v>
      </c>
      <c r="K94" s="959">
        <f>K59</f>
        <v>60.188000000000017</v>
      </c>
      <c r="L94" s="960">
        <f>SUM(L59,J59,I59,H59)</f>
        <v>49.77600000000001</v>
      </c>
      <c r="M94" s="960">
        <f>SUM(M59,L59,J59,I59)</f>
        <v>42.179000000000002</v>
      </c>
      <c r="N94" s="960">
        <f>SUM(N59,M59,L59,J59)</f>
        <v>62.893000000000008</v>
      </c>
      <c r="O94" s="960">
        <f>SUM(O59,N59,M59,L59)</f>
        <v>68.694999999999993</v>
      </c>
      <c r="P94" s="959">
        <f>P59</f>
        <v>68.694999999999965</v>
      </c>
      <c r="Q94" s="960">
        <f>SUM(Q59,O59,N59,M59)</f>
        <v>68.806999999999988</v>
      </c>
      <c r="R94" s="960">
        <f>SUM(R59,Q59,O59,N59)</f>
        <v>72.99199999999999</v>
      </c>
      <c r="S94" s="960">
        <f>SUM(S59,R59,Q59,O59)</f>
        <v>72.230000000000018</v>
      </c>
      <c r="T94" s="960">
        <f>SUM(T59,S59,R59,Q59)</f>
        <v>72.633000000000038</v>
      </c>
      <c r="U94" s="959">
        <f>U59</f>
        <v>72.632999999999981</v>
      </c>
      <c r="V94" s="960">
        <f>SUM(V59,T59,S59,R59)</f>
        <v>72.193000000000012</v>
      </c>
      <c r="W94" s="960">
        <f>SUM(W59,V59,T59,S59)</f>
        <v>72.369</v>
      </c>
      <c r="X94" s="960">
        <f>SUM(X59,W59,V59,T59)</f>
        <v>82.292999999999978</v>
      </c>
      <c r="Y94" s="960">
        <f>SUM(Y59,X59,W59,V59)</f>
        <v>82.122999999999948</v>
      </c>
      <c r="Z94" s="959">
        <f>Z59</f>
        <v>82.123000000000076</v>
      </c>
      <c r="AA94" s="960">
        <f>SUM(AA59,Y59,X59,W59)</f>
        <v>84.600999999999956</v>
      </c>
      <c r="AB94" s="960">
        <f>SUM(AB59,AA59,Y59,X59)</f>
        <v>88.711999999999975</v>
      </c>
      <c r="AC94" s="960">
        <f>SUM(AC59,AB59,AA59,Y59)</f>
        <v>81.114999999999981</v>
      </c>
      <c r="AD94" s="960">
        <f>SUM(AD59,AC59,AB59,AA59)</f>
        <v>59.782000000000018</v>
      </c>
      <c r="AE94" s="959">
        <f>AE59</f>
        <v>59.781999999999954</v>
      </c>
      <c r="AF94" s="960">
        <f>SUM(AF59,AD59,AC59,AB59)</f>
        <v>58.146000000000036</v>
      </c>
      <c r="AG94" s="960">
        <f>SUM(AG59,AF59,AD59,AC59)</f>
        <v>64.264000000000038</v>
      </c>
      <c r="AH94" s="960">
        <f>SUM(AH59,AG59,AF59,AD59)</f>
        <v>68.062000000000026</v>
      </c>
      <c r="AI94" s="960">
        <f>SUM(AI59,AH59,AG59,AF59)</f>
        <v>91.493000000000009</v>
      </c>
      <c r="AJ94" s="959">
        <f>AJ59</f>
        <v>91.493000000000052</v>
      </c>
      <c r="AK94" s="960">
        <f>SUM(AK59,AI59,AH59,AG59)</f>
        <v>94.70199999999997</v>
      </c>
      <c r="AL94" s="960">
        <f>SUM(AL59,AK59,AI59,AH59)</f>
        <v>89.293999999999954</v>
      </c>
      <c r="AM94" s="961">
        <f>SUM(AM59,AL59,AK59,AI59)</f>
        <v>90.234999999999985</v>
      </c>
      <c r="AN94" s="962">
        <f>SUM(AN59,AM59,AL59,AK59)</f>
        <v>90.373966900000013</v>
      </c>
      <c r="AO94" s="963">
        <f>AO59</f>
        <v>90.373966900000013</v>
      </c>
      <c r="AP94" s="962">
        <f>SUM(AP59,AN59,AM59,AL59)</f>
        <v>91.000451320000053</v>
      </c>
      <c r="AQ94" s="962">
        <f>SUM(AQ59,AP59,AN59,AM59)</f>
        <v>90.73493610000007</v>
      </c>
      <c r="AR94" s="962">
        <f>SUM(AR59,AQ59,AP59,AN59)</f>
        <v>92.565888460000082</v>
      </c>
      <c r="AS94" s="962">
        <f>SUM(AS59,AR59,AQ59,AP59)</f>
        <v>92.906544121800053</v>
      </c>
      <c r="AT94" s="963">
        <f>AT59</f>
        <v>92.906544121800067</v>
      </c>
      <c r="AU94" s="963">
        <f>AU59</f>
        <v>97.943413590944402</v>
      </c>
      <c r="AV94" s="963">
        <f>AV59</f>
        <v>100.80187215256194</v>
      </c>
      <c r="AW94" s="963">
        <f>AW59</f>
        <v>104.43359709996218</v>
      </c>
      <c r="AX94" s="293"/>
    </row>
    <row r="95" spans="1:50" s="95" customFormat="1" hidden="1" outlineLevel="1" x14ac:dyDescent="0.45">
      <c r="A95" s="273" t="s">
        <v>296</v>
      </c>
      <c r="B95" s="274"/>
      <c r="C95" s="959">
        <f>C71</f>
        <v>64.530999999999992</v>
      </c>
      <c r="D95" s="959">
        <f>D71</f>
        <v>78.84899999999999</v>
      </c>
      <c r="E95" s="959">
        <f>E71</f>
        <v>90.589000000000013</v>
      </c>
      <c r="F95" s="959">
        <f>F71</f>
        <v>85.548000000000002</v>
      </c>
      <c r="G95" s="960"/>
      <c r="H95" s="960"/>
      <c r="I95" s="960"/>
      <c r="J95" s="960">
        <f>SUM(J71,I71,H71,G71)</f>
        <v>70.470999999999989</v>
      </c>
      <c r="K95" s="959">
        <f>K71</f>
        <v>70.471000000000004</v>
      </c>
      <c r="L95" s="960">
        <f>SUM(L71,J71,I71,H71)</f>
        <v>61.262</v>
      </c>
      <c r="M95" s="960">
        <f>SUM(M71,L71,J71,I71)</f>
        <v>55.621000000000002</v>
      </c>
      <c r="N95" s="960">
        <f>SUM(N71,M71,L71,J71)</f>
        <v>50.524000000000001</v>
      </c>
      <c r="O95" s="960">
        <f>SUM(O71,N71,M71,L71)</f>
        <v>50.878</v>
      </c>
      <c r="P95" s="959">
        <f>P71</f>
        <v>50.878</v>
      </c>
      <c r="Q95" s="960">
        <f>SUM(Q71,O71,N71,M71)</f>
        <v>52.521000000000001</v>
      </c>
      <c r="R95" s="960">
        <f>SUM(R71,Q71,O71,N71)</f>
        <v>55.63</v>
      </c>
      <c r="S95" s="960">
        <f>SUM(S71,R71,Q71,O71)</f>
        <v>57.117000000000004</v>
      </c>
      <c r="T95" s="960">
        <f>SUM(T71,S71,R71,Q71)</f>
        <v>86.670000000000016</v>
      </c>
      <c r="U95" s="959">
        <f>U71</f>
        <v>86.670000000000016</v>
      </c>
      <c r="V95" s="960">
        <f>SUM(V71,T71,S71,R71)</f>
        <v>88.382000000000005</v>
      </c>
      <c r="W95" s="960">
        <f>SUM(W71,V71,T71,S71)</f>
        <v>92.44</v>
      </c>
      <c r="X95" s="960">
        <f>SUM(X71,W71,V71,T71)</f>
        <v>96.703999999999994</v>
      </c>
      <c r="Y95" s="960">
        <f>SUM(Y71,X71,W71,V71)</f>
        <v>80.387999999999991</v>
      </c>
      <c r="Z95" s="959">
        <f>Z71</f>
        <v>80.388000000000005</v>
      </c>
      <c r="AA95" s="960">
        <f>SUM(AA71,Y71,X71,W71)</f>
        <v>82.24199999999999</v>
      </c>
      <c r="AB95" s="960">
        <f>SUM(AB71,AA71,Y71,X71)</f>
        <v>84.072000000000003</v>
      </c>
      <c r="AC95" s="960">
        <f>SUM(AC71,AB71,AA71,Y71)</f>
        <v>82.311000000000007</v>
      </c>
      <c r="AD95" s="960">
        <f>SUM(AD71,AC71,AB71,AA71)</f>
        <v>67.253</v>
      </c>
      <c r="AE95" s="959">
        <f>AE71</f>
        <v>67.253</v>
      </c>
      <c r="AF95" s="960">
        <f>SUM(AF71,AD71,AC71,AB71)</f>
        <v>66.013999999999996</v>
      </c>
      <c r="AG95" s="960">
        <f>SUM(AG71,AF71,AD71,AC71)</f>
        <v>71.649000000000001</v>
      </c>
      <c r="AH95" s="960">
        <f>SUM(AH71,AG71,AF71,AD71)</f>
        <v>73.192999999999984</v>
      </c>
      <c r="AI95" s="960">
        <f>SUM(AI71,AH71,AG71,AF71)</f>
        <v>91.146000000000015</v>
      </c>
      <c r="AJ95" s="959">
        <f>AJ71</f>
        <v>91.146000000000015</v>
      </c>
      <c r="AK95" s="960">
        <f>SUM(AK71,AI71,AH71,AG71)</f>
        <v>96.277000000000001</v>
      </c>
      <c r="AL95" s="960">
        <f>SUM(AL71,AK71,AI71,AH71)</f>
        <v>93.91</v>
      </c>
      <c r="AM95" s="961">
        <f>SUM(AM71,AL71,AK71,AI71)</f>
        <v>99.063999999999993</v>
      </c>
      <c r="AN95" s="962">
        <f>SUM(AN71,AM71,AL71,AK71)</f>
        <v>96.165028767120248</v>
      </c>
      <c r="AO95" s="963">
        <f>AO71</f>
        <v>96.165028767120219</v>
      </c>
      <c r="AP95" s="962">
        <f ca="1">SUM(AP71,AN71,AM71,AL71)</f>
        <v>92.98159153503228</v>
      </c>
      <c r="AQ95" s="962">
        <f ca="1">SUM(AQ71,AP71,AN71,AM71)</f>
        <v>89.045343448124768</v>
      </c>
      <c r="AR95" s="962">
        <f ca="1">SUM(AR71,AQ71,AP71,AN71)</f>
        <v>84.253730256451846</v>
      </c>
      <c r="AS95" s="962">
        <f ca="1">SUM(AS71,AR71,AQ71,AP71)</f>
        <v>84.557626541951691</v>
      </c>
      <c r="AT95" s="963">
        <f ca="1">AT71</f>
        <v>84.557626541951691</v>
      </c>
      <c r="AU95" s="963">
        <f ca="1">AU71</f>
        <v>88.61773927254518</v>
      </c>
      <c r="AV95" s="963">
        <f ca="1">AV71</f>
        <v>91.010640692377962</v>
      </c>
      <c r="AW95" s="963">
        <f ca="1">AW71</f>
        <v>94.015319194709321</v>
      </c>
      <c r="AX95" s="293"/>
    </row>
    <row r="96" spans="1:50" collapsed="1" x14ac:dyDescent="0.45">
      <c r="A96" s="255"/>
      <c r="B96" s="260"/>
      <c r="C96" s="964"/>
      <c r="D96" s="964"/>
      <c r="E96" s="964"/>
      <c r="F96" s="964"/>
      <c r="G96" s="965"/>
      <c r="H96" s="965"/>
      <c r="I96" s="965"/>
      <c r="J96" s="965"/>
      <c r="K96" s="964"/>
      <c r="L96" s="965"/>
      <c r="M96" s="965"/>
      <c r="N96" s="965"/>
      <c r="O96" s="965"/>
      <c r="P96" s="964"/>
      <c r="Q96" s="965"/>
      <c r="R96" s="965"/>
      <c r="S96" s="965"/>
      <c r="T96" s="965"/>
      <c r="U96" s="964"/>
      <c r="V96" s="965"/>
      <c r="W96" s="965"/>
      <c r="X96" s="965"/>
      <c r="Y96" s="965"/>
      <c r="Z96" s="964"/>
      <c r="AA96" s="965"/>
      <c r="AB96" s="965"/>
      <c r="AC96" s="965"/>
      <c r="AD96" s="965"/>
      <c r="AE96" s="964"/>
      <c r="AF96" s="965"/>
      <c r="AG96" s="965"/>
      <c r="AH96" s="965"/>
      <c r="AI96" s="965"/>
      <c r="AJ96" s="964"/>
      <c r="AK96" s="965"/>
      <c r="AL96" s="965"/>
      <c r="AM96" s="966"/>
      <c r="AN96" s="967"/>
      <c r="AO96" s="968"/>
      <c r="AP96" s="967"/>
      <c r="AQ96" s="967"/>
      <c r="AR96" s="967"/>
      <c r="AS96" s="967"/>
      <c r="AT96" s="968"/>
      <c r="AU96" s="968"/>
      <c r="AV96" s="968"/>
      <c r="AW96" s="968"/>
      <c r="AX96" s="807"/>
    </row>
    <row r="97" spans="1:50" x14ac:dyDescent="0.45">
      <c r="A97" s="158" t="s">
        <v>297</v>
      </c>
      <c r="B97" s="808"/>
      <c r="C97" s="969"/>
      <c r="D97" s="969"/>
      <c r="E97" s="969"/>
      <c r="F97" s="969"/>
      <c r="G97" s="969"/>
      <c r="H97" s="969"/>
      <c r="I97" s="969"/>
      <c r="J97" s="969"/>
      <c r="K97" s="969"/>
      <c r="L97" s="969"/>
      <c r="M97" s="969"/>
      <c r="N97" s="969"/>
      <c r="O97" s="969"/>
      <c r="P97" s="969"/>
      <c r="Q97" s="969"/>
      <c r="R97" s="969"/>
      <c r="S97" s="969"/>
      <c r="T97" s="969"/>
      <c r="U97" s="969"/>
      <c r="V97" s="969"/>
      <c r="W97" s="969"/>
      <c r="X97" s="969"/>
      <c r="Y97" s="969"/>
      <c r="Z97" s="969"/>
      <c r="AA97" s="969"/>
      <c r="AB97" s="969"/>
      <c r="AC97" s="969"/>
      <c r="AD97" s="969"/>
      <c r="AE97" s="969"/>
      <c r="AF97" s="969"/>
      <c r="AG97" s="969"/>
      <c r="AH97" s="969"/>
      <c r="AI97" s="969"/>
      <c r="AJ97" s="969"/>
      <c r="AK97" s="969"/>
      <c r="AL97" s="969"/>
      <c r="AM97" s="970"/>
      <c r="AN97" s="971"/>
      <c r="AO97" s="971"/>
      <c r="AP97" s="971"/>
      <c r="AQ97" s="971"/>
      <c r="AR97" s="971"/>
      <c r="AS97" s="971"/>
      <c r="AT97" s="971"/>
      <c r="AU97" s="971"/>
      <c r="AV97" s="971"/>
      <c r="AW97" s="971"/>
      <c r="AX97" s="806"/>
    </row>
    <row r="98" spans="1:50" hidden="1" outlineLevel="1" x14ac:dyDescent="0.45">
      <c r="A98" s="256" t="s">
        <v>298</v>
      </c>
      <c r="B98" s="257"/>
      <c r="C98" s="959">
        <f t="shared" ref="C98:AW98" si="52">INDEX(SP_NGF_NI,0,COLUMN())</f>
        <v>48.379000000000019</v>
      </c>
      <c r="D98" s="959">
        <f t="shared" si="52"/>
        <v>61.606000000000009</v>
      </c>
      <c r="E98" s="959">
        <f t="shared" si="52"/>
        <v>75.657000000000011</v>
      </c>
      <c r="F98" s="959">
        <f t="shared" si="52"/>
        <v>67.64599999999993</v>
      </c>
      <c r="G98" s="960">
        <f t="shared" si="52"/>
        <v>14.585999999999988</v>
      </c>
      <c r="H98" s="960">
        <f t="shared" si="52"/>
        <v>13.356</v>
      </c>
      <c r="I98" s="960">
        <f t="shared" si="52"/>
        <v>6.7309999999999945</v>
      </c>
      <c r="J98" s="960">
        <f t="shared" si="52"/>
        <v>7.454000000000006</v>
      </c>
      <c r="K98" s="959">
        <f t="shared" si="52"/>
        <v>41.996000000000009</v>
      </c>
      <c r="L98" s="960">
        <f t="shared" si="52"/>
        <v>7.7890000000000095</v>
      </c>
      <c r="M98" s="960">
        <f t="shared" si="52"/>
        <v>7.7219999999999915</v>
      </c>
      <c r="N98" s="960">
        <f t="shared" si="52"/>
        <v>9.695999999999998</v>
      </c>
      <c r="O98" s="960">
        <f t="shared" si="52"/>
        <v>12.523999999999992</v>
      </c>
      <c r="P98" s="959">
        <f t="shared" si="52"/>
        <v>37.731999999999957</v>
      </c>
      <c r="Q98" s="960">
        <f t="shared" si="52"/>
        <v>9.5450000000000088</v>
      </c>
      <c r="R98" s="960">
        <f t="shared" si="52"/>
        <v>12.973999999999995</v>
      </c>
      <c r="S98" s="960">
        <f t="shared" si="52"/>
        <v>10.042000000000014</v>
      </c>
      <c r="T98" s="960">
        <f t="shared" si="52"/>
        <v>11.539000000000009</v>
      </c>
      <c r="U98" s="959">
        <f t="shared" si="52"/>
        <v>44.11999999999999</v>
      </c>
      <c r="V98" s="960">
        <f t="shared" si="52"/>
        <v>9.345999999999993</v>
      </c>
      <c r="W98" s="960">
        <f t="shared" si="52"/>
        <v>14.367999999999984</v>
      </c>
      <c r="X98" s="960">
        <f t="shared" si="52"/>
        <v>14.359999999999989</v>
      </c>
      <c r="Y98" s="960">
        <f t="shared" si="52"/>
        <v>12.695999999999978</v>
      </c>
      <c r="Z98" s="959">
        <f t="shared" si="52"/>
        <v>50.770000000000067</v>
      </c>
      <c r="AA98" s="960">
        <f t="shared" si="52"/>
        <v>10.471</v>
      </c>
      <c r="AB98" s="960">
        <f t="shared" si="52"/>
        <v>14.215000000000003</v>
      </c>
      <c r="AC98" s="960">
        <f t="shared" si="52"/>
        <v>9.3840000000000039</v>
      </c>
      <c r="AD98" s="960">
        <f t="shared" si="52"/>
        <v>10.420000000000009</v>
      </c>
      <c r="AE98" s="959">
        <f t="shared" si="52"/>
        <v>44.489999999999959</v>
      </c>
      <c r="AF98" s="960">
        <f t="shared" si="52"/>
        <v>12.246000000000018</v>
      </c>
      <c r="AG98" s="960">
        <f t="shared" si="52"/>
        <v>15.602000000000009</v>
      </c>
      <c r="AH98" s="960">
        <f t="shared" si="52"/>
        <v>13.217999999999984</v>
      </c>
      <c r="AI98" s="960">
        <f t="shared" si="52"/>
        <v>14.758999999999993</v>
      </c>
      <c r="AJ98" s="959">
        <f t="shared" si="52"/>
        <v>55.82500000000006</v>
      </c>
      <c r="AK98" s="960">
        <f t="shared" si="52"/>
        <v>10.457999999999974</v>
      </c>
      <c r="AL98" s="960">
        <f t="shared" si="52"/>
        <v>15.772999999999993</v>
      </c>
      <c r="AM98" s="961">
        <f t="shared" si="52"/>
        <v>14.899000000000015</v>
      </c>
      <c r="AN98" s="962">
        <f t="shared" si="52"/>
        <v>12.209496757409855</v>
      </c>
      <c r="AO98" s="963">
        <f t="shared" si="52"/>
        <v>53.339496757409805</v>
      </c>
      <c r="AP98" s="962">
        <f t="shared" ca="1" si="52"/>
        <v>10.24422653034353</v>
      </c>
      <c r="AQ98" s="962">
        <f t="shared" ca="1" si="52"/>
        <v>13.455248724319164</v>
      </c>
      <c r="AR98" s="962">
        <f t="shared" ca="1" si="52"/>
        <v>13.396635076576098</v>
      </c>
      <c r="AS98" s="962">
        <f t="shared" ca="1" si="52"/>
        <v>12.509546254485656</v>
      </c>
      <c r="AT98" s="963">
        <f t="shared" ca="1" si="52"/>
        <v>49.605656585724489</v>
      </c>
      <c r="AU98" s="963">
        <f t="shared" ca="1" si="52"/>
        <v>53.614375484285112</v>
      </c>
      <c r="AV98" s="963">
        <f t="shared" ca="1" si="52"/>
        <v>55.976987012727619</v>
      </c>
      <c r="AW98" s="963">
        <f t="shared" ca="1" si="52"/>
        <v>58.943631609966161</v>
      </c>
      <c r="AX98" s="806"/>
    </row>
    <row r="99" spans="1:50" hidden="1" outlineLevel="1" x14ac:dyDescent="0.45">
      <c r="A99" s="256" t="s">
        <v>299</v>
      </c>
      <c r="B99" s="257"/>
      <c r="C99" s="959">
        <f>C98</f>
        <v>48.379000000000019</v>
      </c>
      <c r="D99" s="959">
        <f>D98</f>
        <v>61.606000000000009</v>
      </c>
      <c r="E99" s="959">
        <f>E98</f>
        <v>75.657000000000011</v>
      </c>
      <c r="F99" s="959">
        <f>F98</f>
        <v>67.64599999999993</v>
      </c>
      <c r="G99" s="960"/>
      <c r="H99" s="960"/>
      <c r="I99" s="960"/>
      <c r="J99" s="960">
        <f>SUM(J98,I98,H98,G98)</f>
        <v>42.126999999999988</v>
      </c>
      <c r="K99" s="959">
        <f>K98</f>
        <v>41.996000000000009</v>
      </c>
      <c r="L99" s="960">
        <f>SUM(L98,J98,I98,H98)</f>
        <v>35.330000000000013</v>
      </c>
      <c r="M99" s="960">
        <f>SUM(M98,L98,J98,I98)</f>
        <v>29.696000000000002</v>
      </c>
      <c r="N99" s="960">
        <f>SUM(N98,M98,L98,J98)</f>
        <v>32.661000000000001</v>
      </c>
      <c r="O99" s="960">
        <f>SUM(O98,N98,M98,L98)</f>
        <v>37.730999999999995</v>
      </c>
      <c r="P99" s="959">
        <f>P98</f>
        <v>37.731999999999957</v>
      </c>
      <c r="Q99" s="960">
        <f>SUM(Q98,O98,N98,M98)</f>
        <v>39.486999999999995</v>
      </c>
      <c r="R99" s="960">
        <f>SUM(R98,Q98,O98,N98)</f>
        <v>44.738999999999997</v>
      </c>
      <c r="S99" s="960">
        <f>SUM(S98,R98,Q98,O98)</f>
        <v>45.085000000000015</v>
      </c>
      <c r="T99" s="960">
        <f>SUM(T98,S98,R98,Q98)</f>
        <v>44.10000000000003</v>
      </c>
      <c r="U99" s="959">
        <f>U98</f>
        <v>44.11999999999999</v>
      </c>
      <c r="V99" s="960">
        <f>SUM(V98,T98,S98,R98)</f>
        <v>43.90100000000001</v>
      </c>
      <c r="W99" s="960">
        <f>SUM(W98,V98,T98,S98)</f>
        <v>45.295000000000002</v>
      </c>
      <c r="X99" s="960">
        <f>SUM(X98,W98,V98,T98)</f>
        <v>49.612999999999978</v>
      </c>
      <c r="Y99" s="960">
        <f>SUM(Y98,X98,W98,V98)</f>
        <v>50.769999999999939</v>
      </c>
      <c r="Z99" s="959">
        <f>Z98</f>
        <v>50.770000000000067</v>
      </c>
      <c r="AA99" s="960">
        <f>SUM(AA98,Y98,X98,W98)</f>
        <v>51.894999999999953</v>
      </c>
      <c r="AB99" s="960">
        <f>SUM(AB98,AA98,Y98,X98)</f>
        <v>51.741999999999976</v>
      </c>
      <c r="AC99" s="960">
        <f>SUM(AC98,AB98,AA98,Y98)</f>
        <v>46.765999999999984</v>
      </c>
      <c r="AD99" s="960">
        <f>SUM(AD98,AC98,AB98,AA98)</f>
        <v>44.490000000000023</v>
      </c>
      <c r="AE99" s="959">
        <f>AE98</f>
        <v>44.489999999999959</v>
      </c>
      <c r="AF99" s="960">
        <f>SUM(AF98,AD98,AC98,AB98)</f>
        <v>46.265000000000029</v>
      </c>
      <c r="AG99" s="960">
        <f>SUM(AG98,AF98,AD98,AC98)</f>
        <v>47.652000000000044</v>
      </c>
      <c r="AH99" s="960">
        <f>SUM(AH98,AG98,AF98,AD98)</f>
        <v>51.486000000000018</v>
      </c>
      <c r="AI99" s="960">
        <f>SUM(AI98,AH98,AG98,AF98)</f>
        <v>55.825000000000003</v>
      </c>
      <c r="AJ99" s="959">
        <f>AJ98</f>
        <v>55.82500000000006</v>
      </c>
      <c r="AK99" s="960">
        <f>SUM(AK98,AI98,AH98,AG98)</f>
        <v>54.036999999999964</v>
      </c>
      <c r="AL99" s="960">
        <f>SUM(AL98,AK98,AI98,AH98)</f>
        <v>54.207999999999942</v>
      </c>
      <c r="AM99" s="961">
        <f>SUM(AM98,AL98,AK98,AI98)</f>
        <v>55.888999999999974</v>
      </c>
      <c r="AN99" s="962">
        <f>SUM(AN98,AM98,AL98,AK98)</f>
        <v>53.339496757409833</v>
      </c>
      <c r="AO99" s="963">
        <f>AO98</f>
        <v>53.339496757409805</v>
      </c>
      <c r="AP99" s="962">
        <f ca="1">SUM(AP98,AN98,AM98,AL98)</f>
        <v>53.125723287753388</v>
      </c>
      <c r="AQ99" s="962">
        <f ca="1">SUM(AQ98,AP98,AN98,AM98)</f>
        <v>50.807972012072568</v>
      </c>
      <c r="AR99" s="962">
        <f ca="1">SUM(AR98,AQ98,AP98,AN98)</f>
        <v>49.305607088648642</v>
      </c>
      <c r="AS99" s="962">
        <f ca="1">SUM(AS98,AR98,AQ98,AP98)</f>
        <v>49.605656585724446</v>
      </c>
      <c r="AT99" s="963">
        <f ca="1">AT98</f>
        <v>49.605656585724489</v>
      </c>
      <c r="AU99" s="963">
        <f ca="1">AU98</f>
        <v>53.614375484285112</v>
      </c>
      <c r="AV99" s="963">
        <f ca="1">AV98</f>
        <v>55.976987012727619</v>
      </c>
      <c r="AW99" s="963">
        <f ca="1">AW98</f>
        <v>58.943631609966161</v>
      </c>
      <c r="AX99" s="806"/>
    </row>
    <row r="100" spans="1:50" hidden="1" outlineLevel="1" x14ac:dyDescent="0.45">
      <c r="A100" s="256" t="s">
        <v>300</v>
      </c>
      <c r="B100" s="257"/>
      <c r="C100" s="959">
        <f t="shared" ref="C100:AW100" si="53">INDEX(MO_BS_SE,0,COLUMN())</f>
        <v>188.28899999999999</v>
      </c>
      <c r="D100" s="959">
        <f t="shared" si="53"/>
        <v>224.67000000000002</v>
      </c>
      <c r="E100" s="959">
        <f t="shared" si="53"/>
        <v>295.17700000000002</v>
      </c>
      <c r="F100" s="959">
        <f t="shared" si="53"/>
        <v>307.04899999999998</v>
      </c>
      <c r="G100" s="960">
        <f t="shared" si="53"/>
        <v>310.10399999999998</v>
      </c>
      <c r="H100" s="960">
        <f t="shared" si="53"/>
        <v>320.50400000000002</v>
      </c>
      <c r="I100" s="960">
        <f t="shared" si="53"/>
        <v>299.74400000000003</v>
      </c>
      <c r="J100" s="960">
        <f t="shared" si="53"/>
        <v>295.09000000000003</v>
      </c>
      <c r="K100" s="959">
        <f t="shared" si="53"/>
        <v>295.09000000000003</v>
      </c>
      <c r="L100" s="960">
        <f t="shared" si="53"/>
        <v>290.54000000000002</v>
      </c>
      <c r="M100" s="960">
        <f t="shared" si="53"/>
        <v>285.38099999999997</v>
      </c>
      <c r="N100" s="960">
        <f t="shared" si="53"/>
        <v>282.50100000000003</v>
      </c>
      <c r="O100" s="960">
        <f t="shared" si="53"/>
        <v>283.54000000000002</v>
      </c>
      <c r="P100" s="959">
        <f t="shared" si="53"/>
        <v>283.54000000000002</v>
      </c>
      <c r="Q100" s="960">
        <f t="shared" si="53"/>
        <v>279.95400000000001</v>
      </c>
      <c r="R100" s="960">
        <f t="shared" si="53"/>
        <v>287.49700000000001</v>
      </c>
      <c r="S100" s="960">
        <f t="shared" si="53"/>
        <v>284.58300000000003</v>
      </c>
      <c r="T100" s="960">
        <f t="shared" si="53"/>
        <v>269.37700000000001</v>
      </c>
      <c r="U100" s="959">
        <f t="shared" si="53"/>
        <v>269.37700000000001</v>
      </c>
      <c r="V100" s="960">
        <f t="shared" si="53"/>
        <v>270.12599999999998</v>
      </c>
      <c r="W100" s="960">
        <f t="shared" si="53"/>
        <v>285.471</v>
      </c>
      <c r="X100" s="960">
        <f t="shared" si="53"/>
        <v>297.75</v>
      </c>
      <c r="Y100" s="960">
        <f t="shared" si="53"/>
        <v>305.04300000000001</v>
      </c>
      <c r="Z100" s="959">
        <f t="shared" si="53"/>
        <v>305.04300000000001</v>
      </c>
      <c r="AA100" s="960">
        <f t="shared" si="53"/>
        <v>314.18799999999999</v>
      </c>
      <c r="AB100" s="960">
        <f t="shared" si="53"/>
        <v>325.50300000000004</v>
      </c>
      <c r="AC100" s="960">
        <f t="shared" si="53"/>
        <v>330.74</v>
      </c>
      <c r="AD100" s="960">
        <f t="shared" si="53"/>
        <v>323.40999999999997</v>
      </c>
      <c r="AE100" s="959">
        <f t="shared" si="53"/>
        <v>323.40999999999997</v>
      </c>
      <c r="AF100" s="960">
        <f t="shared" si="53"/>
        <v>336.892</v>
      </c>
      <c r="AG100" s="960">
        <f t="shared" si="53"/>
        <v>355.43399999999997</v>
      </c>
      <c r="AH100" s="960">
        <f t="shared" si="53"/>
        <v>365.36999999999995</v>
      </c>
      <c r="AI100" s="960">
        <f t="shared" si="53"/>
        <v>375.94600000000003</v>
      </c>
      <c r="AJ100" s="959">
        <f t="shared" si="53"/>
        <v>375.94600000000003</v>
      </c>
      <c r="AK100" s="960">
        <f t="shared" si="53"/>
        <v>380.83</v>
      </c>
      <c r="AL100" s="960">
        <f t="shared" si="53"/>
        <v>391.12800000000004</v>
      </c>
      <c r="AM100" s="961">
        <f t="shared" si="53"/>
        <v>399.75599999999997</v>
      </c>
      <c r="AN100" s="962">
        <f t="shared" ca="1" si="53"/>
        <v>408.90102876712024</v>
      </c>
      <c r="AO100" s="963">
        <f t="shared" ca="1" si="53"/>
        <v>408.90102876712024</v>
      </c>
      <c r="AP100" s="962">
        <f t="shared" ca="1" si="53"/>
        <v>416.05559153503231</v>
      </c>
      <c r="AQ100" s="962">
        <f t="shared" ca="1" si="53"/>
        <v>426.46234344812478</v>
      </c>
      <c r="AR100" s="962">
        <f t="shared" ca="1" si="53"/>
        <v>436.80973025645187</v>
      </c>
      <c r="AS100" s="962">
        <f t="shared" ca="1" si="53"/>
        <v>446.25865530907203</v>
      </c>
      <c r="AT100" s="963">
        <f t="shared" ca="1" si="53"/>
        <v>446.25865530907203</v>
      </c>
      <c r="AU100" s="963">
        <f t="shared" ca="1" si="53"/>
        <v>487.67639458161716</v>
      </c>
      <c r="AV100" s="963">
        <f t="shared" ca="1" si="53"/>
        <v>531.48703527399516</v>
      </c>
      <c r="AW100" s="963">
        <f t="shared" ca="1" si="53"/>
        <v>578.30235446870438</v>
      </c>
      <c r="AX100" s="806"/>
    </row>
    <row r="101" spans="1:50" hidden="1" outlineLevel="1" x14ac:dyDescent="0.45">
      <c r="A101" s="256" t="s">
        <v>301</v>
      </c>
      <c r="B101" s="257"/>
      <c r="C101" s="959"/>
      <c r="D101" s="959">
        <f>AVERAGE(D100,C100)</f>
        <v>206.4795</v>
      </c>
      <c r="E101" s="959">
        <f>AVERAGE(E100,D100)</f>
        <v>259.92349999999999</v>
      </c>
      <c r="F101" s="959">
        <f>AVERAGE(F100,E100)</f>
        <v>301.113</v>
      </c>
      <c r="G101" s="960"/>
      <c r="H101" s="960"/>
      <c r="I101" s="960"/>
      <c r="J101" s="960">
        <f>AVERAGE(J100,I100,H100,G100)</f>
        <v>306.3605</v>
      </c>
      <c r="K101" s="959">
        <f>AVERAGE(K100,F100)</f>
        <v>301.06950000000001</v>
      </c>
      <c r="L101" s="960">
        <f>AVERAGE(L100,J100,I100,H100)</f>
        <v>301.46950000000004</v>
      </c>
      <c r="M101" s="960">
        <f>AVERAGE(M100,L100,J100,I100)</f>
        <v>292.68875000000003</v>
      </c>
      <c r="N101" s="960">
        <f>AVERAGE(N100,M100,L100,J100)</f>
        <v>288.37800000000004</v>
      </c>
      <c r="O101" s="960">
        <f>AVERAGE(O100,N100,M100,L100)</f>
        <v>285.4905</v>
      </c>
      <c r="P101" s="959">
        <f>AVERAGE(P100,K100)</f>
        <v>289.31500000000005</v>
      </c>
      <c r="Q101" s="960">
        <f>AVERAGE(Q100,O100,N100,M100)</f>
        <v>282.84400000000005</v>
      </c>
      <c r="R101" s="960">
        <f>AVERAGE(R100,Q100,O100,N100)</f>
        <v>283.37299999999999</v>
      </c>
      <c r="S101" s="960">
        <f>AVERAGE(S100,R100,Q100,O100)</f>
        <v>283.89350000000002</v>
      </c>
      <c r="T101" s="960">
        <f>AVERAGE(T100,S100,R100,Q100)</f>
        <v>280.35275000000001</v>
      </c>
      <c r="U101" s="959">
        <f>AVERAGE(U100,P100)</f>
        <v>276.45850000000002</v>
      </c>
      <c r="V101" s="960">
        <f>AVERAGE(V100,T100,S100,R100)</f>
        <v>277.89575000000002</v>
      </c>
      <c r="W101" s="960">
        <f>AVERAGE(W100,V100,T100,S100)</f>
        <v>277.38925</v>
      </c>
      <c r="X101" s="960">
        <f>AVERAGE(X100,W100,V100,T100)</f>
        <v>280.68099999999998</v>
      </c>
      <c r="Y101" s="960">
        <f>AVERAGE(Y100,X100,W100,V100)</f>
        <v>289.59749999999997</v>
      </c>
      <c r="Z101" s="959">
        <f>AVERAGE(Z100,U100)</f>
        <v>287.21000000000004</v>
      </c>
      <c r="AA101" s="960">
        <f>AVERAGE(AA100,Y100,X100,W100)</f>
        <v>300.613</v>
      </c>
      <c r="AB101" s="960">
        <f>AVERAGE(AB100,AA100,Y100,X100)</f>
        <v>310.62099999999998</v>
      </c>
      <c r="AC101" s="960">
        <f>AVERAGE(AC100,AB100,AA100,Y100)</f>
        <v>318.86850000000004</v>
      </c>
      <c r="AD101" s="960">
        <f>AVERAGE(AD100,AC100,AB100,AA100)</f>
        <v>323.46024999999997</v>
      </c>
      <c r="AE101" s="959">
        <f>AVERAGE(AE100,Z100)</f>
        <v>314.22649999999999</v>
      </c>
      <c r="AF101" s="960">
        <f>AVERAGE(AF100,AD100,AC100,AB100)</f>
        <v>329.13625000000002</v>
      </c>
      <c r="AG101" s="960">
        <f>AVERAGE(AG100,AF100,AD100,AC100)</f>
        <v>336.61900000000003</v>
      </c>
      <c r="AH101" s="960">
        <f>AVERAGE(AH100,AG100,AF100,AD100)</f>
        <v>345.27649999999994</v>
      </c>
      <c r="AI101" s="960">
        <f>AVERAGE(AI100,AH100,AG100,AF100)</f>
        <v>358.41050000000001</v>
      </c>
      <c r="AJ101" s="959">
        <f>AVERAGE(AJ100,AE100)</f>
        <v>349.678</v>
      </c>
      <c r="AK101" s="960">
        <f>AVERAGE(AK100,AI100,AH100,AG100)</f>
        <v>369.39499999999998</v>
      </c>
      <c r="AL101" s="960">
        <f>AVERAGE(AL100,AK100,AI100,AH100)</f>
        <v>378.31849999999997</v>
      </c>
      <c r="AM101" s="961">
        <f>AVERAGE(AM100,AL100,AK100,AI100)</f>
        <v>386.91499999999996</v>
      </c>
      <c r="AN101" s="962">
        <f ca="1">AVERAGE(AN100,AM100,AL100,AK100)</f>
        <v>395.15375719178007</v>
      </c>
      <c r="AO101" s="963">
        <f ca="1">AVERAGE(AO100,AJ100)</f>
        <v>392.42351438356013</v>
      </c>
      <c r="AP101" s="962">
        <f ca="1">AVERAGE(AP100,AN100,AM100,AL100)</f>
        <v>403.96015507553818</v>
      </c>
      <c r="AQ101" s="962">
        <f ca="1">AVERAGE(AQ100,AP100,AN100,AM100)</f>
        <v>412.79374093756928</v>
      </c>
      <c r="AR101" s="962">
        <f ca="1">AVERAGE(AR100,AQ100,AP100,AN100)</f>
        <v>422.05717350168231</v>
      </c>
      <c r="AS101" s="962">
        <f ca="1">AVERAGE(AS100,AR100,AQ100,AP100)</f>
        <v>431.39658013717025</v>
      </c>
      <c r="AT101" s="963">
        <f ca="1">AVERAGE(AT100,AO100)</f>
        <v>427.5798420380961</v>
      </c>
      <c r="AU101" s="963">
        <f ca="1">AVERAGE(AU100,AT100)</f>
        <v>466.96752494534462</v>
      </c>
      <c r="AV101" s="963">
        <f ca="1">AVERAGE(AV100,AU100)</f>
        <v>509.58171492780616</v>
      </c>
      <c r="AW101" s="963">
        <f ca="1">AVERAGE(AW100,AV100)</f>
        <v>554.89469487134977</v>
      </c>
      <c r="AX101" s="806"/>
    </row>
    <row r="102" spans="1:50" s="95" customFormat="1" collapsed="1" x14ac:dyDescent="0.45">
      <c r="A102" s="273" t="s">
        <v>302</v>
      </c>
      <c r="B102" s="274"/>
      <c r="C102" s="444"/>
      <c r="D102" s="444">
        <f>IF(D101&lt;0,"NMF",IF(ABS(D99/D101)&gt;1,"NMF",D99/D101))</f>
        <v>0.29836376008272014</v>
      </c>
      <c r="E102" s="444">
        <f>IF(E101&lt;0,"NMF",IF(ABS(E99/E101)&gt;1,"NMF",E99/E101))</f>
        <v>0.29107410449613064</v>
      </c>
      <c r="F102" s="444">
        <f>IF(F101&lt;0,"NMF",IF(ABS(F99/F101)&gt;1,"NMF",F99/F101))</f>
        <v>0.22465320328248839</v>
      </c>
      <c r="G102" s="434"/>
      <c r="H102" s="434"/>
      <c r="I102" s="434"/>
      <c r="J102" s="434">
        <f t="shared" ref="J102:K102" si="54">IF(J101&lt;0,"NMF",IF(ABS(J99/J101)&gt;1,"NMF",J99/J101))</f>
        <v>0.1375079359121035</v>
      </c>
      <c r="K102" s="444">
        <f t="shared" si="54"/>
        <v>0.13948938700200456</v>
      </c>
      <c r="L102" s="434">
        <f t="shared" ref="L102:AW102" si="55">IF(L101&lt;0,"NMF",IF(ABS(L99/L101)&gt;1,"NMF",L99/L101))</f>
        <v>0.11719261815871923</v>
      </c>
      <c r="M102" s="434">
        <f t="shared" si="55"/>
        <v>0.10145931471571763</v>
      </c>
      <c r="N102" s="434">
        <f t="shared" si="55"/>
        <v>0.11325759940078646</v>
      </c>
      <c r="O102" s="434">
        <f t="shared" si="55"/>
        <v>0.13216201589895285</v>
      </c>
      <c r="P102" s="444">
        <f t="shared" si="55"/>
        <v>0.13041840208768971</v>
      </c>
      <c r="Q102" s="434">
        <f t="shared" si="55"/>
        <v>0.13960699184002484</v>
      </c>
      <c r="R102" s="434">
        <f t="shared" si="55"/>
        <v>0.15788024970621758</v>
      </c>
      <c r="S102" s="434">
        <f t="shared" si="55"/>
        <v>0.15880955358259352</v>
      </c>
      <c r="T102" s="434">
        <f t="shared" si="55"/>
        <v>0.15730182778660109</v>
      </c>
      <c r="U102" s="444">
        <f t="shared" si="55"/>
        <v>0.15958995653958907</v>
      </c>
      <c r="V102" s="434">
        <f t="shared" si="55"/>
        <v>0.15797650737731689</v>
      </c>
      <c r="W102" s="434">
        <f t="shared" si="55"/>
        <v>0.1632903942744717</v>
      </c>
      <c r="X102" s="434">
        <f t="shared" si="55"/>
        <v>0.17675938164678046</v>
      </c>
      <c r="Y102" s="434">
        <f t="shared" si="55"/>
        <v>0.17531228688092937</v>
      </c>
      <c r="Z102" s="444">
        <f t="shared" si="55"/>
        <v>0.17676961108596517</v>
      </c>
      <c r="AA102" s="434">
        <f t="shared" si="55"/>
        <v>0.17263059149138579</v>
      </c>
      <c r="AB102" s="434">
        <f t="shared" si="55"/>
        <v>0.16657598810125515</v>
      </c>
      <c r="AC102" s="434">
        <f t="shared" si="55"/>
        <v>0.14666233886382624</v>
      </c>
      <c r="AD102" s="434">
        <f t="shared" si="55"/>
        <v>0.13754394859955751</v>
      </c>
      <c r="AE102" s="444">
        <f t="shared" si="55"/>
        <v>0.14158576695472838</v>
      </c>
      <c r="AF102" s="434">
        <f t="shared" si="55"/>
        <v>0.14056488764151631</v>
      </c>
      <c r="AG102" s="434">
        <f t="shared" si="55"/>
        <v>0.14156063680303263</v>
      </c>
      <c r="AH102" s="434">
        <f t="shared" si="55"/>
        <v>0.14911527428017843</v>
      </c>
      <c r="AI102" s="434">
        <f t="shared" si="55"/>
        <v>0.15575715555208344</v>
      </c>
      <c r="AJ102" s="444">
        <f t="shared" si="55"/>
        <v>0.15964687512511527</v>
      </c>
      <c r="AK102" s="434">
        <f t="shared" si="55"/>
        <v>0.14628514192124953</v>
      </c>
      <c r="AL102" s="434">
        <f t="shared" si="55"/>
        <v>0.14328667511633703</v>
      </c>
      <c r="AM102" s="588">
        <f t="shared" si="55"/>
        <v>0.14444774692115833</v>
      </c>
      <c r="AN102" s="171">
        <f t="shared" ca="1" si="55"/>
        <v>0.13498415689243354</v>
      </c>
      <c r="AO102" s="170">
        <f t="shared" ca="1" si="55"/>
        <v>0.13592329410024867</v>
      </c>
      <c r="AP102" s="171">
        <f t="shared" ca="1" si="55"/>
        <v>0.13151228560603753</v>
      </c>
      <c r="AQ102" s="171">
        <f t="shared" ca="1" si="55"/>
        <v>0.12308319379231271</v>
      </c>
      <c r="AR102" s="171">
        <f t="shared" ca="1" si="55"/>
        <v>0.11682210417033016</v>
      </c>
      <c r="AS102" s="171">
        <f t="shared" ca="1" si="55"/>
        <v>0.11498852533775637</v>
      </c>
      <c r="AT102" s="170">
        <f t="shared" ca="1" si="55"/>
        <v>0.11601495605890787</v>
      </c>
      <c r="AU102" s="170">
        <f t="shared" ca="1" si="55"/>
        <v>0.11481392735085874</v>
      </c>
      <c r="AV102" s="170">
        <f t="shared" ca="1" si="55"/>
        <v>0.10984889247970374</v>
      </c>
      <c r="AW102" s="170">
        <f t="shared" ca="1" si="55"/>
        <v>0.10622489664211336</v>
      </c>
      <c r="AX102" s="293"/>
    </row>
    <row r="103" spans="1:50" hidden="1" outlineLevel="1" x14ac:dyDescent="0.45">
      <c r="A103" s="256" t="s">
        <v>365</v>
      </c>
      <c r="B103" s="257"/>
      <c r="C103" s="959">
        <f t="shared" ref="C103:AW103" si="56">INDEX(SP_GF_NI,0,COLUMN())+INDEX(SP_GF_IE,0,COLUMN())*(1-INDEX(SP_GF_Tax,0,COLUMN())/INDEX(SP_GF_EBT,0,COLUMN()))+INDEX(SP_GF_NCI,0,COLUMN())</f>
        <v>48.235547613424671</v>
      </c>
      <c r="D103" s="959">
        <f t="shared" si="56"/>
        <v>61.434393725639715</v>
      </c>
      <c r="E103" s="959">
        <f t="shared" si="56"/>
        <v>75.496327994015843</v>
      </c>
      <c r="F103" s="959">
        <f t="shared" si="56"/>
        <v>42.790335838871592</v>
      </c>
      <c r="G103" s="960">
        <f t="shared" si="56"/>
        <v>12.924239782721147</v>
      </c>
      <c r="H103" s="960">
        <f t="shared" si="56"/>
        <v>10.254119786988319</v>
      </c>
      <c r="I103" s="960">
        <f t="shared" si="56"/>
        <v>-12.666353253790449</v>
      </c>
      <c r="J103" s="960">
        <f t="shared" si="56"/>
        <v>4.9708925528991541</v>
      </c>
      <c r="K103" s="959">
        <f t="shared" si="56"/>
        <v>15.496620146950137</v>
      </c>
      <c r="L103" s="960">
        <f t="shared" si="56"/>
        <v>5.1273384497313961</v>
      </c>
      <c r="M103" s="960">
        <f t="shared" si="56"/>
        <v>4.7051150369761583</v>
      </c>
      <c r="N103" s="960">
        <f t="shared" si="56"/>
        <v>6.7433513779527576</v>
      </c>
      <c r="O103" s="960">
        <f t="shared" si="56"/>
        <v>10.977483972293809</v>
      </c>
      <c r="P103" s="959">
        <f t="shared" si="56"/>
        <v>27.50826626289814</v>
      </c>
      <c r="Q103" s="960">
        <f t="shared" si="56"/>
        <v>6.1550945509369051</v>
      </c>
      <c r="R103" s="960">
        <f t="shared" si="56"/>
        <v>8.2886885613585335</v>
      </c>
      <c r="S103" s="960">
        <f t="shared" si="56"/>
        <v>7.2586227197346744</v>
      </c>
      <c r="T103" s="960">
        <f t="shared" si="56"/>
        <v>-15.456739421587899</v>
      </c>
      <c r="U103" s="959">
        <f t="shared" si="56"/>
        <v>6.440088621617349</v>
      </c>
      <c r="V103" s="960">
        <f t="shared" si="56"/>
        <v>2.7517634854768436E-2</v>
      </c>
      <c r="W103" s="960">
        <f t="shared" si="56"/>
        <v>4.5278616373477547</v>
      </c>
      <c r="X103" s="960">
        <f t="shared" si="56"/>
        <v>11.000163860305577</v>
      </c>
      <c r="Y103" s="960">
        <f t="shared" si="56"/>
        <v>4.949371678381608</v>
      </c>
      <c r="Z103" s="959">
        <f t="shared" si="56"/>
        <v>20.668600576051571</v>
      </c>
      <c r="AA103" s="960">
        <f t="shared" si="56"/>
        <v>4.3261699173553732</v>
      </c>
      <c r="AB103" s="960">
        <f t="shared" si="56"/>
        <v>8.6618388292312041</v>
      </c>
      <c r="AC103" s="960">
        <f t="shared" si="56"/>
        <v>1.906402245706742</v>
      </c>
      <c r="AD103" s="960">
        <f t="shared" si="56"/>
        <v>-10.46514312128328</v>
      </c>
      <c r="AE103" s="959">
        <f t="shared" si="56"/>
        <v>-16.869170731705101</v>
      </c>
      <c r="AF103" s="960">
        <f t="shared" si="56"/>
        <v>3.2487275080906337</v>
      </c>
      <c r="AG103" s="960">
        <f t="shared" si="56"/>
        <v>13.730792928619085</v>
      </c>
      <c r="AH103" s="960">
        <f t="shared" si="56"/>
        <v>5.4406071225610786</v>
      </c>
      <c r="AI103" s="960">
        <f t="shared" si="56"/>
        <v>4.2550360937763516</v>
      </c>
      <c r="AJ103" s="959">
        <f t="shared" si="56"/>
        <v>26.666746927069138</v>
      </c>
      <c r="AK103" s="960">
        <f t="shared" si="56"/>
        <v>1.8098472222222086</v>
      </c>
      <c r="AL103" s="960">
        <f t="shared" si="56"/>
        <v>6.4058934911242549</v>
      </c>
      <c r="AM103" s="961">
        <f t="shared" si="56"/>
        <v>5.0086503984063935</v>
      </c>
      <c r="AN103" s="962">
        <f t="shared" si="56"/>
        <v>5.2123938510000176</v>
      </c>
      <c r="AO103" s="963">
        <f t="shared" si="56"/>
        <v>18.287886162842518</v>
      </c>
      <c r="AP103" s="962">
        <f t="shared" ca="1" si="56"/>
        <v>3.218052691800013</v>
      </c>
      <c r="AQ103" s="962">
        <f t="shared" ca="1" si="56"/>
        <v>6.4704829762000076</v>
      </c>
      <c r="AR103" s="962">
        <f t="shared" ca="1" si="56"/>
        <v>6.4021223644000216</v>
      </c>
      <c r="AS103" s="962">
        <f t="shared" ca="1" si="56"/>
        <v>5.4815118238220002</v>
      </c>
      <c r="AT103" s="963">
        <f t="shared" ca="1" si="56"/>
        <v>21.572169856222082</v>
      </c>
      <c r="AU103" s="963">
        <f t="shared" ca="1" si="56"/>
        <v>25.551296736846076</v>
      </c>
      <c r="AV103" s="963">
        <f t="shared" ca="1" si="56"/>
        <v>27.809479000523933</v>
      </c>
      <c r="AW103" s="963">
        <f t="shared" ca="1" si="56"/>
        <v>30.678541708970126</v>
      </c>
      <c r="AX103" s="806"/>
    </row>
    <row r="104" spans="1:50" hidden="1" outlineLevel="1" x14ac:dyDescent="0.45">
      <c r="A104" s="256" t="s">
        <v>303</v>
      </c>
      <c r="B104" s="257"/>
      <c r="C104" s="959">
        <f>C103</f>
        <v>48.235547613424671</v>
      </c>
      <c r="D104" s="959">
        <f>D103</f>
        <v>61.434393725639715</v>
      </c>
      <c r="E104" s="959">
        <f>E103</f>
        <v>75.496327994015843</v>
      </c>
      <c r="F104" s="959">
        <f>F103</f>
        <v>42.790335838871592</v>
      </c>
      <c r="G104" s="960"/>
      <c r="H104" s="960"/>
      <c r="I104" s="960"/>
      <c r="J104" s="960">
        <f>SUM(J103,I103,H103,G103)</f>
        <v>15.482898868818172</v>
      </c>
      <c r="K104" s="959">
        <f>K103</f>
        <v>15.496620146950137</v>
      </c>
      <c r="L104" s="960">
        <f>SUM(L103,J103,I103,H103)</f>
        <v>7.6859975358284203</v>
      </c>
      <c r="M104" s="960">
        <f>SUM(M103,L103,J103,I103)</f>
        <v>2.1369927858162594</v>
      </c>
      <c r="N104" s="960">
        <f>SUM(N103,M103,L103,J103)</f>
        <v>21.546697417559468</v>
      </c>
      <c r="O104" s="960">
        <f>SUM(O103,N103,M103,L103)</f>
        <v>27.553288836954124</v>
      </c>
      <c r="P104" s="959">
        <f>P103</f>
        <v>27.50826626289814</v>
      </c>
      <c r="Q104" s="960">
        <f>SUM(Q103,O103,N103,M103)</f>
        <v>28.581044938159629</v>
      </c>
      <c r="R104" s="960">
        <f>SUM(R103,Q103,O103,N103)</f>
        <v>32.164618462542002</v>
      </c>
      <c r="S104" s="960">
        <f>SUM(S103,R103,Q103,O103)</f>
        <v>32.679889804323921</v>
      </c>
      <c r="T104" s="960">
        <f>SUM(T103,S103,R103,Q103)</f>
        <v>6.2456664104422135</v>
      </c>
      <c r="U104" s="959">
        <f>U103</f>
        <v>6.440088621617349</v>
      </c>
      <c r="V104" s="960">
        <f>SUM(V103,T103,S103,R103)</f>
        <v>0.11808949436007765</v>
      </c>
      <c r="W104" s="960">
        <f>SUM(W103,V103,T103,S103)</f>
        <v>-3.6427374296507011</v>
      </c>
      <c r="X104" s="960">
        <f>SUM(X103,W103,V103,T103)</f>
        <v>9.8803710920201127E-2</v>
      </c>
      <c r="Y104" s="960">
        <f>SUM(Y103,X103,W103,V103)</f>
        <v>20.504914810889709</v>
      </c>
      <c r="Z104" s="959">
        <f>Z103</f>
        <v>20.668600576051571</v>
      </c>
      <c r="AA104" s="960">
        <f>SUM(AA103,Y103,X103,W103)</f>
        <v>24.803567093390313</v>
      </c>
      <c r="AB104" s="960">
        <f>SUM(AB103,AA103,Y103,X103)</f>
        <v>28.937544285273759</v>
      </c>
      <c r="AC104" s="960">
        <f>SUM(AC103,AB103,AA103,Y103)</f>
        <v>19.843782670674926</v>
      </c>
      <c r="AD104" s="960">
        <f>SUM(AD103,AC103,AB103,AA103)</f>
        <v>4.4292678710100395</v>
      </c>
      <c r="AE104" s="959">
        <f>AE103</f>
        <v>-16.869170731705101</v>
      </c>
      <c r="AF104" s="960">
        <f>SUM(AF103,AD103,AC103,AB103)</f>
        <v>3.3518254617452996</v>
      </c>
      <c r="AG104" s="960">
        <f>SUM(AG103,AF103,AD103,AC103)</f>
        <v>8.4207795611331822</v>
      </c>
      <c r="AH104" s="960">
        <f>SUM(AH103,AG103,AF103,AD103)</f>
        <v>11.95498443798752</v>
      </c>
      <c r="AI104" s="960">
        <f>SUM(AI103,AH103,AG103,AF103)</f>
        <v>26.67516365304715</v>
      </c>
      <c r="AJ104" s="959">
        <f>AJ103</f>
        <v>26.666746927069138</v>
      </c>
      <c r="AK104" s="960">
        <f>SUM(AK103,AI103,AH103,AG103)</f>
        <v>25.236283367178725</v>
      </c>
      <c r="AL104" s="960">
        <f>SUM(AL103,AK103,AI103,AH103)</f>
        <v>17.911383929683893</v>
      </c>
      <c r="AM104" s="961">
        <f>SUM(AM103,AL103,AK103,AI103)</f>
        <v>17.479427205529209</v>
      </c>
      <c r="AN104" s="962">
        <f>SUM(AN103,AM103,AL103,AK103)</f>
        <v>18.436784962752874</v>
      </c>
      <c r="AO104" s="963">
        <f>AO103</f>
        <v>18.287886162842518</v>
      </c>
      <c r="AP104" s="962">
        <f ca="1">SUM(AP103,AN103,AM103,AL103)</f>
        <v>19.844990432330679</v>
      </c>
      <c r="AQ104" s="962">
        <f ca="1">SUM(AQ103,AP103,AN103,AM103)</f>
        <v>19.909579917406433</v>
      </c>
      <c r="AR104" s="962">
        <f ca="1">SUM(AR103,AQ103,AP103,AN103)</f>
        <v>21.303051883400059</v>
      </c>
      <c r="AS104" s="962">
        <f ca="1">SUM(AS103,AR103,AQ103,AP103)</f>
        <v>21.57216985622204</v>
      </c>
      <c r="AT104" s="963">
        <f ca="1">AT103</f>
        <v>21.572169856222082</v>
      </c>
      <c r="AU104" s="963">
        <f ca="1">AU103</f>
        <v>25.551296736846076</v>
      </c>
      <c r="AV104" s="963">
        <f ca="1">AV103</f>
        <v>27.809479000523933</v>
      </c>
      <c r="AW104" s="963">
        <f ca="1">AW103</f>
        <v>30.678541708970126</v>
      </c>
      <c r="AX104" s="806"/>
    </row>
    <row r="105" spans="1:50" hidden="1" outlineLevel="1" x14ac:dyDescent="0.45">
      <c r="A105" s="256" t="s">
        <v>182</v>
      </c>
      <c r="B105" s="257"/>
      <c r="C105" s="959">
        <f t="shared" ref="C105:AW105" si="57">INDEX(MO_BS_TA,0,COLUMN())</f>
        <v>310.18</v>
      </c>
      <c r="D105" s="959">
        <f t="shared" si="57"/>
        <v>378.68599999999998</v>
      </c>
      <c r="E105" s="959">
        <f t="shared" si="57"/>
        <v>440.35199999999998</v>
      </c>
      <c r="F105" s="959">
        <f t="shared" si="57"/>
        <v>443.05499999999995</v>
      </c>
      <c r="G105" s="960">
        <f t="shared" si="57"/>
        <v>444.82100000000003</v>
      </c>
      <c r="H105" s="960">
        <f t="shared" si="57"/>
        <v>467.33100000000002</v>
      </c>
      <c r="I105" s="960">
        <f t="shared" si="57"/>
        <v>447.77699999999999</v>
      </c>
      <c r="J105" s="960">
        <f t="shared" si="57"/>
        <v>451.351</v>
      </c>
      <c r="K105" s="959">
        <f t="shared" si="57"/>
        <v>451.351</v>
      </c>
      <c r="L105" s="960">
        <f t="shared" si="57"/>
        <v>441.78100000000001</v>
      </c>
      <c r="M105" s="960">
        <f t="shared" si="57"/>
        <v>440.10700000000003</v>
      </c>
      <c r="N105" s="960">
        <f t="shared" si="57"/>
        <v>439.25099999999998</v>
      </c>
      <c r="O105" s="960">
        <f t="shared" si="57"/>
        <v>460.52100000000002</v>
      </c>
      <c r="P105" s="959">
        <f t="shared" si="57"/>
        <v>460.52100000000002</v>
      </c>
      <c r="Q105" s="960">
        <f t="shared" si="57"/>
        <v>440.88900000000001</v>
      </c>
      <c r="R105" s="960">
        <f t="shared" si="57"/>
        <v>436.14200000000005</v>
      </c>
      <c r="S105" s="960">
        <f t="shared" si="57"/>
        <v>433.39</v>
      </c>
      <c r="T105" s="960">
        <f t="shared" si="57"/>
        <v>530.79</v>
      </c>
      <c r="U105" s="959">
        <f t="shared" si="57"/>
        <v>530.79</v>
      </c>
      <c r="V105" s="960">
        <f t="shared" si="57"/>
        <v>505.07400000000001</v>
      </c>
      <c r="W105" s="960">
        <f t="shared" si="57"/>
        <v>478.88800000000003</v>
      </c>
      <c r="X105" s="960">
        <f t="shared" si="57"/>
        <v>463.01899999999995</v>
      </c>
      <c r="Y105" s="960">
        <f t="shared" si="57"/>
        <v>473.221</v>
      </c>
      <c r="Z105" s="959">
        <f t="shared" si="57"/>
        <v>473.221</v>
      </c>
      <c r="AA105" s="960">
        <f t="shared" si="57"/>
        <v>489.90899999999999</v>
      </c>
      <c r="AB105" s="960">
        <f t="shared" si="57"/>
        <v>514.05999999999995</v>
      </c>
      <c r="AC105" s="960">
        <f t="shared" si="57"/>
        <v>501.38299999999992</v>
      </c>
      <c r="AD105" s="960">
        <f t="shared" si="57"/>
        <v>515.755</v>
      </c>
      <c r="AE105" s="959">
        <f t="shared" si="57"/>
        <v>515.755</v>
      </c>
      <c r="AF105" s="960">
        <f t="shared" si="57"/>
        <v>535.13499999999999</v>
      </c>
      <c r="AG105" s="960">
        <f t="shared" si="57"/>
        <v>535.68499999999995</v>
      </c>
      <c r="AH105" s="960">
        <f t="shared" si="57"/>
        <v>530.74299999999994</v>
      </c>
      <c r="AI105" s="960">
        <f t="shared" si="57"/>
        <v>532.89499999999998</v>
      </c>
      <c r="AJ105" s="959">
        <f t="shared" si="57"/>
        <v>532.89499999999998</v>
      </c>
      <c r="AK105" s="960">
        <f t="shared" si="57"/>
        <v>567.32500000000005</v>
      </c>
      <c r="AL105" s="960">
        <f t="shared" si="57"/>
        <v>572.82799999999997</v>
      </c>
      <c r="AM105" s="961">
        <f t="shared" si="57"/>
        <v>622.89499999999998</v>
      </c>
      <c r="AN105" s="962">
        <f t="shared" ca="1" si="57"/>
        <v>629.23127390583068</v>
      </c>
      <c r="AO105" s="963">
        <f t="shared" ca="1" si="57"/>
        <v>629.23127390583068</v>
      </c>
      <c r="AP105" s="962">
        <f t="shared" ca="1" si="57"/>
        <v>637.30414466740115</v>
      </c>
      <c r="AQ105" s="962">
        <f t="shared" ca="1" si="57"/>
        <v>648.7652960283707</v>
      </c>
      <c r="AR105" s="962">
        <f t="shared" ca="1" si="57"/>
        <v>659.61002005788623</v>
      </c>
      <c r="AS105" s="962">
        <f t="shared" ca="1" si="57"/>
        <v>669.84438535579011</v>
      </c>
      <c r="AT105" s="963">
        <f t="shared" ca="1" si="57"/>
        <v>669.84438535579011</v>
      </c>
      <c r="AU105" s="963">
        <f t="shared" ca="1" si="57"/>
        <v>712.58022618538973</v>
      </c>
      <c r="AV105" s="963">
        <f t="shared" ca="1" si="57"/>
        <v>759.60550569736824</v>
      </c>
      <c r="AW105" s="963">
        <f t="shared" ca="1" si="57"/>
        <v>807.92873260254328</v>
      </c>
      <c r="AX105" s="806"/>
    </row>
    <row r="106" spans="1:50" hidden="1" outlineLevel="1" x14ac:dyDescent="0.45">
      <c r="A106" s="256" t="s">
        <v>304</v>
      </c>
      <c r="B106" s="257"/>
      <c r="C106" s="959"/>
      <c r="D106" s="959">
        <f>AVERAGE(D105,C105)</f>
        <v>344.43299999999999</v>
      </c>
      <c r="E106" s="959">
        <f>AVERAGE(E105,D105)</f>
        <v>409.51900000000001</v>
      </c>
      <c r="F106" s="959">
        <f>AVERAGE(F105,E105)</f>
        <v>441.70349999999996</v>
      </c>
      <c r="G106" s="960"/>
      <c r="H106" s="960"/>
      <c r="I106" s="960"/>
      <c r="J106" s="960">
        <f>AVERAGE(J105,I105,H105,G105)</f>
        <v>452.81999999999994</v>
      </c>
      <c r="K106" s="959">
        <f>AVERAGE(K105,F105)</f>
        <v>447.20299999999997</v>
      </c>
      <c r="L106" s="960">
        <f>AVERAGE(L105,J105,I105,H105)</f>
        <v>452.06000000000006</v>
      </c>
      <c r="M106" s="960">
        <f>AVERAGE(M105,L105,J105,I105)</f>
        <v>445.25400000000002</v>
      </c>
      <c r="N106" s="960">
        <f>AVERAGE(N105,M105,L105,J105)</f>
        <v>443.12249999999995</v>
      </c>
      <c r="O106" s="960">
        <f>AVERAGE(O105,N105,M105,L105)</f>
        <v>445.41499999999996</v>
      </c>
      <c r="P106" s="959">
        <f>AVERAGE(P105,K105)</f>
        <v>455.93600000000004</v>
      </c>
      <c r="Q106" s="960">
        <f>AVERAGE(Q105,O105,N105,M105)</f>
        <v>445.19200000000001</v>
      </c>
      <c r="R106" s="960">
        <f>AVERAGE(R105,Q105,O105,N105)</f>
        <v>444.20075000000003</v>
      </c>
      <c r="S106" s="960">
        <f>AVERAGE(S105,R105,Q105,O105)</f>
        <v>442.7355</v>
      </c>
      <c r="T106" s="960">
        <f>AVERAGE(T105,S105,R105,Q105)</f>
        <v>460.30275000000006</v>
      </c>
      <c r="U106" s="959">
        <f>AVERAGE(U105,P105)</f>
        <v>495.65549999999996</v>
      </c>
      <c r="V106" s="960">
        <f>AVERAGE(V105,T105,S105,R105)</f>
        <v>476.34899999999999</v>
      </c>
      <c r="W106" s="960">
        <f>AVERAGE(W105,V105,T105,S105)</f>
        <v>487.03549999999996</v>
      </c>
      <c r="X106" s="960">
        <f>AVERAGE(X105,W105,V105,T105)</f>
        <v>494.44274999999999</v>
      </c>
      <c r="Y106" s="960">
        <f>AVERAGE(Y105,X105,W105,V105)</f>
        <v>480.05050000000006</v>
      </c>
      <c r="Z106" s="959">
        <f>AVERAGE(Z105,U105)</f>
        <v>502.00549999999998</v>
      </c>
      <c r="AA106" s="960">
        <f>AVERAGE(AA105,Y105,X105,W105)</f>
        <v>476.25924999999995</v>
      </c>
      <c r="AB106" s="960">
        <f>AVERAGE(AB105,AA105,Y105,X105)</f>
        <v>485.05225000000002</v>
      </c>
      <c r="AC106" s="960">
        <f>AVERAGE(AC105,AB105,AA105,Y105)</f>
        <v>494.64324999999997</v>
      </c>
      <c r="AD106" s="960">
        <f>AVERAGE(AD105,AC105,AB105,AA105)</f>
        <v>505.27674999999999</v>
      </c>
      <c r="AE106" s="959">
        <f>AVERAGE(AE105,Z105)</f>
        <v>494.488</v>
      </c>
      <c r="AF106" s="960">
        <f>AVERAGE(AF105,AD105,AC105,AB105)</f>
        <v>516.58324999999991</v>
      </c>
      <c r="AG106" s="960">
        <f>AVERAGE(AG105,AF105,AD105,AC105)</f>
        <v>521.98949999999991</v>
      </c>
      <c r="AH106" s="960">
        <f>AVERAGE(AH105,AG105,AF105,AD105)</f>
        <v>529.32949999999994</v>
      </c>
      <c r="AI106" s="960">
        <f>AVERAGE(AI105,AH105,AG105,AF105)</f>
        <v>533.61449999999991</v>
      </c>
      <c r="AJ106" s="959">
        <f>AVERAGE(AJ105,AE105)</f>
        <v>524.32500000000005</v>
      </c>
      <c r="AK106" s="960">
        <f>AVERAGE(AK105,AI105,AH105,AG105)</f>
        <v>541.66200000000003</v>
      </c>
      <c r="AL106" s="960">
        <f>AVERAGE(AL105,AK105,AI105,AH105)</f>
        <v>550.94775000000004</v>
      </c>
      <c r="AM106" s="961">
        <f>AVERAGE(AM105,AL105,AK105,AI105)</f>
        <v>573.98575000000005</v>
      </c>
      <c r="AN106" s="962">
        <f ca="1">AVERAGE(AN105,AM105,AL105,AK105)</f>
        <v>598.06981847645761</v>
      </c>
      <c r="AO106" s="963">
        <f ca="1">AVERAGE(AO105,AJ105)</f>
        <v>581.06313695291533</v>
      </c>
      <c r="AP106" s="962">
        <f ca="1">AVERAGE(AP105,AN105,AM105,AL105)</f>
        <v>615.56460464330792</v>
      </c>
      <c r="AQ106" s="962">
        <f ca="1">AVERAGE(AQ105,AP105,AN105,AM105)</f>
        <v>634.54892865040063</v>
      </c>
      <c r="AR106" s="962">
        <f ca="1">AVERAGE(AR105,AQ105,AP105,AN105)</f>
        <v>643.72768366487219</v>
      </c>
      <c r="AS106" s="962">
        <f ca="1">AVERAGE(AS105,AR105,AQ105,AP105)</f>
        <v>653.88096152736205</v>
      </c>
      <c r="AT106" s="963">
        <f ca="1">AVERAGE(AT105,AO105)</f>
        <v>649.53782963081039</v>
      </c>
      <c r="AU106" s="963">
        <f ca="1">AVERAGE(AU105,AT105)</f>
        <v>691.21230577058986</v>
      </c>
      <c r="AV106" s="963">
        <f ca="1">AVERAGE(AV105,AU105)</f>
        <v>736.09286594137893</v>
      </c>
      <c r="AW106" s="963">
        <f ca="1">AVERAGE(AW105,AV105)</f>
        <v>783.76711914995576</v>
      </c>
      <c r="AX106" s="806"/>
    </row>
    <row r="107" spans="1:50" s="95" customFormat="1" collapsed="1" x14ac:dyDescent="0.45">
      <c r="A107" s="273" t="s">
        <v>366</v>
      </c>
      <c r="B107" s="274"/>
      <c r="C107" s="444"/>
      <c r="D107" s="444">
        <f>IF(D106&lt;0,"NMF",IF(ABS(D104/D106)&gt;1,"NMF",D104/D106))</f>
        <v>0.17836384355053006</v>
      </c>
      <c r="E107" s="444">
        <f>IF(E106&lt;0,"NMF",IF(ABS(E104/E106)&gt;1,"NMF",E104/E106))</f>
        <v>0.18435366367376321</v>
      </c>
      <c r="F107" s="444">
        <f>IF(F106&lt;0,"NMF",IF(ABS(F104/F106)&gt;1,"NMF",F104/F106))</f>
        <v>9.687570018999532E-2</v>
      </c>
      <c r="G107" s="434"/>
      <c r="H107" s="434"/>
      <c r="I107" s="434"/>
      <c r="J107" s="434">
        <f t="shared" ref="J107:K107" si="58">IF(J106&lt;0,"NMF",IF(ABS(J104/J106)&gt;1,"NMF",J104/J106))</f>
        <v>3.4192170992487468E-2</v>
      </c>
      <c r="K107" s="444">
        <f t="shared" si="58"/>
        <v>3.465231706171501E-2</v>
      </c>
      <c r="L107" s="434">
        <f t="shared" ref="L107:AW107" si="59">IF(L106&lt;0,"NMF",IF(ABS(L104/L106)&gt;1,"NMF",L104/L106))</f>
        <v>1.7002162402841258E-2</v>
      </c>
      <c r="M107" s="434">
        <f t="shared" si="59"/>
        <v>4.7994914943296618E-3</v>
      </c>
      <c r="N107" s="434">
        <f t="shared" si="59"/>
        <v>4.862469727346156E-2</v>
      </c>
      <c r="O107" s="434">
        <f t="shared" si="59"/>
        <v>6.185981351538257E-2</v>
      </c>
      <c r="P107" s="444">
        <f t="shared" si="59"/>
        <v>6.0333613188908397E-2</v>
      </c>
      <c r="Q107" s="434">
        <f t="shared" si="59"/>
        <v>6.4199367774262855E-2</v>
      </c>
      <c r="R107" s="434">
        <f t="shared" si="59"/>
        <v>7.2410094900879837E-2</v>
      </c>
      <c r="S107" s="434">
        <f t="shared" si="59"/>
        <v>7.3813574480302388E-2</v>
      </c>
      <c r="T107" s="434">
        <f t="shared" si="59"/>
        <v>1.3568605467688847E-2</v>
      </c>
      <c r="U107" s="444">
        <f t="shared" si="59"/>
        <v>1.2993074063774838E-2</v>
      </c>
      <c r="V107" s="434">
        <f t="shared" si="59"/>
        <v>2.4790541044502593E-4</v>
      </c>
      <c r="W107" s="434">
        <f t="shared" si="59"/>
        <v>-7.479408440761919E-3</v>
      </c>
      <c r="X107" s="434">
        <f t="shared" si="59"/>
        <v>1.9982841475621016E-4</v>
      </c>
      <c r="Y107" s="434">
        <f t="shared" si="59"/>
        <v>4.2714078645662706E-2</v>
      </c>
      <c r="Z107" s="444">
        <f t="shared" si="59"/>
        <v>4.1172060019365471E-2</v>
      </c>
      <c r="AA107" s="434">
        <f t="shared" si="59"/>
        <v>5.2079969246561227E-2</v>
      </c>
      <c r="AB107" s="434">
        <f t="shared" si="59"/>
        <v>5.9658612624255959E-2</v>
      </c>
      <c r="AC107" s="434">
        <f t="shared" si="59"/>
        <v>4.0117362706708175E-2</v>
      </c>
      <c r="AD107" s="434">
        <f t="shared" si="59"/>
        <v>8.7660235128769332E-3</v>
      </c>
      <c r="AE107" s="444">
        <f t="shared" si="59"/>
        <v>-3.4114418816442664E-2</v>
      </c>
      <c r="AF107" s="434">
        <f t="shared" si="59"/>
        <v>6.4884516904977086E-3</v>
      </c>
      <c r="AG107" s="434">
        <f t="shared" si="59"/>
        <v>1.613208610735117E-2</v>
      </c>
      <c r="AH107" s="434">
        <f t="shared" si="59"/>
        <v>2.2585146752613486E-2</v>
      </c>
      <c r="AI107" s="434">
        <f t="shared" si="59"/>
        <v>4.9989577968827976E-2</v>
      </c>
      <c r="AJ107" s="444">
        <f t="shared" si="59"/>
        <v>5.085919406297456E-2</v>
      </c>
      <c r="AK107" s="434">
        <f t="shared" si="59"/>
        <v>4.6590462995703449E-2</v>
      </c>
      <c r="AL107" s="434">
        <f t="shared" si="59"/>
        <v>3.2510131731518808E-2</v>
      </c>
      <c r="AM107" s="588">
        <f t="shared" si="59"/>
        <v>3.0452719785341722E-2</v>
      </c>
      <c r="AN107" s="171">
        <f t="shared" ca="1" si="59"/>
        <v>3.0827144913815139E-2</v>
      </c>
      <c r="AO107" s="170">
        <f t="shared" ca="1" si="59"/>
        <v>3.1473148096683376E-2</v>
      </c>
      <c r="AP107" s="171">
        <f t="shared" ca="1" si="59"/>
        <v>3.2238680201292537E-2</v>
      </c>
      <c r="AQ107" s="171">
        <f t="shared" ca="1" si="59"/>
        <v>3.1375957027855055E-2</v>
      </c>
      <c r="AR107" s="171">
        <f t="shared" ca="1" si="59"/>
        <v>3.3093266646724691E-2</v>
      </c>
      <c r="AS107" s="171">
        <f t="shared" ca="1" si="59"/>
        <v>3.299097408469101E-2</v>
      </c>
      <c r="AT107" s="170">
        <f t="shared" ca="1" si="59"/>
        <v>3.321156809062753E-2</v>
      </c>
      <c r="AU107" s="170">
        <f t="shared" ca="1" si="59"/>
        <v>3.6965917017869804E-2</v>
      </c>
      <c r="AV107" s="170">
        <f t="shared" ca="1" si="59"/>
        <v>3.7779851275910381E-2</v>
      </c>
      <c r="AW107" s="170">
        <f t="shared" ca="1" si="59"/>
        <v>3.9142419934945619E-2</v>
      </c>
      <c r="AX107" s="293"/>
    </row>
    <row r="108" spans="1:50" hidden="1" outlineLevel="1" x14ac:dyDescent="0.45">
      <c r="A108" s="256" t="s">
        <v>305</v>
      </c>
      <c r="B108" s="257"/>
      <c r="C108" s="959">
        <f t="shared" ref="C108:AW108" si="60">INDEX(MO_BSS_Debt,0,COLUMN())</f>
        <v>0</v>
      </c>
      <c r="D108" s="959">
        <f t="shared" si="60"/>
        <v>0</v>
      </c>
      <c r="E108" s="959">
        <f t="shared" si="60"/>
        <v>0</v>
      </c>
      <c r="F108" s="959">
        <f t="shared" si="60"/>
        <v>0</v>
      </c>
      <c r="G108" s="960">
        <f t="shared" si="60"/>
        <v>0</v>
      </c>
      <c r="H108" s="960">
        <f t="shared" si="60"/>
        <v>0</v>
      </c>
      <c r="I108" s="960">
        <f t="shared" si="60"/>
        <v>0</v>
      </c>
      <c r="J108" s="960">
        <f t="shared" si="60"/>
        <v>0</v>
      </c>
      <c r="K108" s="959">
        <f t="shared" si="60"/>
        <v>0</v>
      </c>
      <c r="L108" s="960">
        <f t="shared" si="60"/>
        <v>0</v>
      </c>
      <c r="M108" s="960">
        <f t="shared" si="60"/>
        <v>0</v>
      </c>
      <c r="N108" s="960">
        <f t="shared" si="60"/>
        <v>0</v>
      </c>
      <c r="O108" s="960">
        <f t="shared" si="60"/>
        <v>0</v>
      </c>
      <c r="P108" s="959">
        <f t="shared" si="60"/>
        <v>0</v>
      </c>
      <c r="Q108" s="960">
        <f t="shared" si="60"/>
        <v>0</v>
      </c>
      <c r="R108" s="960">
        <f t="shared" si="60"/>
        <v>0</v>
      </c>
      <c r="S108" s="960">
        <f t="shared" si="60"/>
        <v>0</v>
      </c>
      <c r="T108" s="960">
        <f t="shared" si="60"/>
        <v>105</v>
      </c>
      <c r="U108" s="959">
        <f t="shared" si="60"/>
        <v>105</v>
      </c>
      <c r="V108" s="960">
        <f t="shared" si="60"/>
        <v>88</v>
      </c>
      <c r="W108" s="960">
        <f t="shared" si="60"/>
        <v>48</v>
      </c>
      <c r="X108" s="960">
        <f t="shared" si="60"/>
        <v>25</v>
      </c>
      <c r="Y108" s="960">
        <f t="shared" si="60"/>
        <v>15</v>
      </c>
      <c r="Z108" s="959">
        <f t="shared" si="60"/>
        <v>15</v>
      </c>
      <c r="AA108" s="960">
        <f t="shared" si="60"/>
        <v>45</v>
      </c>
      <c r="AB108" s="960">
        <f t="shared" si="60"/>
        <v>55</v>
      </c>
      <c r="AC108" s="960">
        <f t="shared" si="60"/>
        <v>39</v>
      </c>
      <c r="AD108" s="960">
        <f t="shared" si="60"/>
        <v>37</v>
      </c>
      <c r="AE108" s="959">
        <f t="shared" si="60"/>
        <v>37</v>
      </c>
      <c r="AF108" s="960">
        <f t="shared" si="60"/>
        <v>44</v>
      </c>
      <c r="AG108" s="960">
        <f t="shared" si="60"/>
        <v>42</v>
      </c>
      <c r="AH108" s="960">
        <f t="shared" si="60"/>
        <v>27</v>
      </c>
      <c r="AI108" s="960">
        <f t="shared" si="60"/>
        <v>11</v>
      </c>
      <c r="AJ108" s="959">
        <f t="shared" si="60"/>
        <v>11</v>
      </c>
      <c r="AK108" s="960">
        <f t="shared" si="60"/>
        <v>6</v>
      </c>
      <c r="AL108" s="960">
        <f t="shared" si="60"/>
        <v>0</v>
      </c>
      <c r="AM108" s="961">
        <f t="shared" si="60"/>
        <v>37</v>
      </c>
      <c r="AN108" s="962">
        <f t="shared" si="60"/>
        <v>37</v>
      </c>
      <c r="AO108" s="963">
        <f t="shared" si="60"/>
        <v>37</v>
      </c>
      <c r="AP108" s="962">
        <f t="shared" si="60"/>
        <v>37</v>
      </c>
      <c r="AQ108" s="962">
        <f t="shared" si="60"/>
        <v>37</v>
      </c>
      <c r="AR108" s="962">
        <f t="shared" si="60"/>
        <v>37</v>
      </c>
      <c r="AS108" s="962">
        <f t="shared" si="60"/>
        <v>37</v>
      </c>
      <c r="AT108" s="963">
        <f t="shared" si="60"/>
        <v>37</v>
      </c>
      <c r="AU108" s="963">
        <f t="shared" si="60"/>
        <v>37</v>
      </c>
      <c r="AV108" s="963">
        <f t="shared" si="60"/>
        <v>37</v>
      </c>
      <c r="AW108" s="963">
        <f t="shared" si="60"/>
        <v>37</v>
      </c>
      <c r="AX108" s="806"/>
    </row>
    <row r="109" spans="1:50" hidden="1" outlineLevel="1" x14ac:dyDescent="0.45">
      <c r="A109" s="256" t="s">
        <v>306</v>
      </c>
      <c r="B109" s="257"/>
      <c r="C109" s="959">
        <f>C108</f>
        <v>0</v>
      </c>
      <c r="D109" s="959">
        <f>AVERAGE(D108,C108)</f>
        <v>0</v>
      </c>
      <c r="E109" s="959">
        <f>AVERAGE(E108,D108)</f>
        <v>0</v>
      </c>
      <c r="F109" s="959">
        <f>AVERAGE(F108,E108)</f>
        <v>0</v>
      </c>
      <c r="G109" s="960"/>
      <c r="H109" s="960"/>
      <c r="I109" s="960"/>
      <c r="J109" s="960">
        <f>AVERAGE(J108,I108,H108,G108)</f>
        <v>0</v>
      </c>
      <c r="K109" s="959">
        <f>AVERAGE(K108,F108)</f>
        <v>0</v>
      </c>
      <c r="L109" s="960">
        <f>AVERAGE(L108,J108,I108,H108)</f>
        <v>0</v>
      </c>
      <c r="M109" s="960">
        <f>AVERAGE(M108,L108,J108,I108)</f>
        <v>0</v>
      </c>
      <c r="N109" s="960">
        <f>AVERAGE(N108,M108,L108,J108)</f>
        <v>0</v>
      </c>
      <c r="O109" s="960">
        <f>AVERAGE(O108,N108,M108,L108)</f>
        <v>0</v>
      </c>
      <c r="P109" s="959">
        <f>AVERAGE(P108,K108)</f>
        <v>0</v>
      </c>
      <c r="Q109" s="960">
        <f>AVERAGE(Q108,O108,N108,M108)</f>
        <v>0</v>
      </c>
      <c r="R109" s="960">
        <f>AVERAGE(R108,Q108,O108,N108)</f>
        <v>0</v>
      </c>
      <c r="S109" s="960">
        <f>AVERAGE(S108,R108,Q108,O108)</f>
        <v>0</v>
      </c>
      <c r="T109" s="960">
        <f>AVERAGE(T108,S108,R108,Q108)</f>
        <v>26.25</v>
      </c>
      <c r="U109" s="959">
        <f>AVERAGE(U108,P108)</f>
        <v>52.5</v>
      </c>
      <c r="V109" s="960">
        <f>AVERAGE(V108,T108,S108,R108)</f>
        <v>48.25</v>
      </c>
      <c r="W109" s="960">
        <f>AVERAGE(W108,V108,T108,S108)</f>
        <v>60.25</v>
      </c>
      <c r="X109" s="960">
        <f>AVERAGE(X108,W108,V108,T108)</f>
        <v>66.5</v>
      </c>
      <c r="Y109" s="960">
        <f>AVERAGE(Y108,X108,W108,V108)</f>
        <v>44</v>
      </c>
      <c r="Z109" s="959">
        <f>AVERAGE(Z108,U108)</f>
        <v>60</v>
      </c>
      <c r="AA109" s="960">
        <f>AVERAGE(AA108,Y108,X108,W108)</f>
        <v>33.25</v>
      </c>
      <c r="AB109" s="960">
        <f>AVERAGE(AB108,AA108,Y108,X108)</f>
        <v>35</v>
      </c>
      <c r="AC109" s="960">
        <f>AVERAGE(AC108,AB108,AA108,Y108)</f>
        <v>38.5</v>
      </c>
      <c r="AD109" s="960">
        <f>AVERAGE(AD108,AC108,AB108,AA108)</f>
        <v>44</v>
      </c>
      <c r="AE109" s="959">
        <f>AVERAGE(AE108,Z108)</f>
        <v>26</v>
      </c>
      <c r="AF109" s="960">
        <f>AVERAGE(AF108,AD108,AC108,AB108)</f>
        <v>43.75</v>
      </c>
      <c r="AG109" s="960">
        <f>AVERAGE(AG108,AF108,AD108,AC108)</f>
        <v>40.5</v>
      </c>
      <c r="AH109" s="960">
        <f>AVERAGE(AH108,AG108,AF108,AD108)</f>
        <v>37.5</v>
      </c>
      <c r="AI109" s="960">
        <f>AVERAGE(AI108,AH108,AG108,AF108)</f>
        <v>31</v>
      </c>
      <c r="AJ109" s="959">
        <f>AVERAGE(AJ108,AE108)</f>
        <v>24</v>
      </c>
      <c r="AK109" s="960">
        <f>AVERAGE(AK108,AI108,AH108,AG108)</f>
        <v>21.5</v>
      </c>
      <c r="AL109" s="960">
        <f>AVERAGE(AL108,AK108,AI108,AH108)</f>
        <v>11</v>
      </c>
      <c r="AM109" s="961">
        <f>AVERAGE(AM108,AL108,AK108,AI108)</f>
        <v>13.5</v>
      </c>
      <c r="AN109" s="962">
        <f>AVERAGE(AN108,AM108,AL108,AK108)</f>
        <v>20</v>
      </c>
      <c r="AO109" s="963">
        <f>AVERAGE(AO108,AJ108)</f>
        <v>24</v>
      </c>
      <c r="AP109" s="962">
        <f>AVERAGE(AP108,AN108,AM108,AL108)</f>
        <v>27.75</v>
      </c>
      <c r="AQ109" s="962">
        <f>AVERAGE(AQ108,AP108,AN108,AM108)</f>
        <v>37</v>
      </c>
      <c r="AR109" s="962">
        <f>AVERAGE(AR108,AQ108,AP108,AN108)</f>
        <v>37</v>
      </c>
      <c r="AS109" s="962">
        <f>AVERAGE(AS108,AR108,AQ108,AP108)</f>
        <v>37</v>
      </c>
      <c r="AT109" s="963">
        <f>AVERAGE(AT108,AO108)</f>
        <v>37</v>
      </c>
      <c r="AU109" s="963">
        <f>AVERAGE(AU108,AT108)</f>
        <v>37</v>
      </c>
      <c r="AV109" s="963">
        <f>AVERAGE(AV108,AU108)</f>
        <v>37</v>
      </c>
      <c r="AW109" s="963">
        <f>AVERAGE(AW108,AV108)</f>
        <v>37</v>
      </c>
      <c r="AX109" s="806"/>
    </row>
    <row r="110" spans="1:50" hidden="1" outlineLevel="1" x14ac:dyDescent="0.45">
      <c r="A110" s="256" t="s">
        <v>307</v>
      </c>
      <c r="B110" s="257"/>
      <c r="C110" s="959">
        <f t="shared" ref="C110:AW110" si="61">SUM(INDEX(SP_BSR_Debt_Avg,0,COLUMN()),INDEX(SP_BSR_SE_Avg,0,COLUMN()))</f>
        <v>0</v>
      </c>
      <c r="D110" s="959">
        <f t="shared" si="61"/>
        <v>206.4795</v>
      </c>
      <c r="E110" s="959">
        <f t="shared" si="61"/>
        <v>259.92349999999999</v>
      </c>
      <c r="F110" s="959">
        <f t="shared" si="61"/>
        <v>301.113</v>
      </c>
      <c r="G110" s="960">
        <f t="shared" si="61"/>
        <v>0</v>
      </c>
      <c r="H110" s="960">
        <f t="shared" si="61"/>
        <v>0</v>
      </c>
      <c r="I110" s="960">
        <f t="shared" si="61"/>
        <v>0</v>
      </c>
      <c r="J110" s="960">
        <f t="shared" si="61"/>
        <v>306.3605</v>
      </c>
      <c r="K110" s="959">
        <f t="shared" si="61"/>
        <v>301.06950000000001</v>
      </c>
      <c r="L110" s="960">
        <f t="shared" si="61"/>
        <v>301.46950000000004</v>
      </c>
      <c r="M110" s="960">
        <f t="shared" si="61"/>
        <v>292.68875000000003</v>
      </c>
      <c r="N110" s="960">
        <f t="shared" si="61"/>
        <v>288.37800000000004</v>
      </c>
      <c r="O110" s="960">
        <f t="shared" si="61"/>
        <v>285.4905</v>
      </c>
      <c r="P110" s="959">
        <f t="shared" si="61"/>
        <v>289.31500000000005</v>
      </c>
      <c r="Q110" s="960">
        <f t="shared" si="61"/>
        <v>282.84400000000005</v>
      </c>
      <c r="R110" s="960">
        <f t="shared" si="61"/>
        <v>283.37299999999999</v>
      </c>
      <c r="S110" s="960">
        <f t="shared" si="61"/>
        <v>283.89350000000002</v>
      </c>
      <c r="T110" s="960">
        <f t="shared" si="61"/>
        <v>306.60275000000001</v>
      </c>
      <c r="U110" s="959">
        <f t="shared" si="61"/>
        <v>328.95850000000002</v>
      </c>
      <c r="V110" s="960">
        <f t="shared" si="61"/>
        <v>326.14575000000002</v>
      </c>
      <c r="W110" s="960">
        <f t="shared" si="61"/>
        <v>337.63925</v>
      </c>
      <c r="X110" s="960">
        <f t="shared" si="61"/>
        <v>347.18099999999998</v>
      </c>
      <c r="Y110" s="960">
        <f t="shared" si="61"/>
        <v>333.59749999999997</v>
      </c>
      <c r="Z110" s="959">
        <f t="shared" si="61"/>
        <v>347.21000000000004</v>
      </c>
      <c r="AA110" s="960">
        <f t="shared" si="61"/>
        <v>333.863</v>
      </c>
      <c r="AB110" s="960">
        <f t="shared" si="61"/>
        <v>345.62099999999998</v>
      </c>
      <c r="AC110" s="960">
        <f t="shared" si="61"/>
        <v>357.36850000000004</v>
      </c>
      <c r="AD110" s="960">
        <f t="shared" si="61"/>
        <v>367.46024999999997</v>
      </c>
      <c r="AE110" s="959">
        <f t="shared" si="61"/>
        <v>340.22649999999999</v>
      </c>
      <c r="AF110" s="960">
        <f t="shared" si="61"/>
        <v>372.88625000000002</v>
      </c>
      <c r="AG110" s="960">
        <f t="shared" si="61"/>
        <v>377.11900000000003</v>
      </c>
      <c r="AH110" s="960">
        <f t="shared" si="61"/>
        <v>382.77649999999994</v>
      </c>
      <c r="AI110" s="960">
        <f t="shared" si="61"/>
        <v>389.41050000000001</v>
      </c>
      <c r="AJ110" s="959">
        <f t="shared" si="61"/>
        <v>373.678</v>
      </c>
      <c r="AK110" s="960">
        <f t="shared" si="61"/>
        <v>390.89499999999998</v>
      </c>
      <c r="AL110" s="960">
        <f t="shared" si="61"/>
        <v>389.31849999999997</v>
      </c>
      <c r="AM110" s="961">
        <f t="shared" si="61"/>
        <v>400.41499999999996</v>
      </c>
      <c r="AN110" s="962">
        <f t="shared" ca="1" si="61"/>
        <v>415.15375719178007</v>
      </c>
      <c r="AO110" s="963">
        <f t="shared" ca="1" si="61"/>
        <v>416.42351438356013</v>
      </c>
      <c r="AP110" s="962">
        <f t="shared" ca="1" si="61"/>
        <v>431.71015507553818</v>
      </c>
      <c r="AQ110" s="962">
        <f t="shared" ca="1" si="61"/>
        <v>449.79374093756928</v>
      </c>
      <c r="AR110" s="962">
        <f t="shared" ca="1" si="61"/>
        <v>459.05717350168231</v>
      </c>
      <c r="AS110" s="962">
        <f t="shared" ca="1" si="61"/>
        <v>468.39658013717025</v>
      </c>
      <c r="AT110" s="963">
        <f t="shared" ca="1" si="61"/>
        <v>464.5798420380961</v>
      </c>
      <c r="AU110" s="963">
        <f t="shared" ca="1" si="61"/>
        <v>503.96752494534462</v>
      </c>
      <c r="AV110" s="963">
        <f t="shared" ca="1" si="61"/>
        <v>546.58171492780616</v>
      </c>
      <c r="AW110" s="963">
        <f t="shared" ca="1" si="61"/>
        <v>591.89469487134977</v>
      </c>
      <c r="AX110" s="806"/>
    </row>
    <row r="111" spans="1:50" s="95" customFormat="1" collapsed="1" x14ac:dyDescent="0.45">
      <c r="A111" s="273" t="s">
        <v>308</v>
      </c>
      <c r="B111" s="274"/>
      <c r="C111" s="444"/>
      <c r="D111" s="444">
        <f>IF(D110&lt;0,"NMF",IF(ABS(D104/D110)&gt;1,"NMF",D104/D110))</f>
        <v>0.29753265445547727</v>
      </c>
      <c r="E111" s="444">
        <f>IF(E110&lt;0,"NMF",IF(ABS(E104/E110)&gt;1,"NMF",E104/E110))</f>
        <v>0.29045595336326208</v>
      </c>
      <c r="F111" s="444">
        <f>IF(F110&lt;0,"NMF",IF(ABS(F104/F110)&gt;1,"NMF",F104/F110))</f>
        <v>0.14210723495455724</v>
      </c>
      <c r="G111" s="434"/>
      <c r="H111" s="434"/>
      <c r="I111" s="434"/>
      <c r="J111" s="434">
        <f t="shared" ref="J111:K111" si="62">IF(J110&lt;0,"NMF",IF(ABS(J104/J110)&gt;1,"NMF",J104/J110))</f>
        <v>5.0538169472951547E-2</v>
      </c>
      <c r="K111" s="444">
        <f t="shared" si="62"/>
        <v>5.1471903155085909E-2</v>
      </c>
      <c r="L111" s="434">
        <f t="shared" ref="L111:AW111" si="63">IF(L110&lt;0,"NMF",IF(ABS(L104/L110)&gt;1,"NMF",L104/L110))</f>
        <v>2.549510824752892E-2</v>
      </c>
      <c r="M111" s="434">
        <f t="shared" si="63"/>
        <v>7.3012467538170131E-3</v>
      </c>
      <c r="N111" s="434">
        <f t="shared" si="63"/>
        <v>7.4716855715621394E-2</v>
      </c>
      <c r="O111" s="434">
        <f t="shared" si="63"/>
        <v>9.6512104034824714E-2</v>
      </c>
      <c r="P111" s="444">
        <f t="shared" si="63"/>
        <v>9.5080677679685241E-2</v>
      </c>
      <c r="Q111" s="434">
        <f t="shared" si="63"/>
        <v>0.10104879346268482</v>
      </c>
      <c r="R111" s="434">
        <f t="shared" si="63"/>
        <v>0.11350629192810184</v>
      </c>
      <c r="S111" s="434">
        <f t="shared" si="63"/>
        <v>0.1151132019730072</v>
      </c>
      <c r="T111" s="434">
        <f t="shared" si="63"/>
        <v>2.0370549221891236E-2</v>
      </c>
      <c r="U111" s="444">
        <f t="shared" si="63"/>
        <v>1.9577206917034667E-2</v>
      </c>
      <c r="V111" s="434">
        <f t="shared" si="63"/>
        <v>3.6207583376474367E-4</v>
      </c>
      <c r="W111" s="434">
        <f t="shared" si="63"/>
        <v>-1.0788844690452017E-2</v>
      </c>
      <c r="X111" s="434">
        <f t="shared" si="63"/>
        <v>2.8458847379378806E-4</v>
      </c>
      <c r="Y111" s="434">
        <f t="shared" si="63"/>
        <v>6.1466032601832178E-2</v>
      </c>
      <c r="Z111" s="444">
        <f t="shared" si="63"/>
        <v>5.9527665032837671E-2</v>
      </c>
      <c r="AA111" s="434">
        <f t="shared" si="63"/>
        <v>7.4292650258909534E-2</v>
      </c>
      <c r="AB111" s="434">
        <f t="shared" si="63"/>
        <v>8.3726232738386155E-2</v>
      </c>
      <c r="AC111" s="434">
        <f t="shared" si="63"/>
        <v>5.5527509197578755E-2</v>
      </c>
      <c r="AD111" s="434">
        <f t="shared" si="63"/>
        <v>1.2053733352138198E-2</v>
      </c>
      <c r="AE111" s="444">
        <f t="shared" si="63"/>
        <v>-4.9582177554379513E-2</v>
      </c>
      <c r="AF111" s="434">
        <f t="shared" si="63"/>
        <v>8.9888684866907785E-3</v>
      </c>
      <c r="AG111" s="434">
        <f t="shared" si="63"/>
        <v>2.2329237087320399E-2</v>
      </c>
      <c r="AH111" s="434">
        <f t="shared" si="63"/>
        <v>3.1232284212817457E-2</v>
      </c>
      <c r="AI111" s="434">
        <f t="shared" si="63"/>
        <v>6.8501398018407697E-2</v>
      </c>
      <c r="AJ111" s="444">
        <f t="shared" si="63"/>
        <v>7.1362903160124863E-2</v>
      </c>
      <c r="AK111" s="434">
        <f t="shared" si="63"/>
        <v>6.4560261367320446E-2</v>
      </c>
      <c r="AL111" s="434">
        <f t="shared" si="63"/>
        <v>4.6007019778623141E-2</v>
      </c>
      <c r="AM111" s="588">
        <f t="shared" si="63"/>
        <v>4.3653277738169675E-2</v>
      </c>
      <c r="AN111" s="171">
        <f t="shared" ca="1" si="63"/>
        <v>4.4409534162630764E-2</v>
      </c>
      <c r="AO111" s="170">
        <f t="shared" ca="1" si="63"/>
        <v>4.3916554976282822E-2</v>
      </c>
      <c r="AP111" s="171">
        <f t="shared" ca="1" si="63"/>
        <v>4.5968319714087602E-2</v>
      </c>
      <c r="AQ111" s="171">
        <f t="shared" ca="1" si="63"/>
        <v>4.4263799393708891E-2</v>
      </c>
      <c r="AR111" s="171">
        <f t="shared" ca="1" si="63"/>
        <v>4.6406097351448947E-2</v>
      </c>
      <c r="AS111" s="171">
        <f t="shared" ca="1" si="63"/>
        <v>4.6055353029914557E-2</v>
      </c>
      <c r="AT111" s="170">
        <f t="shared" ca="1" si="63"/>
        <v>4.6433719038660178E-2</v>
      </c>
      <c r="AU111" s="170">
        <f t="shared" ca="1" si="63"/>
        <v>5.0700284189178893E-2</v>
      </c>
      <c r="AV111" s="170">
        <f t="shared" ca="1" si="63"/>
        <v>5.0878904729180476E-2</v>
      </c>
      <c r="AW111" s="170">
        <f t="shared" ca="1" si="63"/>
        <v>5.18310807222866E-2</v>
      </c>
      <c r="AX111" s="293"/>
    </row>
    <row r="112" spans="1:50" hidden="1" outlineLevel="1" x14ac:dyDescent="0.45">
      <c r="A112" s="256" t="s">
        <v>66</v>
      </c>
      <c r="B112" s="257"/>
      <c r="C112" s="959">
        <f t="shared" ref="C112:AW112" si="64">INDEX(MO_RIS_EBIT,0,COLUMN())</f>
        <v>75.724000000000018</v>
      </c>
      <c r="D112" s="959">
        <f t="shared" si="64"/>
        <v>94.092000000000013</v>
      </c>
      <c r="E112" s="959">
        <f t="shared" si="64"/>
        <v>116.199</v>
      </c>
      <c r="F112" s="959">
        <f t="shared" si="64"/>
        <v>69.099999999999937</v>
      </c>
      <c r="G112" s="960">
        <f t="shared" si="64"/>
        <v>19.552999999999987</v>
      </c>
      <c r="H112" s="960">
        <f t="shared" si="64"/>
        <v>15.946</v>
      </c>
      <c r="I112" s="960">
        <f t="shared" si="64"/>
        <v>-19.332000000000004</v>
      </c>
      <c r="J112" s="960">
        <f t="shared" si="64"/>
        <v>6.9210000000000056</v>
      </c>
      <c r="K112" s="959">
        <f t="shared" si="64"/>
        <v>23.088000000000015</v>
      </c>
      <c r="L112" s="960">
        <f t="shared" si="64"/>
        <v>7.7550000000000097</v>
      </c>
      <c r="M112" s="960">
        <f t="shared" si="64"/>
        <v>7.2589999999999915</v>
      </c>
      <c r="N112" s="960">
        <f t="shared" si="64"/>
        <v>8.2099999999999991</v>
      </c>
      <c r="O112" s="960">
        <f t="shared" si="64"/>
        <v>12.731999999999992</v>
      </c>
      <c r="P112" s="959">
        <f t="shared" si="64"/>
        <v>35.95599999999996</v>
      </c>
      <c r="Q112" s="960">
        <f t="shared" si="64"/>
        <v>9.0340000000000096</v>
      </c>
      <c r="R112" s="960">
        <f t="shared" si="64"/>
        <v>12.496999999999995</v>
      </c>
      <c r="S112" s="960">
        <f t="shared" si="64"/>
        <v>8.4360000000000142</v>
      </c>
      <c r="T112" s="960">
        <f t="shared" si="64"/>
        <v>-22.605999999999987</v>
      </c>
      <c r="U112" s="959">
        <f t="shared" si="64"/>
        <v>7.36099999999999</v>
      </c>
      <c r="V112" s="960">
        <f t="shared" si="64"/>
        <v>0.12799999999999123</v>
      </c>
      <c r="W112" s="960">
        <f t="shared" si="64"/>
        <v>6.7689999999999841</v>
      </c>
      <c r="X112" s="960">
        <f t="shared" si="64"/>
        <v>13.46099999999999</v>
      </c>
      <c r="Y112" s="960">
        <f t="shared" si="64"/>
        <v>6.6549999999999798</v>
      </c>
      <c r="Z112" s="959">
        <f t="shared" si="64"/>
        <v>27.013000000000069</v>
      </c>
      <c r="AA112" s="960">
        <f t="shared" si="64"/>
        <v>6.74</v>
      </c>
      <c r="AB112" s="960">
        <f t="shared" si="64"/>
        <v>11.336000000000002</v>
      </c>
      <c r="AC112" s="960">
        <f t="shared" si="64"/>
        <v>3.7870000000000044</v>
      </c>
      <c r="AD112" s="960">
        <f t="shared" si="64"/>
        <v>-19.041999999999987</v>
      </c>
      <c r="AE112" s="959">
        <f t="shared" si="64"/>
        <v>2.8209999999999482</v>
      </c>
      <c r="AF112" s="960">
        <f t="shared" si="64"/>
        <v>3.4170000000000194</v>
      </c>
      <c r="AG112" s="960">
        <f t="shared" si="64"/>
        <v>15.48200000000001</v>
      </c>
      <c r="AH112" s="960">
        <f t="shared" si="64"/>
        <v>6.1819999999999844</v>
      </c>
      <c r="AI112" s="960">
        <f t="shared" si="64"/>
        <v>6.5379999999999932</v>
      </c>
      <c r="AJ112" s="959">
        <f t="shared" si="64"/>
        <v>31.619000000000042</v>
      </c>
      <c r="AK112" s="960">
        <f t="shared" si="64"/>
        <v>1.3899999999999757</v>
      </c>
      <c r="AL112" s="960">
        <f t="shared" si="64"/>
        <v>6.7319999999999922</v>
      </c>
      <c r="AM112" s="961">
        <f t="shared" si="64"/>
        <v>3.2800000000000153</v>
      </c>
      <c r="AN112" s="962">
        <f t="shared" si="64"/>
        <v>6.5979669000000243</v>
      </c>
      <c r="AO112" s="963">
        <f t="shared" si="64"/>
        <v>17.999966899999976</v>
      </c>
      <c r="AP112" s="962">
        <f t="shared" si="64"/>
        <v>4.0734844200000211</v>
      </c>
      <c r="AQ112" s="962">
        <f t="shared" si="64"/>
        <v>8.1904847800000127</v>
      </c>
      <c r="AR112" s="962">
        <f t="shared" si="64"/>
        <v>8.1039523600000294</v>
      </c>
      <c r="AS112" s="962">
        <f t="shared" si="64"/>
        <v>6.9386225618000026</v>
      </c>
      <c r="AT112" s="963">
        <f t="shared" si="64"/>
        <v>27.306544121800101</v>
      </c>
      <c r="AU112" s="963">
        <f t="shared" si="64"/>
        <v>32.343413590944408</v>
      </c>
      <c r="AV112" s="963">
        <f t="shared" si="64"/>
        <v>35.201872152561947</v>
      </c>
      <c r="AW112" s="963">
        <f t="shared" si="64"/>
        <v>38.833597099962191</v>
      </c>
      <c r="AX112" s="806"/>
    </row>
    <row r="113" spans="1:50" hidden="1" outlineLevel="1" x14ac:dyDescent="0.45">
      <c r="A113" s="256" t="s">
        <v>309</v>
      </c>
      <c r="B113" s="257"/>
      <c r="C113" s="959">
        <f>C112</f>
        <v>75.724000000000018</v>
      </c>
      <c r="D113" s="959">
        <f>D112</f>
        <v>94.092000000000013</v>
      </c>
      <c r="E113" s="959">
        <f>E112</f>
        <v>116.199</v>
      </c>
      <c r="F113" s="959">
        <f>F112</f>
        <v>69.099999999999937</v>
      </c>
      <c r="G113" s="960"/>
      <c r="H113" s="960"/>
      <c r="I113" s="960"/>
      <c r="J113" s="960">
        <f>SUM(J112,I112,H112,G112)</f>
        <v>23.087999999999987</v>
      </c>
      <c r="K113" s="959">
        <f>K112</f>
        <v>23.088000000000015</v>
      </c>
      <c r="L113" s="960">
        <f>SUM(L112,J112,I112,H112)</f>
        <v>11.290000000000012</v>
      </c>
      <c r="M113" s="960">
        <f>SUM(M112,L112,J112,I112)</f>
        <v>2.6030000000000015</v>
      </c>
      <c r="N113" s="960">
        <f>SUM(N112,M112,L112,J112)</f>
        <v>30.145000000000007</v>
      </c>
      <c r="O113" s="960">
        <f>SUM(O112,N112,M112,L112)</f>
        <v>35.955999999999996</v>
      </c>
      <c r="P113" s="959">
        <f>P112</f>
        <v>35.95599999999996</v>
      </c>
      <c r="Q113" s="960">
        <f>SUM(Q112,O112,N112,M112)</f>
        <v>37.234999999999992</v>
      </c>
      <c r="R113" s="960">
        <f>SUM(R112,Q112,O112,N112)</f>
        <v>42.472999999999999</v>
      </c>
      <c r="S113" s="960">
        <f>SUM(S112,R112,Q112,O112)</f>
        <v>42.699000000000012</v>
      </c>
      <c r="T113" s="960">
        <f>SUM(T112,S112,R112,Q112)</f>
        <v>7.3610000000000309</v>
      </c>
      <c r="U113" s="959">
        <f>U112</f>
        <v>7.36099999999999</v>
      </c>
      <c r="V113" s="960">
        <f>SUM(V112,T112,S112,R112)</f>
        <v>-1.5449999999999857</v>
      </c>
      <c r="W113" s="960">
        <f>SUM(W112,V112,T112,S112)</f>
        <v>-7.2729999999999979</v>
      </c>
      <c r="X113" s="960">
        <f>SUM(X112,W112,V112,T112)</f>
        <v>-2.2480000000000189</v>
      </c>
      <c r="Y113" s="960">
        <f>SUM(Y112,X112,W112,V112)</f>
        <v>27.012999999999948</v>
      </c>
      <c r="Z113" s="959">
        <f>Z112</f>
        <v>27.013000000000069</v>
      </c>
      <c r="AA113" s="960">
        <f>SUM(AA112,Y112,X112,W112)</f>
        <v>33.624999999999957</v>
      </c>
      <c r="AB113" s="960">
        <f>SUM(AB112,AA112,Y112,X112)</f>
        <v>38.191999999999972</v>
      </c>
      <c r="AC113" s="960">
        <f>SUM(AC112,AB112,AA112,Y112)</f>
        <v>28.517999999999986</v>
      </c>
      <c r="AD113" s="960">
        <f>SUM(AD112,AC112,AB112,AA112)</f>
        <v>2.8210000000000193</v>
      </c>
      <c r="AE113" s="959">
        <f>AE112</f>
        <v>2.8209999999999482</v>
      </c>
      <c r="AF113" s="960">
        <f>SUM(AF112,AD112,AC112,AB112)</f>
        <v>-0.50199999999996159</v>
      </c>
      <c r="AG113" s="960">
        <f>SUM(AG112,AF112,AD112,AC112)</f>
        <v>3.6440000000000463</v>
      </c>
      <c r="AH113" s="960">
        <f>SUM(AH112,AG112,AF112,AD112)</f>
        <v>6.0390000000000263</v>
      </c>
      <c r="AI113" s="960">
        <f>SUM(AI112,AH112,AG112,AF112)</f>
        <v>31.619000000000007</v>
      </c>
      <c r="AJ113" s="959">
        <f>AJ112</f>
        <v>31.619000000000042</v>
      </c>
      <c r="AK113" s="960">
        <f>SUM(AK112,AI112,AH112,AG112)</f>
        <v>29.591999999999963</v>
      </c>
      <c r="AL113" s="960">
        <f>SUM(AL112,AK112,AI112,AH112)</f>
        <v>20.841999999999945</v>
      </c>
      <c r="AM113" s="961">
        <f>SUM(AM112,AL112,AK112,AI112)</f>
        <v>17.939999999999976</v>
      </c>
      <c r="AN113" s="962">
        <f>SUM(AN112,AM112,AL112,AK112)</f>
        <v>17.999966900000008</v>
      </c>
      <c r="AO113" s="963">
        <f>AO112</f>
        <v>17.999966899999976</v>
      </c>
      <c r="AP113" s="962">
        <f>SUM(AP112,AN112,AM112,AL112)</f>
        <v>20.683451320000053</v>
      </c>
      <c r="AQ113" s="962">
        <f>SUM(AQ112,AP112,AN112,AM112)</f>
        <v>22.141936100000073</v>
      </c>
      <c r="AR113" s="962">
        <f>SUM(AR112,AQ112,AP112,AN112)</f>
        <v>26.965888460000087</v>
      </c>
      <c r="AS113" s="962">
        <f>SUM(AS112,AR112,AQ112,AP112)</f>
        <v>27.306544121800066</v>
      </c>
      <c r="AT113" s="963">
        <f>AT112</f>
        <v>27.306544121800101</v>
      </c>
      <c r="AU113" s="963">
        <f>AU112</f>
        <v>32.343413590944408</v>
      </c>
      <c r="AV113" s="963">
        <f>AV112</f>
        <v>35.201872152561947</v>
      </c>
      <c r="AW113" s="963">
        <f>AW112</f>
        <v>38.833597099962191</v>
      </c>
      <c r="AX113" s="806"/>
    </row>
    <row r="114" spans="1:50" hidden="1" outlineLevel="1" x14ac:dyDescent="0.45">
      <c r="A114" s="256" t="s">
        <v>183</v>
      </c>
      <c r="B114" s="257"/>
      <c r="C114" s="959">
        <f t="shared" ref="C114:AW114" si="65">INDEX(MO_BS_CL,0,COLUMN())</f>
        <v>101.28599999999999</v>
      </c>
      <c r="D114" s="959">
        <f t="shared" si="65"/>
        <v>136.636</v>
      </c>
      <c r="E114" s="959">
        <f t="shared" si="65"/>
        <v>129.43200000000002</v>
      </c>
      <c r="F114" s="959">
        <f t="shared" si="65"/>
        <v>127.02899999999998</v>
      </c>
      <c r="G114" s="960">
        <f t="shared" si="65"/>
        <v>124.691</v>
      </c>
      <c r="H114" s="960">
        <f t="shared" si="65"/>
        <v>130.45699999999999</v>
      </c>
      <c r="I114" s="960">
        <f t="shared" si="65"/>
        <v>129.649</v>
      </c>
      <c r="J114" s="960">
        <f t="shared" si="65"/>
        <v>126.97300000000001</v>
      </c>
      <c r="K114" s="959">
        <f t="shared" si="65"/>
        <v>126.97300000000001</v>
      </c>
      <c r="L114" s="960">
        <f t="shared" si="65"/>
        <v>124.74199999999999</v>
      </c>
      <c r="M114" s="960">
        <f t="shared" si="65"/>
        <v>136.65100000000001</v>
      </c>
      <c r="N114" s="960">
        <f t="shared" si="65"/>
        <v>138.90900000000002</v>
      </c>
      <c r="O114" s="960">
        <f t="shared" si="65"/>
        <v>155.084</v>
      </c>
      <c r="P114" s="959">
        <f t="shared" si="65"/>
        <v>155.084</v>
      </c>
      <c r="Q114" s="960">
        <f t="shared" si="65"/>
        <v>139.018</v>
      </c>
      <c r="R114" s="960">
        <f t="shared" si="65"/>
        <v>133.345</v>
      </c>
      <c r="S114" s="960">
        <f t="shared" si="65"/>
        <v>131.095</v>
      </c>
      <c r="T114" s="960">
        <f t="shared" si="65"/>
        <v>138.06</v>
      </c>
      <c r="U114" s="959">
        <f t="shared" si="65"/>
        <v>138.06</v>
      </c>
      <c r="V114" s="960">
        <f t="shared" si="65"/>
        <v>125.49</v>
      </c>
      <c r="W114" s="960">
        <f t="shared" si="65"/>
        <v>123.84400000000002</v>
      </c>
      <c r="X114" s="960">
        <f t="shared" si="65"/>
        <v>117.952</v>
      </c>
      <c r="Y114" s="960">
        <f t="shared" si="65"/>
        <v>128.69400000000002</v>
      </c>
      <c r="Z114" s="959">
        <f t="shared" si="65"/>
        <v>128.69400000000002</v>
      </c>
      <c r="AA114" s="960">
        <f t="shared" si="65"/>
        <v>105.749</v>
      </c>
      <c r="AB114" s="960">
        <f t="shared" si="65"/>
        <v>108.613</v>
      </c>
      <c r="AC114" s="960">
        <f t="shared" si="65"/>
        <v>107.96299999999999</v>
      </c>
      <c r="AD114" s="960">
        <f t="shared" si="65"/>
        <v>134.59199999999998</v>
      </c>
      <c r="AE114" s="959">
        <f t="shared" si="65"/>
        <v>134.59199999999998</v>
      </c>
      <c r="AF114" s="960">
        <f t="shared" si="65"/>
        <v>135.07400000000001</v>
      </c>
      <c r="AG114" s="960">
        <f t="shared" si="65"/>
        <v>119.04600000000002</v>
      </c>
      <c r="AH114" s="960">
        <f t="shared" si="65"/>
        <v>119.89599999999999</v>
      </c>
      <c r="AI114" s="960">
        <f t="shared" si="65"/>
        <v>128.232</v>
      </c>
      <c r="AJ114" s="959">
        <f t="shared" si="65"/>
        <v>128.232</v>
      </c>
      <c r="AK114" s="960">
        <f t="shared" si="65"/>
        <v>128.25</v>
      </c>
      <c r="AL114" s="960">
        <f t="shared" si="65"/>
        <v>132.255</v>
      </c>
      <c r="AM114" s="961">
        <f t="shared" si="65"/>
        <v>136.87900000000002</v>
      </c>
      <c r="AN114" s="962">
        <f t="shared" si="65"/>
        <v>134.07024513871036</v>
      </c>
      <c r="AO114" s="963">
        <f t="shared" si="65"/>
        <v>134.07024513871036</v>
      </c>
      <c r="AP114" s="962">
        <f t="shared" si="65"/>
        <v>134.98855313236885</v>
      </c>
      <c r="AQ114" s="962">
        <f t="shared" si="65"/>
        <v>136.0429525802459</v>
      </c>
      <c r="AR114" s="962">
        <f t="shared" si="65"/>
        <v>136.54028980143443</v>
      </c>
      <c r="AS114" s="962">
        <f t="shared" si="65"/>
        <v>137.32573004671809</v>
      </c>
      <c r="AT114" s="963">
        <f t="shared" si="65"/>
        <v>137.32573004671809</v>
      </c>
      <c r="AU114" s="963">
        <f t="shared" si="65"/>
        <v>138.64383160377258</v>
      </c>
      <c r="AV114" s="963">
        <f t="shared" si="65"/>
        <v>141.85847042337303</v>
      </c>
      <c r="AW114" s="963">
        <f t="shared" si="65"/>
        <v>143.36637813383882</v>
      </c>
      <c r="AX114" s="806"/>
    </row>
    <row r="115" spans="1:50" hidden="1" outlineLevel="1" x14ac:dyDescent="0.45">
      <c r="A115" s="256" t="s">
        <v>310</v>
      </c>
      <c r="B115" s="257"/>
      <c r="C115" s="959"/>
      <c r="D115" s="959">
        <f>AVERAGE(D114,C114)</f>
        <v>118.96099999999998</v>
      </c>
      <c r="E115" s="959">
        <f>AVERAGE(E114,D114)</f>
        <v>133.03399999999999</v>
      </c>
      <c r="F115" s="959">
        <f>AVERAGE(F114,E114)</f>
        <v>128.23050000000001</v>
      </c>
      <c r="G115" s="960"/>
      <c r="H115" s="960"/>
      <c r="I115" s="960"/>
      <c r="J115" s="960">
        <f>AVERAGE(J114,I114,H114,G114)</f>
        <v>127.9425</v>
      </c>
      <c r="K115" s="959">
        <f>AVERAGE(K114,F114)</f>
        <v>127.001</v>
      </c>
      <c r="L115" s="960">
        <f>AVERAGE(L114,J114,I114,H114)</f>
        <v>127.95525000000001</v>
      </c>
      <c r="M115" s="960">
        <f>AVERAGE(M114,L114,J114,I114)</f>
        <v>129.50375000000003</v>
      </c>
      <c r="N115" s="960">
        <f>AVERAGE(N114,M114,L114,J114)</f>
        <v>131.81875000000002</v>
      </c>
      <c r="O115" s="960">
        <f>AVERAGE(O114,N114,M114,L114)</f>
        <v>138.84650000000002</v>
      </c>
      <c r="P115" s="959">
        <f>AVERAGE(P114,K114)</f>
        <v>141.02850000000001</v>
      </c>
      <c r="Q115" s="960">
        <f>AVERAGE(Q114,O114,N114,M114)</f>
        <v>142.41550000000001</v>
      </c>
      <c r="R115" s="960">
        <f>AVERAGE(R114,Q114,O114,N114)</f>
        <v>141.589</v>
      </c>
      <c r="S115" s="960">
        <f>AVERAGE(S114,R114,Q114,O114)</f>
        <v>139.63549999999998</v>
      </c>
      <c r="T115" s="960">
        <f>AVERAGE(T114,S114,R114,Q114)</f>
        <v>135.37950000000001</v>
      </c>
      <c r="U115" s="959">
        <f>AVERAGE(U114,P114)</f>
        <v>146.572</v>
      </c>
      <c r="V115" s="960">
        <f>AVERAGE(V114,T114,S114,R114)</f>
        <v>131.9975</v>
      </c>
      <c r="W115" s="960">
        <f>AVERAGE(W114,V114,T114,S114)</f>
        <v>129.62225000000001</v>
      </c>
      <c r="X115" s="960">
        <f>AVERAGE(X114,W114,V114,T114)</f>
        <v>126.3365</v>
      </c>
      <c r="Y115" s="960">
        <f>AVERAGE(Y114,X114,W114,V114)</f>
        <v>123.995</v>
      </c>
      <c r="Z115" s="959">
        <f>AVERAGE(Z114,U114)</f>
        <v>133.37700000000001</v>
      </c>
      <c r="AA115" s="960">
        <f>AVERAGE(AA114,Y114,X114,W114)</f>
        <v>119.05975000000001</v>
      </c>
      <c r="AB115" s="960">
        <f>AVERAGE(AB114,AA114,Y114,X114)</f>
        <v>115.25200000000001</v>
      </c>
      <c r="AC115" s="960">
        <f>AVERAGE(AC114,AB114,AA114,Y114)</f>
        <v>112.75475</v>
      </c>
      <c r="AD115" s="960">
        <f>AVERAGE(AD114,AC114,AB114,AA114)</f>
        <v>114.22925000000001</v>
      </c>
      <c r="AE115" s="959">
        <f>AVERAGE(AE114,Z114)</f>
        <v>131.643</v>
      </c>
      <c r="AF115" s="960">
        <f>AVERAGE(AF114,AD114,AC114,AB114)</f>
        <v>121.5605</v>
      </c>
      <c r="AG115" s="960">
        <f>AVERAGE(AG114,AF114,AD114,AC114)</f>
        <v>124.16874999999999</v>
      </c>
      <c r="AH115" s="960">
        <f>AVERAGE(AH114,AG114,AF114,AD114)</f>
        <v>127.152</v>
      </c>
      <c r="AI115" s="960">
        <f>AVERAGE(AI114,AH114,AG114,AF114)</f>
        <v>125.562</v>
      </c>
      <c r="AJ115" s="959">
        <f>AVERAGE(AJ114,AE114)</f>
        <v>131.41199999999998</v>
      </c>
      <c r="AK115" s="960">
        <f>AVERAGE(AK114,AI114,AH114,AG114)</f>
        <v>123.85599999999999</v>
      </c>
      <c r="AL115" s="960">
        <f>AVERAGE(AL114,AK114,AI114,AH114)</f>
        <v>127.15824999999998</v>
      </c>
      <c r="AM115" s="961">
        <f>AVERAGE(AM114,AL114,AK114,AI114)</f>
        <v>131.404</v>
      </c>
      <c r="AN115" s="962">
        <f>AVERAGE(AN114,AM114,AL114,AK114)</f>
        <v>132.86356128467759</v>
      </c>
      <c r="AO115" s="963">
        <f>AVERAGE(AO114,AJ114)</f>
        <v>131.15112256935518</v>
      </c>
      <c r="AP115" s="962">
        <f>AVERAGE(AP114,AN114,AM114,AL114)</f>
        <v>134.54819956776981</v>
      </c>
      <c r="AQ115" s="962">
        <f>AVERAGE(AQ114,AP114,AN114,AM114)</f>
        <v>135.49518771283127</v>
      </c>
      <c r="AR115" s="962">
        <f>AVERAGE(AR114,AQ114,AP114,AN114)</f>
        <v>135.41051016318988</v>
      </c>
      <c r="AS115" s="962">
        <f>AVERAGE(AS114,AR114,AQ114,AP114)</f>
        <v>136.22438139019181</v>
      </c>
      <c r="AT115" s="963">
        <f>AVERAGE(AT114,AO114)</f>
        <v>135.69798759271424</v>
      </c>
      <c r="AU115" s="963">
        <f>AVERAGE(AU114,AT114)</f>
        <v>137.98478082524534</v>
      </c>
      <c r="AV115" s="963">
        <f>AVERAGE(AV114,AU114)</f>
        <v>140.25115101357281</v>
      </c>
      <c r="AW115" s="963">
        <f>AVERAGE(AW114,AV114)</f>
        <v>142.61242427860594</v>
      </c>
      <c r="AX115" s="806"/>
    </row>
    <row r="116" spans="1:50" hidden="1" outlineLevel="1" x14ac:dyDescent="0.45">
      <c r="A116" s="256" t="s">
        <v>311</v>
      </c>
      <c r="B116" s="257"/>
      <c r="C116" s="959">
        <f t="shared" ref="C116:AW116" si="66">INDEX(SP_BSR_TA_Avg,0,COLUMN())-INDEX(SP_BSR_CL_Avg,0,COLUMN())</f>
        <v>0</v>
      </c>
      <c r="D116" s="959">
        <f t="shared" si="66"/>
        <v>225.47200000000001</v>
      </c>
      <c r="E116" s="959">
        <f t="shared" si="66"/>
        <v>276.48500000000001</v>
      </c>
      <c r="F116" s="959">
        <f t="shared" si="66"/>
        <v>313.47299999999996</v>
      </c>
      <c r="G116" s="960">
        <f t="shared" si="66"/>
        <v>0</v>
      </c>
      <c r="H116" s="960">
        <f t="shared" si="66"/>
        <v>0</v>
      </c>
      <c r="I116" s="960">
        <f t="shared" si="66"/>
        <v>0</v>
      </c>
      <c r="J116" s="960">
        <f t="shared" si="66"/>
        <v>324.87749999999994</v>
      </c>
      <c r="K116" s="959">
        <f t="shared" si="66"/>
        <v>320.202</v>
      </c>
      <c r="L116" s="960">
        <f t="shared" si="66"/>
        <v>324.10475000000008</v>
      </c>
      <c r="M116" s="960">
        <f t="shared" si="66"/>
        <v>315.75024999999999</v>
      </c>
      <c r="N116" s="960">
        <f t="shared" si="66"/>
        <v>311.30374999999992</v>
      </c>
      <c r="O116" s="960">
        <f t="shared" si="66"/>
        <v>306.56849999999997</v>
      </c>
      <c r="P116" s="959">
        <f t="shared" si="66"/>
        <v>314.90750000000003</v>
      </c>
      <c r="Q116" s="960">
        <f t="shared" si="66"/>
        <v>302.7765</v>
      </c>
      <c r="R116" s="960">
        <f t="shared" si="66"/>
        <v>302.61175000000003</v>
      </c>
      <c r="S116" s="960">
        <f t="shared" si="66"/>
        <v>303.10000000000002</v>
      </c>
      <c r="T116" s="960">
        <f t="shared" si="66"/>
        <v>324.92325000000005</v>
      </c>
      <c r="U116" s="959">
        <f t="shared" si="66"/>
        <v>349.08349999999996</v>
      </c>
      <c r="V116" s="960">
        <f t="shared" si="66"/>
        <v>344.35149999999999</v>
      </c>
      <c r="W116" s="960">
        <f t="shared" si="66"/>
        <v>357.41324999999995</v>
      </c>
      <c r="X116" s="960">
        <f t="shared" si="66"/>
        <v>368.10624999999999</v>
      </c>
      <c r="Y116" s="960">
        <f t="shared" si="66"/>
        <v>356.05550000000005</v>
      </c>
      <c r="Z116" s="959">
        <f t="shared" si="66"/>
        <v>368.62849999999997</v>
      </c>
      <c r="AA116" s="960">
        <f t="shared" si="66"/>
        <v>357.19949999999994</v>
      </c>
      <c r="AB116" s="960">
        <f t="shared" si="66"/>
        <v>369.80025000000001</v>
      </c>
      <c r="AC116" s="960">
        <f t="shared" si="66"/>
        <v>381.88849999999996</v>
      </c>
      <c r="AD116" s="960">
        <f t="shared" si="66"/>
        <v>391.04750000000001</v>
      </c>
      <c r="AE116" s="959">
        <f t="shared" si="66"/>
        <v>362.84500000000003</v>
      </c>
      <c r="AF116" s="960">
        <f t="shared" si="66"/>
        <v>395.02274999999992</v>
      </c>
      <c r="AG116" s="960">
        <f t="shared" si="66"/>
        <v>397.82074999999992</v>
      </c>
      <c r="AH116" s="960">
        <f t="shared" si="66"/>
        <v>402.17749999999995</v>
      </c>
      <c r="AI116" s="960">
        <f t="shared" si="66"/>
        <v>408.0524999999999</v>
      </c>
      <c r="AJ116" s="959">
        <f t="shared" si="66"/>
        <v>392.91300000000007</v>
      </c>
      <c r="AK116" s="960">
        <f t="shared" si="66"/>
        <v>417.80600000000004</v>
      </c>
      <c r="AL116" s="960">
        <f t="shared" si="66"/>
        <v>423.78950000000009</v>
      </c>
      <c r="AM116" s="961">
        <f t="shared" si="66"/>
        <v>442.58175000000006</v>
      </c>
      <c r="AN116" s="962">
        <f t="shared" ca="1" si="66"/>
        <v>465.20625719178003</v>
      </c>
      <c r="AO116" s="963">
        <f t="shared" ca="1" si="66"/>
        <v>449.91201438356018</v>
      </c>
      <c r="AP116" s="962">
        <f t="shared" ca="1" si="66"/>
        <v>481.0164050755381</v>
      </c>
      <c r="AQ116" s="962">
        <f t="shared" ca="1" si="66"/>
        <v>499.05374093756939</v>
      </c>
      <c r="AR116" s="962">
        <f t="shared" ca="1" si="66"/>
        <v>508.3171735016823</v>
      </c>
      <c r="AS116" s="962">
        <f t="shared" ca="1" si="66"/>
        <v>517.65658013717029</v>
      </c>
      <c r="AT116" s="963">
        <f t="shared" ca="1" si="66"/>
        <v>513.83984203809609</v>
      </c>
      <c r="AU116" s="963">
        <f t="shared" ca="1" si="66"/>
        <v>553.2275249453445</v>
      </c>
      <c r="AV116" s="963">
        <f t="shared" ca="1" si="66"/>
        <v>595.84171492780615</v>
      </c>
      <c r="AW116" s="963">
        <f t="shared" ca="1" si="66"/>
        <v>641.15469487134988</v>
      </c>
      <c r="AX116" s="806"/>
    </row>
    <row r="117" spans="1:50" s="95" customFormat="1" collapsed="1" x14ac:dyDescent="0.45">
      <c r="A117" s="273" t="s">
        <v>312</v>
      </c>
      <c r="B117" s="274"/>
      <c r="C117" s="444"/>
      <c r="D117" s="444">
        <f>IF(D116&lt;0,"NMF",IF(ABS(D113/D116)&gt;1,"NMF",D113/D116))</f>
        <v>0.41731124042009654</v>
      </c>
      <c r="E117" s="444">
        <f>IF(E116&lt;0,"NMF",IF(ABS(E113/E116)&gt;1,"NMF",E113/E116))</f>
        <v>0.42027234750528958</v>
      </c>
      <c r="F117" s="444">
        <f>IF(F116&lt;0,"NMF",IF(ABS(F113/F116)&gt;1,"NMF",F113/F116))</f>
        <v>0.22043365776318838</v>
      </c>
      <c r="G117" s="434"/>
      <c r="H117" s="434"/>
      <c r="I117" s="434"/>
      <c r="J117" s="434">
        <f t="shared" ref="J117:K117" si="67">IF(J116&lt;0,"NMF",IF(ABS(J113/J116)&gt;1,"NMF",J113/J116))</f>
        <v>7.1066786711914465E-2</v>
      </c>
      <c r="K117" s="444">
        <f t="shared" si="67"/>
        <v>7.2104484044446984E-2</v>
      </c>
      <c r="L117" s="434">
        <f t="shared" ref="L117:AW117" si="68">IF(L116&lt;0,"NMF",IF(ABS(L113/L116)&gt;1,"NMF",L113/L116))</f>
        <v>3.483441695933185E-2</v>
      </c>
      <c r="M117" s="434">
        <f t="shared" si="68"/>
        <v>8.243857289107457E-3</v>
      </c>
      <c r="N117" s="434">
        <f t="shared" si="68"/>
        <v>9.6834683167163954E-2</v>
      </c>
      <c r="O117" s="434">
        <f t="shared" si="68"/>
        <v>0.11728537015381554</v>
      </c>
      <c r="P117" s="444">
        <f t="shared" si="68"/>
        <v>0.11417956066463948</v>
      </c>
      <c r="Q117" s="434">
        <f t="shared" si="68"/>
        <v>0.1229785006432137</v>
      </c>
      <c r="R117" s="434">
        <f t="shared" si="68"/>
        <v>0.14035476150546036</v>
      </c>
      <c r="S117" s="434">
        <f t="shared" si="68"/>
        <v>0.14087429891125045</v>
      </c>
      <c r="T117" s="434">
        <f t="shared" si="68"/>
        <v>2.2654580735604578E-2</v>
      </c>
      <c r="U117" s="444">
        <f t="shared" si="68"/>
        <v>2.1086645458751246E-2</v>
      </c>
      <c r="V117" s="434">
        <f t="shared" si="68"/>
        <v>-4.4866945548370949E-3</v>
      </c>
      <c r="W117" s="434">
        <f t="shared" si="68"/>
        <v>-2.0348993776811573E-2</v>
      </c>
      <c r="X117" s="434">
        <f t="shared" si="68"/>
        <v>-6.1069324413807668E-3</v>
      </c>
      <c r="Y117" s="434">
        <f t="shared" si="68"/>
        <v>7.5867385842937257E-2</v>
      </c>
      <c r="Z117" s="444">
        <f t="shared" si="68"/>
        <v>7.3279738273085426E-2</v>
      </c>
      <c r="AA117" s="434">
        <f t="shared" si="68"/>
        <v>9.4135070177869679E-2</v>
      </c>
      <c r="AB117" s="434">
        <f t="shared" si="68"/>
        <v>0.10327737744904167</v>
      </c>
      <c r="AC117" s="434">
        <f t="shared" si="68"/>
        <v>7.4676247124487879E-2</v>
      </c>
      <c r="AD117" s="434">
        <f t="shared" si="68"/>
        <v>7.2139573836938458E-3</v>
      </c>
      <c r="AE117" s="444">
        <f t="shared" si="68"/>
        <v>7.7746696247707643E-3</v>
      </c>
      <c r="AF117" s="434">
        <f t="shared" si="68"/>
        <v>-1.2708128835616725E-3</v>
      </c>
      <c r="AG117" s="434">
        <f t="shared" si="68"/>
        <v>9.1599043036343555E-3</v>
      </c>
      <c r="AH117" s="434">
        <f t="shared" si="68"/>
        <v>1.5015757967564141E-2</v>
      </c>
      <c r="AI117" s="434">
        <f t="shared" si="68"/>
        <v>7.7487578191531764E-2</v>
      </c>
      <c r="AJ117" s="444">
        <f t="shared" si="68"/>
        <v>8.0473285434689193E-2</v>
      </c>
      <c r="AK117" s="434">
        <f t="shared" si="68"/>
        <v>7.0827130294921478E-2</v>
      </c>
      <c r="AL117" s="434">
        <f t="shared" si="68"/>
        <v>4.9180076429453636E-2</v>
      </c>
      <c r="AM117" s="588">
        <f t="shared" si="68"/>
        <v>4.0534884233251765E-2</v>
      </c>
      <c r="AN117" s="171">
        <f t="shared" ca="1" si="68"/>
        <v>3.869244366715293E-2</v>
      </c>
      <c r="AO117" s="170">
        <f t="shared" ca="1" si="68"/>
        <v>4.000774890322132E-2</v>
      </c>
      <c r="AP117" s="171">
        <f t="shared" ca="1" si="68"/>
        <v>4.299947174723065E-2</v>
      </c>
      <c r="AQ117" s="171">
        <f t="shared" ca="1" si="68"/>
        <v>4.4367839139733016E-2</v>
      </c>
      <c r="AR117" s="171">
        <f t="shared" ca="1" si="68"/>
        <v>5.3049335859023147E-2</v>
      </c>
      <c r="AS117" s="171">
        <f t="shared" ca="1" si="68"/>
        <v>5.2750308157126662E-2</v>
      </c>
      <c r="AT117" s="170">
        <f t="shared" ca="1" si="68"/>
        <v>5.3142130850522086E-2</v>
      </c>
      <c r="AU117" s="170">
        <f t="shared" ca="1" si="68"/>
        <v>5.8463131591544981E-2</v>
      </c>
      <c r="AV117" s="170">
        <f t="shared" ca="1" si="68"/>
        <v>5.9079234082875694E-2</v>
      </c>
      <c r="AW117" s="170">
        <f t="shared" ca="1" si="68"/>
        <v>6.0568217640134883E-2</v>
      </c>
      <c r="AX117" s="293"/>
    </row>
    <row r="118" spans="1:50" x14ac:dyDescent="0.45">
      <c r="A118" s="255"/>
      <c r="B118" s="260"/>
      <c r="C118" s="964"/>
      <c r="D118" s="964"/>
      <c r="E118" s="964"/>
      <c r="F118" s="964"/>
      <c r="G118" s="965"/>
      <c r="H118" s="965"/>
      <c r="I118" s="965"/>
      <c r="J118" s="965"/>
      <c r="K118" s="964"/>
      <c r="L118" s="965"/>
      <c r="M118" s="965"/>
      <c r="N118" s="965"/>
      <c r="O118" s="965"/>
      <c r="P118" s="964"/>
      <c r="Q118" s="965"/>
      <c r="R118" s="965"/>
      <c r="S118" s="965"/>
      <c r="T118" s="965"/>
      <c r="U118" s="964"/>
      <c r="V118" s="965"/>
      <c r="W118" s="965"/>
      <c r="X118" s="965"/>
      <c r="Y118" s="965"/>
      <c r="Z118" s="964"/>
      <c r="AA118" s="965"/>
      <c r="AB118" s="965"/>
      <c r="AC118" s="965"/>
      <c r="AD118" s="965"/>
      <c r="AE118" s="964"/>
      <c r="AF118" s="965"/>
      <c r="AG118" s="965"/>
      <c r="AH118" s="965"/>
      <c r="AI118" s="965"/>
      <c r="AJ118" s="964"/>
      <c r="AK118" s="965"/>
      <c r="AL118" s="965"/>
      <c r="AM118" s="966"/>
      <c r="AN118" s="967"/>
      <c r="AO118" s="968"/>
      <c r="AP118" s="967"/>
      <c r="AQ118" s="967"/>
      <c r="AR118" s="967"/>
      <c r="AS118" s="967"/>
      <c r="AT118" s="968"/>
      <c r="AU118" s="968"/>
      <c r="AV118" s="968"/>
      <c r="AW118" s="968"/>
      <c r="AX118" s="807"/>
    </row>
    <row r="119" spans="1:50" x14ac:dyDescent="0.45">
      <c r="A119" s="155" t="s">
        <v>313</v>
      </c>
      <c r="B119" s="808"/>
      <c r="C119" s="969"/>
      <c r="D119" s="969"/>
      <c r="E119" s="969"/>
      <c r="F119" s="969"/>
      <c r="G119" s="969"/>
      <c r="H119" s="969"/>
      <c r="I119" s="969"/>
      <c r="J119" s="969"/>
      <c r="K119" s="969"/>
      <c r="L119" s="969"/>
      <c r="M119" s="969"/>
      <c r="N119" s="969"/>
      <c r="O119" s="969"/>
      <c r="P119" s="969"/>
      <c r="Q119" s="969"/>
      <c r="R119" s="969"/>
      <c r="S119" s="969"/>
      <c r="T119" s="969"/>
      <c r="U119" s="969"/>
      <c r="V119" s="969"/>
      <c r="W119" s="969"/>
      <c r="X119" s="969"/>
      <c r="Y119" s="969"/>
      <c r="Z119" s="969"/>
      <c r="AA119" s="969"/>
      <c r="AB119" s="969"/>
      <c r="AC119" s="969"/>
      <c r="AD119" s="969"/>
      <c r="AE119" s="969"/>
      <c r="AF119" s="969"/>
      <c r="AG119" s="969"/>
      <c r="AH119" s="969"/>
      <c r="AI119" s="969"/>
      <c r="AJ119" s="969"/>
      <c r="AK119" s="969"/>
      <c r="AL119" s="969"/>
      <c r="AM119" s="970"/>
      <c r="AN119" s="971"/>
      <c r="AO119" s="971"/>
      <c r="AP119" s="971"/>
      <c r="AQ119" s="971"/>
      <c r="AR119" s="971"/>
      <c r="AS119" s="971"/>
      <c r="AT119" s="971"/>
      <c r="AU119" s="971"/>
      <c r="AV119" s="971"/>
      <c r="AW119" s="971"/>
      <c r="AX119" s="806"/>
    </row>
    <row r="120" spans="1:50" s="94" customFormat="1" x14ac:dyDescent="0.45">
      <c r="A120" s="265" t="s">
        <v>314</v>
      </c>
      <c r="B120" s="266"/>
      <c r="C120" s="441"/>
      <c r="D120" s="441">
        <f>IF(OR(INDEX(SP_GF_Rev,0,COLUMN())&lt;=0,INDEX(SP_GF_Rev,0,COLUMN()-1)&lt;=0),"NMF",IF(ABS((INDEX(SP_GF_Rev,0,COLUMN())/INDEX(SP_CS_ShareCount,0,COLUMN()))/(INDEX(SP_GF_Rev,0,COLUMN()-1)/INDEX(SP_CS_ShareCount,0,COLUMN()-1))-1)&gt;10,"NMF",(INDEX(SP_GF_Rev,0,COLUMN())/INDEX(SP_CS_ShareCount,0,COLUMN()))/(INDEX(SP_GF_Rev,0,COLUMN()-1)/INDEX(SP_CS_ShareCount,0,COLUMN()-1))-1))</f>
        <v>0.19754002518986336</v>
      </c>
      <c r="E120" s="441">
        <f>IF(OR(INDEX(SP_GF_Rev,0,COLUMN())&lt;=0,INDEX(SP_GF_Rev,0,COLUMN()-1)&lt;=0),"NMF",IF(ABS((INDEX(SP_GF_Rev,0,COLUMN())/INDEX(SP_CS_ShareCount,0,COLUMN()))/(INDEX(SP_GF_Rev,0,COLUMN()-1)/INDEX(SP_CS_ShareCount,0,COLUMN()-1))-1)&gt;10,"NMF",(INDEX(SP_GF_Rev,0,COLUMN())/INDEX(SP_CS_ShareCount,0,COLUMN()))/(INDEX(SP_GF_Rev,0,COLUMN()-1)/INDEX(SP_CS_ShareCount,0,COLUMN()-1))-1))</f>
        <v>0.19966418218773585</v>
      </c>
      <c r="F120" s="441">
        <f>IF(OR(INDEX(SP_GF_Rev,0,COLUMN())&lt;=0,INDEX(SP_GF_Rev,0,COLUMN()-1)&lt;=0),"NMF",IF(ABS((INDEX(SP_GF_Rev,0,COLUMN())/INDEX(SP_CS_ShareCount,0,COLUMN()))/(INDEX(SP_GF_Rev,0,COLUMN()-1)/INDEX(SP_CS_ShareCount,0,COLUMN()-1))-1)&gt;10,"NMF",(INDEX(SP_GF_Rev,0,COLUMN())/INDEX(SP_CS_ShareCount,0,COLUMN()))/(INDEX(SP_GF_Rev,0,COLUMN()-1)/INDEX(SP_CS_ShareCount,0,COLUMN()-1))-1))</f>
        <v>6.3274111661015597E-2</v>
      </c>
      <c r="G120" s="430"/>
      <c r="H120" s="430"/>
      <c r="I120" s="430"/>
      <c r="J120" s="430"/>
      <c r="K120" s="441">
        <f t="shared" ref="K120:AT120" si="69">IF(OR(INDEX(SP_GF_Rev,0,COLUMN())&lt;=0,INDEX(SP_GF_Rev,0,COLUMN()-5)&lt;=0),"NMF",IF(ABS((INDEX(SP_GF_Rev,0,COLUMN())/INDEX(SP_CS_ShareCount,0,COLUMN()))/(INDEX(SP_GF_Rev,0,COLUMN()-5)/INDEX(SP_CS_ShareCount,0,COLUMN()-5))-1)&gt;10,"NMF",(INDEX(SP_GF_Rev,0,COLUMN())/INDEX(SP_CS_ShareCount,0,COLUMN()))/(INDEX(SP_GF_Rev,0,COLUMN()-5)/INDEX(SP_CS_ShareCount,0,COLUMN()-5))-1))</f>
        <v>-4.4610775464464569E-2</v>
      </c>
      <c r="L120" s="430">
        <f t="shared" si="69"/>
        <v>5.5153211088069032E-2</v>
      </c>
      <c r="M120" s="430">
        <f t="shared" si="69"/>
        <v>6.6456294662762927E-2</v>
      </c>
      <c r="N120" s="430">
        <f t="shared" si="69"/>
        <v>0.12809172762512722</v>
      </c>
      <c r="O120" s="430">
        <f t="shared" si="69"/>
        <v>0.10779518270899402</v>
      </c>
      <c r="P120" s="441">
        <f t="shared" si="69"/>
        <v>8.9499919899284297E-2</v>
      </c>
      <c r="Q120" s="430">
        <f t="shared" si="69"/>
        <v>3.1229975008514987E-2</v>
      </c>
      <c r="R120" s="430">
        <f t="shared" si="69"/>
        <v>3.3340984790464656E-2</v>
      </c>
      <c r="S120" s="430">
        <f t="shared" si="69"/>
        <v>-5.8349791371260284E-2</v>
      </c>
      <c r="T120" s="430">
        <f t="shared" si="69"/>
        <v>-1.0509084764506071E-2</v>
      </c>
      <c r="U120" s="441">
        <f t="shared" si="69"/>
        <v>-1.7061277133607611E-3</v>
      </c>
      <c r="V120" s="430">
        <f t="shared" si="69"/>
        <v>-9.5905383140859612E-3</v>
      </c>
      <c r="W120" s="430">
        <f t="shared" si="69"/>
        <v>3.0838070637417836E-4</v>
      </c>
      <c r="X120" s="430">
        <f t="shared" si="69"/>
        <v>7.8266895432585804E-2</v>
      </c>
      <c r="Y120" s="430">
        <f t="shared" si="69"/>
        <v>1.881767013383806E-2</v>
      </c>
      <c r="Z120" s="441">
        <f t="shared" si="69"/>
        <v>2.1851356447670112E-2</v>
      </c>
      <c r="AA120" s="430">
        <f t="shared" si="69"/>
        <v>5.4793166127353521E-2</v>
      </c>
      <c r="AB120" s="430">
        <f t="shared" si="69"/>
        <v>1.8526581532154029E-2</v>
      </c>
      <c r="AC120" s="430">
        <f t="shared" si="69"/>
        <v>3.9730049859587613E-3</v>
      </c>
      <c r="AD120" s="430">
        <f t="shared" si="69"/>
        <v>8.8519574814727164E-4</v>
      </c>
      <c r="AE120" s="441">
        <f t="shared" si="69"/>
        <v>1.8494634134635479E-2</v>
      </c>
      <c r="AF120" s="430">
        <f t="shared" si="69"/>
        <v>-5.0119005645453685E-3</v>
      </c>
      <c r="AG120" s="430">
        <f t="shared" si="69"/>
        <v>-3.7346591516860594E-2</v>
      </c>
      <c r="AH120" s="430">
        <f t="shared" si="69"/>
        <v>-2.2819581507149356E-2</v>
      </c>
      <c r="AI120" s="430">
        <f t="shared" si="69"/>
        <v>-2.3026907378212447E-2</v>
      </c>
      <c r="AJ120" s="441">
        <f t="shared" si="69"/>
        <v>-2.1370568113341037E-2</v>
      </c>
      <c r="AK120" s="430">
        <f t="shared" si="69"/>
        <v>-2.9729411063014854E-2</v>
      </c>
      <c r="AL120" s="430">
        <f t="shared" si="69"/>
        <v>1.914789378733972E-2</v>
      </c>
      <c r="AM120" s="582">
        <f t="shared" si="69"/>
        <v>3.8285343224005564E-2</v>
      </c>
      <c r="AN120" s="163">
        <f t="shared" ca="1" si="69"/>
        <v>1.699345240332395E-2</v>
      </c>
      <c r="AO120" s="162">
        <f t="shared" ca="1" si="69"/>
        <v>1.0187103233983752E-2</v>
      </c>
      <c r="AP120" s="163">
        <f t="shared" ca="1" si="69"/>
        <v>3.3585471496379249E-2</v>
      </c>
      <c r="AQ120" s="163">
        <f t="shared" ca="1" si="69"/>
        <v>3.2031814532760494E-2</v>
      </c>
      <c r="AR120" s="163">
        <f t="shared" ca="1" si="69"/>
        <v>2.9350079860607226E-2</v>
      </c>
      <c r="AS120" s="163">
        <f t="shared" ca="1" si="69"/>
        <v>2.8176510548399314E-2</v>
      </c>
      <c r="AT120" s="162">
        <f t="shared" ca="1" si="69"/>
        <v>3.0712772502821339E-2</v>
      </c>
      <c r="AU120" s="162">
        <f ca="1">IF(OR(INDEX(SP_GF_Rev,0,COLUMN())&lt;=0,INDEX(SP_GF_Rev,0,COLUMN()-1)&lt;=0),"NMF",IF(ABS((INDEX(SP_GF_Rev,0,COLUMN())/INDEX(SP_CS_ShareCount,0,COLUMN()))/(INDEX(SP_GF_Rev,0,COLUMN()-1)/INDEX(SP_CS_ShareCount,0,COLUMN()-1))-1)&gt;10,"NMF",(INDEX(SP_GF_Rev,0,COLUMN())/INDEX(SP_CS_ShareCount,0,COLUMN()))/(INDEX(SP_GF_Rev,0,COLUMN()-1)/INDEX(SP_CS_ShareCount,0,COLUMN()-1))-1))</f>
        <v>2.9955629844847786E-2</v>
      </c>
      <c r="AV120" s="162">
        <f ca="1">IF(OR(INDEX(SP_GF_Rev,0,COLUMN())&lt;=0,INDEX(SP_GF_Rev,0,COLUMN()-1)&lt;=0),"NMF",IF(ABS((INDEX(SP_GF_Rev,0,COLUMN())/INDEX(SP_CS_ShareCount,0,COLUMN()))/(INDEX(SP_GF_Rev,0,COLUMN()-1)/INDEX(SP_CS_ShareCount,0,COLUMN()-1))-1)&gt;10,"NMF",(INDEX(SP_GF_Rev,0,COLUMN())/INDEX(SP_CS_ShareCount,0,COLUMN()))/(INDEX(SP_GF_Rev,0,COLUMN()-1)/INDEX(SP_CS_ShareCount,0,COLUMN()-1))-1))</f>
        <v>3.0624690035908397E-2</v>
      </c>
      <c r="AW120" s="162">
        <f ca="1">IF(OR(INDEX(SP_GF_Rev,0,COLUMN())&lt;=0,INDEX(SP_GF_Rev,0,COLUMN()-1)&lt;=0),"NMF",IF(ABS((INDEX(SP_GF_Rev,0,COLUMN())/INDEX(SP_CS_ShareCount,0,COLUMN()))/(INDEX(SP_GF_Rev,0,COLUMN()-1)/INDEX(SP_CS_ShareCount,0,COLUMN()-1))-1)&gt;10,"NMF",(INDEX(SP_GF_Rev,0,COLUMN())/INDEX(SP_CS_ShareCount,0,COLUMN()))/(INDEX(SP_GF_Rev,0,COLUMN()-1)/INDEX(SP_CS_ShareCount,0,COLUMN()-1))-1))</f>
        <v>3.1300992413726858E-2</v>
      </c>
      <c r="AX120" s="269"/>
    </row>
    <row r="121" spans="1:50" s="94" customFormat="1" x14ac:dyDescent="0.45">
      <c r="A121" s="265" t="s">
        <v>315</v>
      </c>
      <c r="B121" s="266"/>
      <c r="C121" s="441"/>
      <c r="D121" s="441">
        <f>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0.24757244314381821</v>
      </c>
      <c r="E121" s="441">
        <f>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0.20523852714380597</v>
      </c>
      <c r="F121" s="441">
        <f>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-0.1838417776356428</v>
      </c>
      <c r="G121" s="430"/>
      <c r="H121" s="430"/>
      <c r="I121" s="430"/>
      <c r="J121" s="430"/>
      <c r="K121" s="441">
        <f t="shared" ref="K121:AT121" si="70">IF(OR(INDEX(SP_NGF_EBITDA,0,COLUMN())&lt;=0,INDEX(SP_NGF_EBITDA,0,COLUMN()-5)&lt;=0),"NMF",IF(ABS((INDEX(SP_NGF_EBITDA,0,COLUMN())/INDEX(SP_CS_ShareCount,0,COLUMN()))/(INDEX(SP_NGF_EBITDA,0,COLUMN()-5)/INDEX(SP_CS_ShareCount,0,COLUMN()-5))-1)&gt;10,"NMF",(INDEX(SP_NGF_EBITDA,0,COLUMN())/INDEX(SP_CS_ShareCount,0,COLUMN()))/(INDEX(SP_NGF_EBITDA,0,COLUMN()-5)/INDEX(SP_CS_ShareCount,0,COLUMN()-5))-1))</f>
        <v>-0.4732311647190689</v>
      </c>
      <c r="L121" s="430">
        <f t="shared" si="70"/>
        <v>-0.40435119414404841</v>
      </c>
      <c r="M121" s="430">
        <f t="shared" si="70"/>
        <v>-0.33794797303013602</v>
      </c>
      <c r="N121" s="430" t="str">
        <f t="shared" si="70"/>
        <v>NMF</v>
      </c>
      <c r="O121" s="430">
        <f t="shared" si="70"/>
        <v>0.3856727304351264</v>
      </c>
      <c r="P121" s="441">
        <f t="shared" si="70"/>
        <v>0.12792926120079029</v>
      </c>
      <c r="Q121" s="430">
        <f t="shared" si="70"/>
        <v>2.0981033177860375E-3</v>
      </c>
      <c r="R121" s="430">
        <f t="shared" si="70"/>
        <v>0.25859657625468757</v>
      </c>
      <c r="S121" s="430">
        <f t="shared" si="70"/>
        <v>-5.3148483867897167E-2</v>
      </c>
      <c r="T121" s="430">
        <f t="shared" si="70"/>
        <v>1.2670815124304013E-2</v>
      </c>
      <c r="U121" s="441">
        <f t="shared" si="70"/>
        <v>5.0695234547346146E-2</v>
      </c>
      <c r="V121" s="430">
        <f t="shared" si="70"/>
        <v>-3.6754182315804629E-2</v>
      </c>
      <c r="W121" s="430">
        <f t="shared" si="70"/>
        <v>-5.0871747736068729E-3</v>
      </c>
      <c r="X121" s="430">
        <f t="shared" si="70"/>
        <v>0.61442331776374792</v>
      </c>
      <c r="Y121" s="430">
        <f t="shared" si="70"/>
        <v>-2.3601127721416759E-2</v>
      </c>
      <c r="Z121" s="441">
        <f t="shared" si="70"/>
        <v>0.11648946542262739</v>
      </c>
      <c r="AA121" s="430">
        <f t="shared" si="70"/>
        <v>0.1390168456384917</v>
      </c>
      <c r="AB121" s="430">
        <f t="shared" si="70"/>
        <v>0.17715263203607567</v>
      </c>
      <c r="AC121" s="430">
        <f t="shared" si="70"/>
        <v>-0.31536671181335729</v>
      </c>
      <c r="AD121" s="430" t="str">
        <f t="shared" si="70"/>
        <v>NMF</v>
      </c>
      <c r="AE121" s="441">
        <f t="shared" si="70"/>
        <v>-0.28845201809441101</v>
      </c>
      <c r="AF121" s="430">
        <f t="shared" si="70"/>
        <v>-0.10958228446154816</v>
      </c>
      <c r="AG121" s="430">
        <f t="shared" si="70"/>
        <v>0.22773074340954258</v>
      </c>
      <c r="AH121" s="430">
        <f t="shared" si="70"/>
        <v>0.19179724198062931</v>
      </c>
      <c r="AI121" s="430" t="str">
        <f t="shared" si="70"/>
        <v>NMF</v>
      </c>
      <c r="AJ121" s="441">
        <f t="shared" si="70"/>
        <v>0.50296229033600426</v>
      </c>
      <c r="AK121" s="430">
        <f t="shared" si="70"/>
        <v>0.16916142174038273</v>
      </c>
      <c r="AL121" s="430">
        <f t="shared" si="70"/>
        <v>-0.18750102212186259</v>
      </c>
      <c r="AM121" s="582">
        <f t="shared" si="70"/>
        <v>2.9191245050015135E-2</v>
      </c>
      <c r="AN121" s="163">
        <f t="shared" ca="1" si="70"/>
        <v>-5.3659473536218361E-3</v>
      </c>
      <c r="AO121" s="162">
        <f t="shared" ca="1" si="70"/>
        <v>-2.6698495567773373E-2</v>
      </c>
      <c r="AP121" s="163">
        <f t="shared" ca="1" si="70"/>
        <v>2.6679963149212504E-2</v>
      </c>
      <c r="AQ121" s="163">
        <f t="shared" ca="1" si="70"/>
        <v>-1.224903998640281E-2</v>
      </c>
      <c r="AR121" s="163">
        <f t="shared" ca="1" si="70"/>
        <v>8.0754746173863801E-2</v>
      </c>
      <c r="AS121" s="163">
        <f t="shared" ca="1" si="70"/>
        <v>1.4812425084409497E-2</v>
      </c>
      <c r="AT121" s="162">
        <f t="shared" ca="1" si="70"/>
        <v>2.6399014216504479E-2</v>
      </c>
      <c r="AU121" s="162">
        <f ca="1">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5.4214366886158549E-2</v>
      </c>
      <c r="AV121" s="162">
        <f ca="1">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2.9184796167670335E-2</v>
      </c>
      <c r="AW121" s="162">
        <f ca="1">IF(OR(INDEX(SP_NGF_EBITDA,0,COLUMN())&lt;=0,INDEX(SP_NGF_EBITDA,0,COLUMN()-1)&lt;=0),"NMF",IF(ABS((INDEX(SP_NGF_EBITDA,0,COLUMN())/INDEX(SP_CS_ShareCount,0,COLUMN()))/(INDEX(SP_NGF_EBITDA,0,COLUMN()-1)/INDEX(SP_CS_ShareCount,0,COLUMN()-1))-1)&gt;10,"NMF",(INDEX(SP_NGF_EBITDA,0,COLUMN())/INDEX(SP_CS_ShareCount,0,COLUMN()))/(INDEX(SP_NGF_EBITDA,0,COLUMN()-1)/INDEX(SP_CS_ShareCount,0,COLUMN()-1))-1))</f>
        <v>3.6028348182895797E-2</v>
      </c>
      <c r="AX121" s="269"/>
    </row>
    <row r="122" spans="1:50" s="94" customFormat="1" x14ac:dyDescent="0.45">
      <c r="A122" s="265" t="s">
        <v>316</v>
      </c>
      <c r="B122" s="266"/>
      <c r="C122" s="441"/>
      <c r="D122" s="441">
        <f>IF(OR(INDEX(SP_NGF_NI,0,COLUMN())&lt;=0,INDEX(SP_NGF_NI,0,COLUMN()-1)&lt;=0),"NMF",IF(ABS((INDEX(SP_NGF_NI,0,COLUMN())/INDEX(SP_CS_ShareCount,0,COLUMN()))/(INDEX(SP_NGF_NI,0,COLUMN()-1)/INDEX(SP_CS_ShareCount,0,COLUMN()-1))-1)&gt;10,"NMF",(INDEX(SP_NGF_NI,0,COLUMN())/INDEX(SP_CS_ShareCount,0,COLUMN()))/(INDEX(SP_NGF_NI,0,COLUMN()-1)/INDEX(SP_CS_ShareCount,0,COLUMN()-1))-1))</f>
        <v>0.2593218755529787</v>
      </c>
      <c r="E122" s="441">
        <f>IF(OR(INDEX(SP_NGF_NI,0,COLUMN())&lt;=0,INDEX(SP_NGF_NI,0,COLUMN()-1)&lt;=0),"NMF",IF(ABS((INDEX(SP_NGF_NI,0,COLUMN())/INDEX(SP_CS_ShareCount,0,COLUMN()))/(INDEX(SP_NGF_NI,0,COLUMN()-1)/INDEX(SP_CS_ShareCount,0,COLUMN()-1))-1)&gt;10,"NMF",(INDEX(SP_NGF_NI,0,COLUMN())/INDEX(SP_CS_ShareCount,0,COLUMN()))/(INDEX(SP_NGF_NI,0,COLUMN()-1)/INDEX(SP_CS_ShareCount,0,COLUMN()-1))-1))</f>
        <v>0.21116997201804799</v>
      </c>
      <c r="F122" s="441">
        <f>IF(OR(INDEX(SP_NGF_NI,0,COLUMN())&lt;=0,INDEX(SP_NGF_NI,0,COLUMN()-1)&lt;=0),"NMF",IF(ABS((INDEX(SP_NGF_NI,0,COLUMN())/INDEX(SP_CS_ShareCount,0,COLUMN()))/(INDEX(SP_NGF_NI,0,COLUMN()-1)/INDEX(SP_CS_ShareCount,0,COLUMN()-1))-1)&gt;10,"NMF",(INDEX(SP_NGF_NI,0,COLUMN())/INDEX(SP_CS_ShareCount,0,COLUMN()))/(INDEX(SP_NGF_NI,0,COLUMN()-1)/INDEX(SP_CS_ShareCount,0,COLUMN()-1))-1))</f>
        <v>-0.11209594474084839</v>
      </c>
      <c r="G122" s="430"/>
      <c r="H122" s="430"/>
      <c r="I122" s="430"/>
      <c r="J122" s="430"/>
      <c r="K122" s="441">
        <f t="shared" ref="K122:AT122" si="71">IF(OR(INDEX(SP_NGF_NI,0,COLUMN())&lt;=0,INDEX(SP_NGF_NI,0,COLUMN()-5)&lt;=0),"NMF",IF(ABS((INDEX(SP_NGF_NI,0,COLUMN())/INDEX(SP_CS_ShareCount,0,COLUMN()))/(INDEX(SP_NGF_NI,0,COLUMN()-5)/INDEX(SP_CS_ShareCount,0,COLUMN()-5))-1)&gt;10,"NMF",(INDEX(SP_NGF_NI,0,COLUMN())/INDEX(SP_CS_ShareCount,0,COLUMN()))/(INDEX(SP_NGF_NI,0,COLUMN()-5)/INDEX(SP_CS_ShareCount,0,COLUMN()-5))-1))</f>
        <v>-0.38611753955670269</v>
      </c>
      <c r="L122" s="430">
        <f t="shared" si="71"/>
        <v>-0.47652199443040411</v>
      </c>
      <c r="M122" s="430">
        <f t="shared" si="71"/>
        <v>-0.43169600344939751</v>
      </c>
      <c r="N122" s="430">
        <f t="shared" si="71"/>
        <v>0.43318484145862857</v>
      </c>
      <c r="O122" s="430">
        <f t="shared" si="71"/>
        <v>0.67013854011231899</v>
      </c>
      <c r="P122" s="441">
        <f t="shared" si="71"/>
        <v>-0.11209081905990503</v>
      </c>
      <c r="Q122" s="430">
        <f t="shared" si="71"/>
        <v>0.21954608360152483</v>
      </c>
      <c r="R122" s="430">
        <f t="shared" si="71"/>
        <v>0.66898759577780509</v>
      </c>
      <c r="S122" s="430">
        <f t="shared" si="71"/>
        <v>2.8518736087615126E-2</v>
      </c>
      <c r="T122" s="430">
        <f t="shared" si="71"/>
        <v>-8.4938950290796678E-2</v>
      </c>
      <c r="U122" s="441">
        <f t="shared" si="71"/>
        <v>0.1619664427759786</v>
      </c>
      <c r="V122" s="430">
        <f t="shared" si="71"/>
        <v>-3.0564557255917779E-2</v>
      </c>
      <c r="W122" s="430">
        <f t="shared" si="71"/>
        <v>9.2132884545401694E-2</v>
      </c>
      <c r="X122" s="430">
        <f t="shared" si="71"/>
        <v>0.41124770688760348</v>
      </c>
      <c r="Y122" s="430">
        <f t="shared" si="71"/>
        <v>8.3097912478288016E-2</v>
      </c>
      <c r="Z122" s="441">
        <f t="shared" si="71"/>
        <v>0.13630643391972019</v>
      </c>
      <c r="AA122" s="430">
        <f t="shared" si="71"/>
        <v>0.10307752135316495</v>
      </c>
      <c r="AB122" s="430">
        <f t="shared" si="71"/>
        <v>-3.3665526203882634E-2</v>
      </c>
      <c r="AC122" s="430">
        <f t="shared" si="71"/>
        <v>-0.36308389443269373</v>
      </c>
      <c r="AD122" s="430">
        <f t="shared" si="71"/>
        <v>-0.19905252039209553</v>
      </c>
      <c r="AE122" s="441">
        <f t="shared" si="71"/>
        <v>-0.14344787001488746</v>
      </c>
      <c r="AF122" s="430">
        <f t="shared" si="71"/>
        <v>0.14375337383431086</v>
      </c>
      <c r="AG122" s="430">
        <f t="shared" si="71"/>
        <v>7.5116206708629951E-2</v>
      </c>
      <c r="AH122" s="430">
        <f t="shared" si="71"/>
        <v>0.38534388979909928</v>
      </c>
      <c r="AI122" s="430">
        <f t="shared" si="71"/>
        <v>0.3939592079737293</v>
      </c>
      <c r="AJ122" s="441">
        <f t="shared" si="71"/>
        <v>0.23224476645185055</v>
      </c>
      <c r="AK122" s="430">
        <f t="shared" si="71"/>
        <v>-0.16298139903136544</v>
      </c>
      <c r="AL122" s="430">
        <f t="shared" si="71"/>
        <v>1.1960595624471715E-4</v>
      </c>
      <c r="AM122" s="582">
        <f t="shared" si="71"/>
        <v>0.11193183426994624</v>
      </c>
      <c r="AN122" s="163">
        <f t="shared" ca="1" si="71"/>
        <v>-0.18215323909558712</v>
      </c>
      <c r="AO122" s="162">
        <f t="shared" ca="1" si="71"/>
        <v>-5.8517831023704114E-2</v>
      </c>
      <c r="AP122" s="163">
        <f t="shared" ca="1" si="71"/>
        <v>-2.5080561563379788E-2</v>
      </c>
      <c r="AQ122" s="163">
        <f t="shared" ca="1" si="71"/>
        <v>-0.14829531329696899</v>
      </c>
      <c r="AR122" s="163">
        <f t="shared" ca="1" si="71"/>
        <v>-0.10083662819141659</v>
      </c>
      <c r="AS122" s="163">
        <f t="shared" ca="1" si="71"/>
        <v>2.4575091261947568E-2</v>
      </c>
      <c r="AT122" s="162">
        <f t="shared" ca="1" si="71"/>
        <v>-7.1470823791646154E-2</v>
      </c>
      <c r="AU122" s="162">
        <f ca="1">IF(OR(INDEX(SP_NGF_NI,0,COLUMN())&lt;=0,INDEX(SP_NGF_NI,0,COLUMN()-1)&lt;=0),"NMF",IF(ABS((INDEX(SP_NGF_NI,0,COLUMN())/INDEX(SP_CS_ShareCount,0,COLUMN()))/(INDEX(SP_NGF_NI,0,COLUMN()-1)/INDEX(SP_CS_ShareCount,0,COLUMN()-1))-1)&gt;10,"NMF",(INDEX(SP_NGF_NI,0,COLUMN())/INDEX(SP_CS_ShareCount,0,COLUMN()))/(INDEX(SP_NGF_NI,0,COLUMN()-1)/INDEX(SP_CS_ShareCount,0,COLUMN()-1))-1))</f>
        <v>8.0811729437207935E-2</v>
      </c>
      <c r="AV122" s="162">
        <f ca="1">IF(OR(INDEX(SP_NGF_NI,0,COLUMN())&lt;=0,INDEX(SP_NGF_NI,0,COLUMN()-1)&lt;=0),"NMF",IF(ABS((INDEX(SP_NGF_NI,0,COLUMN())/INDEX(SP_CS_ShareCount,0,COLUMN()))/(INDEX(SP_NGF_NI,0,COLUMN()-1)/INDEX(SP_CS_ShareCount,0,COLUMN()-1))-1)&gt;10,"NMF",(INDEX(SP_NGF_NI,0,COLUMN())/INDEX(SP_CS_ShareCount,0,COLUMN()))/(INDEX(SP_NGF_NI,0,COLUMN()-1)/INDEX(SP_CS_ShareCount,0,COLUMN()-1))-1))</f>
        <v>4.4066754617612114E-2</v>
      </c>
      <c r="AW122" s="162">
        <f ca="1">IF(OR(INDEX(SP_NGF_NI,0,COLUMN())&lt;=0,INDEX(SP_NGF_NI,0,COLUMN()-1)&lt;=0),"NMF",IF(ABS((INDEX(SP_NGF_NI,0,COLUMN())/INDEX(SP_CS_ShareCount,0,COLUMN()))/(INDEX(SP_NGF_NI,0,COLUMN()-1)/INDEX(SP_CS_ShareCount,0,COLUMN()-1))-1)&gt;10,"NMF",(INDEX(SP_NGF_NI,0,COLUMN())/INDEX(SP_CS_ShareCount,0,COLUMN()))/(INDEX(SP_NGF_NI,0,COLUMN()-1)/INDEX(SP_CS_ShareCount,0,COLUMN()-1))-1))</f>
        <v>5.2997575531602115E-2</v>
      </c>
      <c r="AX122" s="269"/>
    </row>
    <row r="123" spans="1:50" s="94" customFormat="1" x14ac:dyDescent="0.45">
      <c r="A123" s="265" t="s">
        <v>317</v>
      </c>
      <c r="B123" s="266"/>
      <c r="C123" s="441"/>
      <c r="D123" s="441">
        <f>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0.20836577974464077</v>
      </c>
      <c r="E123" s="441">
        <f>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0.13307397861373627</v>
      </c>
      <c r="F123" s="441">
        <f>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-6.2206043151813439E-2</v>
      </c>
      <c r="G123" s="430"/>
      <c r="H123" s="430"/>
      <c r="I123" s="430"/>
      <c r="J123" s="430"/>
      <c r="K123" s="441">
        <f t="shared" ref="K123:AT123" si="72">IF(OR(INDEX(SP_CFA_CFO_BeforeWC,0,COLUMN())&lt;=0,INDEX(SP_CFA_CFO_BeforeWC,0,COLUMN()-5)&lt;=0),"NMF",IF(ABS((INDEX(SP_CFA_CFO_BeforeWC,0,COLUMN())/INDEX(SP_CS_ShareCount,0,COLUMN()))/(INDEX(SP_CFA_CFO_BeforeWC,0,COLUMN()-5)/INDEX(SP_CS_ShareCount,0,COLUMN()-5))-1)&gt;10,"NMF",(INDEX(SP_CFA_CFO_BeforeWC,0,COLUMN())/INDEX(SP_CS_ShareCount,0,COLUMN()))/(INDEX(SP_CFA_CFO_BeforeWC,0,COLUMN()-5)/INDEX(SP_CS_ShareCount,0,COLUMN()-5))-1))</f>
        <v>-0.18544578965427039</v>
      </c>
      <c r="L123" s="430">
        <f t="shared" si="72"/>
        <v>-0.42551502178336442</v>
      </c>
      <c r="M123" s="430">
        <f t="shared" si="72"/>
        <v>-0.30112960700369296</v>
      </c>
      <c r="N123" s="430">
        <f t="shared" si="72"/>
        <v>-0.24262304599036522</v>
      </c>
      <c r="O123" s="430">
        <f t="shared" si="72"/>
        <v>4.1852084039033732E-2</v>
      </c>
      <c r="P123" s="441">
        <f t="shared" si="72"/>
        <v>-0.28651270418019148</v>
      </c>
      <c r="Q123" s="430">
        <f t="shared" si="72"/>
        <v>0.12060453844790331</v>
      </c>
      <c r="R123" s="430">
        <f t="shared" si="72"/>
        <v>0.21590268156645243</v>
      </c>
      <c r="S123" s="430">
        <f t="shared" si="72"/>
        <v>8.3949769859221757E-2</v>
      </c>
      <c r="T123" s="430">
        <f t="shared" si="72"/>
        <v>3.7990918271627869</v>
      </c>
      <c r="U123" s="441">
        <f t="shared" si="72"/>
        <v>0.69280398815004607</v>
      </c>
      <c r="V123" s="430">
        <f t="shared" si="72"/>
        <v>0.10554121891795276</v>
      </c>
      <c r="W123" s="430">
        <f t="shared" si="72"/>
        <v>0.22175831001938895</v>
      </c>
      <c r="X123" s="430">
        <f t="shared" si="72"/>
        <v>0.22412716657666909</v>
      </c>
      <c r="Y123" s="430">
        <f t="shared" si="72"/>
        <v>-0.44661020055356671</v>
      </c>
      <c r="Z123" s="441">
        <f t="shared" si="72"/>
        <v>-8.4103850198013697E-2</v>
      </c>
      <c r="AA123" s="430">
        <f t="shared" si="72"/>
        <v>9.5921322643367501E-2</v>
      </c>
      <c r="AB123" s="430">
        <f t="shared" si="72"/>
        <v>6.1668913693633032E-2</v>
      </c>
      <c r="AC123" s="430">
        <f t="shared" si="72"/>
        <v>-0.10335924229494764</v>
      </c>
      <c r="AD123" s="430">
        <f t="shared" si="72"/>
        <v>-0.72557165920594002</v>
      </c>
      <c r="AE123" s="441">
        <f t="shared" si="72"/>
        <v>-0.18225293290655065</v>
      </c>
      <c r="AF123" s="430">
        <f t="shared" si="72"/>
        <v>-8.8437745519860056E-2</v>
      </c>
      <c r="AG123" s="430">
        <f t="shared" si="72"/>
        <v>0.22083821060389219</v>
      </c>
      <c r="AH123" s="430">
        <f t="shared" si="72"/>
        <v>5.8535541500758681E-2</v>
      </c>
      <c r="AI123" s="430">
        <f t="shared" si="72"/>
        <v>2.9833726911388987</v>
      </c>
      <c r="AJ123" s="441">
        <f t="shared" si="72"/>
        <v>0.33093427208628934</v>
      </c>
      <c r="AK123" s="430">
        <f t="shared" si="72"/>
        <v>0.27582585314606889</v>
      </c>
      <c r="AL123" s="430">
        <f t="shared" si="72"/>
        <v>-9.2856241208409074E-2</v>
      </c>
      <c r="AM123" s="582">
        <f t="shared" si="72"/>
        <v>0.21986198521704026</v>
      </c>
      <c r="AN123" s="163">
        <f t="shared" ca="1" si="72"/>
        <v>-0.13157372509419851</v>
      </c>
      <c r="AO123" s="162">
        <f t="shared" ca="1" si="72"/>
        <v>3.9612442663519598E-2</v>
      </c>
      <c r="AP123" s="163">
        <f t="shared" ca="1" si="72"/>
        <v>-0.14785484039653141</v>
      </c>
      <c r="AQ123" s="163">
        <f t="shared" ca="1" si="72"/>
        <v>-0.15191139499829542</v>
      </c>
      <c r="AR123" s="163">
        <f t="shared" ca="1" si="72"/>
        <v>-0.17786900744916012</v>
      </c>
      <c r="AS123" s="163">
        <f t="shared" ca="1" si="72"/>
        <v>1.4509232184818144E-2</v>
      </c>
      <c r="AT123" s="162">
        <f t="shared" ca="1" si="72"/>
        <v>-0.12209224661848439</v>
      </c>
      <c r="AU123" s="162">
        <f ca="1">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4.8015925903255319E-2</v>
      </c>
      <c r="AV123" s="162">
        <f ca="1">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2.7002510326666895E-2</v>
      </c>
      <c r="AW123" s="162">
        <f ca="1">IF(OR(INDEX(SP_CFA_CFO_BeforeWC,0,COLUMN())&lt;=0,INDEX(SP_CFA_CFO_BeforeWC,0,COLUMN()-1)&lt;=0),"NMF",IF(ABS((INDEX(SP_CFA_CFO_BeforeWC,0,COLUMN())/INDEX(SP_CS_ShareCount,0,COLUMN()))/(INDEX(SP_CFA_CFO_BeforeWC,0,COLUMN()-1)/INDEX(SP_CS_ShareCount,0,COLUMN()-1))-1)&gt;10,"NMF",(INDEX(SP_CFA_CFO_BeforeWC,0,COLUMN())/INDEX(SP_CS_ShareCount,0,COLUMN()))/(INDEX(SP_CFA_CFO_BeforeWC,0,COLUMN()-1)/INDEX(SP_CS_ShareCount,0,COLUMN()-1))-1))</f>
        <v>3.301458466254914E-2</v>
      </c>
      <c r="AX123" s="269"/>
    </row>
    <row r="124" spans="1:50" s="94" customFormat="1" x14ac:dyDescent="0.45">
      <c r="A124" s="265" t="s">
        <v>318</v>
      </c>
      <c r="B124" s="266"/>
      <c r="C124" s="441"/>
      <c r="D124" s="441">
        <f>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0.17409896431625849</v>
      </c>
      <c r="E124" s="441">
        <f>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7.9759018255155301E-2</v>
      </c>
      <c r="F124" s="441">
        <f>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-0.31807347878192982</v>
      </c>
      <c r="G124" s="430"/>
      <c r="H124" s="430"/>
      <c r="I124" s="430"/>
      <c r="J124" s="430"/>
      <c r="K124" s="441">
        <f t="shared" ref="K124:AT124" si="73">IF(OR(INDEX(SP_CFA_FCF_PreDiv,0,COLUMN())&lt;=0,INDEX(SP_CFA_FCF_PreDiv,0,COLUMN()-5)&lt;=0),"NMF",IF(ABS((INDEX(SP_CFA_FCF_PreDiv,0,COLUMN())/INDEX(SP_CS_ShareCount,0,COLUMN()))/(INDEX(SP_CFA_FCF_PreDiv,0,COLUMN()-5)/INDEX(SP_CS_ShareCount,0,COLUMN()-5))-1)&gt;10,"NMF",(INDEX(SP_CFA_FCF_PreDiv,0,COLUMN())/INDEX(SP_CS_ShareCount,0,COLUMN()))/(INDEX(SP_CFA_FCF_PreDiv,0,COLUMN()-5)/INDEX(SP_CS_ShareCount,0,COLUMN()-5))-1))</f>
        <v>-0.10488230737898441</v>
      </c>
      <c r="L124" s="430">
        <f t="shared" si="73"/>
        <v>-0.41082631036094419</v>
      </c>
      <c r="M124" s="430">
        <f t="shared" si="73"/>
        <v>-8.279091999151833E-2</v>
      </c>
      <c r="N124" s="430">
        <f t="shared" si="73"/>
        <v>-0.18866927905072284</v>
      </c>
      <c r="O124" s="430">
        <f t="shared" si="73"/>
        <v>-0.69018584573520125</v>
      </c>
      <c r="P124" s="441">
        <f t="shared" si="73"/>
        <v>-0.29594346165782315</v>
      </c>
      <c r="Q124" s="430">
        <f t="shared" si="73"/>
        <v>-2.6536941187110918E-2</v>
      </c>
      <c r="R124" s="430">
        <f t="shared" si="73"/>
        <v>0.37024304582509293</v>
      </c>
      <c r="S124" s="430">
        <f t="shared" si="73"/>
        <v>-0.27162624123694723</v>
      </c>
      <c r="T124" s="430" t="str">
        <f t="shared" si="73"/>
        <v>NMF</v>
      </c>
      <c r="U124" s="441">
        <f t="shared" si="73"/>
        <v>0.93701295764627535</v>
      </c>
      <c r="V124" s="430">
        <f t="shared" si="73"/>
        <v>0.2821679275930904</v>
      </c>
      <c r="W124" s="430">
        <f t="shared" si="73"/>
        <v>0.50176789500675478</v>
      </c>
      <c r="X124" s="430">
        <f t="shared" si="73"/>
        <v>0.96081772884952654</v>
      </c>
      <c r="Y124" s="430">
        <f t="shared" si="73"/>
        <v>-0.50471315595491961</v>
      </c>
      <c r="Z124" s="441">
        <f t="shared" si="73"/>
        <v>2.1394770146790032E-2</v>
      </c>
      <c r="AA124" s="430">
        <f t="shared" si="73"/>
        <v>3.8318779847497542E-2</v>
      </c>
      <c r="AB124" s="430">
        <f t="shared" si="73"/>
        <v>-0.11440454463758554</v>
      </c>
      <c r="AC124" s="430">
        <f t="shared" si="73"/>
        <v>-0.227032137348952</v>
      </c>
      <c r="AD124" s="430" t="str">
        <f t="shared" si="73"/>
        <v>NMF</v>
      </c>
      <c r="AE124" s="441">
        <f t="shared" si="73"/>
        <v>-0.37110729540177789</v>
      </c>
      <c r="AF124" s="430">
        <f t="shared" si="73"/>
        <v>-6.6992505246112777E-2</v>
      </c>
      <c r="AG124" s="430">
        <f t="shared" si="73"/>
        <v>0.39581400617544227</v>
      </c>
      <c r="AH124" s="430">
        <f t="shared" si="73"/>
        <v>0.13130205767009451</v>
      </c>
      <c r="AI124" s="430" t="str">
        <f t="shared" si="73"/>
        <v>NMF</v>
      </c>
      <c r="AJ124" s="441">
        <f t="shared" si="73"/>
        <v>0.67011248193840678</v>
      </c>
      <c r="AK124" s="430">
        <f t="shared" si="73"/>
        <v>0.33838607494422512</v>
      </c>
      <c r="AL124" s="430">
        <f t="shared" si="73"/>
        <v>-0.13044186217581832</v>
      </c>
      <c r="AM124" s="582">
        <f t="shared" si="73"/>
        <v>0.24024502703012107</v>
      </c>
      <c r="AN124" s="163">
        <f t="shared" ca="1" si="73"/>
        <v>-0.21370998764085303</v>
      </c>
      <c r="AO124" s="162">
        <f t="shared" ca="1" si="73"/>
        <v>9.468272466193417E-3</v>
      </c>
      <c r="AP124" s="163">
        <f t="shared" ca="1" si="73"/>
        <v>-0.16145270037310333</v>
      </c>
      <c r="AQ124" s="163">
        <f t="shared" ca="1" si="73"/>
        <v>-0.24083085947393579</v>
      </c>
      <c r="AR124" s="163">
        <f t="shared" ca="1" si="73"/>
        <v>-0.27342036713174001</v>
      </c>
      <c r="AS124" s="163">
        <f t="shared" ca="1" si="73"/>
        <v>7.5588263407915246E-3</v>
      </c>
      <c r="AT124" s="162">
        <f t="shared" ca="1" si="73"/>
        <v>-0.18382291456911204</v>
      </c>
      <c r="AU124" s="162">
        <f ca="1">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4.8402976947392373E-2</v>
      </c>
      <c r="AV124" s="162">
        <f ca="1">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1.7232564699148023E-2</v>
      </c>
      <c r="AW124" s="162">
        <f ca="1">IF(OR(INDEX(SP_CFA_FCF_PreDiv,0,COLUMN())&lt;=0,INDEX(SP_CFA_FCF_PreDiv,0,COLUMN()-1)&lt;=0),"NMF",IF(ABS((INDEX(SP_CFA_FCF_PreDiv,0,COLUMN())/INDEX(SP_CS_ShareCount,0,COLUMN()))/(INDEX(SP_CFA_FCF_PreDiv,0,COLUMN()-1)/INDEX(SP_CS_ShareCount,0,COLUMN()-1))-1)&gt;10,"NMF",(INDEX(SP_CFA_FCF_PreDiv,0,COLUMN())/INDEX(SP_CS_ShareCount,0,COLUMN()))/(INDEX(SP_CFA_FCF_PreDiv,0,COLUMN()-1)/INDEX(SP_CS_ShareCount,0,COLUMN()-1))-1))</f>
        <v>2.7378620731236092E-2</v>
      </c>
      <c r="AX124" s="269"/>
    </row>
    <row r="125" spans="1:50" x14ac:dyDescent="0.45">
      <c r="A125" s="255"/>
      <c r="B125" s="260"/>
      <c r="C125" s="964"/>
      <c r="D125" s="964"/>
      <c r="E125" s="964"/>
      <c r="F125" s="964"/>
      <c r="G125" s="965"/>
      <c r="H125" s="965"/>
      <c r="I125" s="965"/>
      <c r="J125" s="965"/>
      <c r="K125" s="964"/>
      <c r="L125" s="965"/>
      <c r="M125" s="965"/>
      <c r="N125" s="965"/>
      <c r="O125" s="965"/>
      <c r="P125" s="964"/>
      <c r="Q125" s="965"/>
      <c r="R125" s="965"/>
      <c r="S125" s="965"/>
      <c r="T125" s="965"/>
      <c r="U125" s="964"/>
      <c r="V125" s="965"/>
      <c r="W125" s="965"/>
      <c r="X125" s="965"/>
      <c r="Y125" s="965"/>
      <c r="Z125" s="964"/>
      <c r="AA125" s="965"/>
      <c r="AB125" s="965"/>
      <c r="AC125" s="965"/>
      <c r="AD125" s="965"/>
      <c r="AE125" s="964"/>
      <c r="AF125" s="965"/>
      <c r="AG125" s="965"/>
      <c r="AH125" s="965"/>
      <c r="AI125" s="965"/>
      <c r="AJ125" s="964"/>
      <c r="AK125" s="965"/>
      <c r="AL125" s="965"/>
      <c r="AM125" s="966"/>
      <c r="AN125" s="967"/>
      <c r="AO125" s="968"/>
      <c r="AP125" s="967"/>
      <c r="AQ125" s="967"/>
      <c r="AR125" s="967"/>
      <c r="AS125" s="967"/>
      <c r="AT125" s="968"/>
      <c r="AU125" s="968"/>
      <c r="AV125" s="968"/>
      <c r="AW125" s="968"/>
      <c r="AX125" s="807"/>
    </row>
    <row r="126" spans="1:50" x14ac:dyDescent="0.45">
      <c r="A126" s="155" t="s">
        <v>319</v>
      </c>
      <c r="B126" s="808"/>
      <c r="C126" s="969"/>
      <c r="D126" s="969"/>
      <c r="E126" s="969"/>
      <c r="F126" s="969"/>
      <c r="G126" s="969"/>
      <c r="H126" s="969"/>
      <c r="I126" s="969"/>
      <c r="J126" s="969"/>
      <c r="K126" s="969"/>
      <c r="L126" s="969"/>
      <c r="M126" s="969"/>
      <c r="N126" s="969"/>
      <c r="O126" s="969"/>
      <c r="P126" s="969"/>
      <c r="Q126" s="969"/>
      <c r="R126" s="969"/>
      <c r="S126" s="969"/>
      <c r="T126" s="969"/>
      <c r="U126" s="969"/>
      <c r="V126" s="969"/>
      <c r="W126" s="969"/>
      <c r="X126" s="969"/>
      <c r="Y126" s="969"/>
      <c r="Z126" s="969"/>
      <c r="AA126" s="969"/>
      <c r="AB126" s="969"/>
      <c r="AC126" s="969"/>
      <c r="AD126" s="969"/>
      <c r="AE126" s="969"/>
      <c r="AF126" s="969"/>
      <c r="AG126" s="969"/>
      <c r="AH126" s="969"/>
      <c r="AI126" s="969"/>
      <c r="AJ126" s="969"/>
      <c r="AK126" s="969"/>
      <c r="AL126" s="969"/>
      <c r="AM126" s="970"/>
      <c r="AN126" s="971"/>
      <c r="AO126" s="971"/>
      <c r="AP126" s="971"/>
      <c r="AQ126" s="971"/>
      <c r="AR126" s="971"/>
      <c r="AS126" s="971"/>
      <c r="AT126" s="971"/>
      <c r="AU126" s="971"/>
      <c r="AV126" s="971"/>
      <c r="AW126" s="971"/>
      <c r="AX126" s="806"/>
    </row>
    <row r="127" spans="1:50" s="99" customFormat="1" x14ac:dyDescent="0.45">
      <c r="A127" s="281" t="str">
        <f>"P/E - "&amp;SP.ValuationToggle</f>
        <v>P/E - Avg</v>
      </c>
      <c r="B127" s="282"/>
      <c r="C127" s="448">
        <f ca="1">INDEX(SP_CS_StockPrice,0,COLUMN())/INDEX(SP_NGF_EPS,0,COLUMN())</f>
        <v>34.520350048574784</v>
      </c>
      <c r="D127" s="448">
        <f ca="1">INDEX(SP_CS_StockPrice,0,COLUMN())/INDEX(SP_NGF_EPS,0,COLUMN())</f>
        <v>31.084927847936878</v>
      </c>
      <c r="E127" s="448">
        <f ca="1">INDEX(SP_CS_StockPrice,0,COLUMN())/INDEX(SP_NGF_EPS,0,COLUMN())</f>
        <v>32.711992446171536</v>
      </c>
      <c r="F127" s="448">
        <f ca="1">INDEX(SP_CS_StockPrice,0,COLUMN())/INDEX(SP_NGF_EPS,0,COLUMN())</f>
        <v>20.289915368240568</v>
      </c>
      <c r="G127" s="479"/>
      <c r="H127" s="479"/>
      <c r="I127" s="479"/>
      <c r="J127" s="479"/>
      <c r="K127" s="448">
        <f ca="1">INDEX(SP_CS_StockPrice,0,COLUMN())/INDEX(SP_NGF_EPS,0,COLUMN())</f>
        <v>28.723879417087335</v>
      </c>
      <c r="L127" s="479"/>
      <c r="M127" s="479"/>
      <c r="N127" s="479"/>
      <c r="O127" s="479"/>
      <c r="P127" s="448">
        <f ca="1">INDEX(SP_CS_StockPrice,0,COLUMN())/INDEX(SP_NGF_EPS,0,COLUMN())</f>
        <v>25.474027781458737</v>
      </c>
      <c r="Q127" s="479"/>
      <c r="R127" s="479"/>
      <c r="S127" s="479"/>
      <c r="T127" s="479"/>
      <c r="U127" s="448">
        <f ca="1">INDEX(SP_CS_StockPrice,0,COLUMN())/INDEX(SP_NGF_EPS,0,COLUMN())</f>
        <v>21.028025640299187</v>
      </c>
      <c r="V127" s="479"/>
      <c r="W127" s="438"/>
      <c r="X127" s="438"/>
      <c r="Y127" s="438"/>
      <c r="Z127" s="448">
        <f ca="1">INDEX(SP_CS_StockPrice,0,COLUMN())/INDEX(SP_NGF_EPS,0,COLUMN())</f>
        <v>15.929986704746876</v>
      </c>
      <c r="AA127" s="438"/>
      <c r="AB127" s="438"/>
      <c r="AC127" s="438"/>
      <c r="AD127" s="438"/>
      <c r="AE127" s="448">
        <f ca="1">INDEX(SP_CS_StockPrice,0,COLUMN())/INDEX(SP_NGF_EPS,0,COLUMN())</f>
        <v>21.166273319847175</v>
      </c>
      <c r="AF127" s="438"/>
      <c r="AG127" s="438"/>
      <c r="AH127" s="438"/>
      <c r="AI127" s="438"/>
      <c r="AJ127" s="448">
        <f ca="1">INDEX(SP_CS_StockPrice,0,COLUMN())/INDEX(SP_NGF_EPS,0,COLUMN())</f>
        <v>20.680464527916012</v>
      </c>
      <c r="AK127" s="438"/>
      <c r="AL127" s="438"/>
      <c r="AM127" s="592"/>
      <c r="AN127" s="179"/>
      <c r="AO127" s="178">
        <f ca="1">INDEX(SP_CS_StockPrice,0,COLUMN())/INDEX(SP_NGF_EPS,0,COLUMN())</f>
        <v>12.414037725393694</v>
      </c>
      <c r="AP127" s="179"/>
      <c r="AQ127" s="179"/>
      <c r="AR127" s="179"/>
      <c r="AS127" s="179"/>
      <c r="AT127" s="178">
        <f ca="1">INDEX(SP_CS_StockPrice,0,COLUMN())/INDEX(SP_NGF_EPS,0,COLUMN())</f>
        <v>13.369572053822132</v>
      </c>
      <c r="AU127" s="178">
        <f ca="1">INDEX(SP_CS_StockPrice,0,COLUMN())/INDEX(SP_NGF_EPS,0,COLUMN())</f>
        <v>12.369936122717537</v>
      </c>
      <c r="AV127" s="178">
        <f ca="1">INDEX(SP_CS_StockPrice,0,COLUMN())/INDEX(SP_NGF_EPS,0,COLUMN())</f>
        <v>11.847840253517131</v>
      </c>
      <c r="AW127" s="178">
        <f ca="1">INDEX(SP_CS_StockPrice,0,COLUMN())/INDEX(SP_NGF_EPS,0,COLUMN())</f>
        <v>11.25153611824395</v>
      </c>
      <c r="AX127" s="179"/>
    </row>
    <row r="128" spans="1:50" s="99" customFormat="1" x14ac:dyDescent="0.45">
      <c r="A128" s="281" t="str">
        <f>"EV/Sales - "&amp;SP.ValuationToggle</f>
        <v>EV/Sales - Avg</v>
      </c>
      <c r="B128" s="282"/>
      <c r="C128" s="448">
        <f ca="1">INDEX(SP_CS_EV,0,COLUMN())/INDEX(SP_GF_Rev,0,COLUMN())</f>
        <v>5.4086069921970035</v>
      </c>
      <c r="D128" s="448">
        <f ca="1">INDEX(SP_CS_EV,0,COLUMN())/INDEX(SP_GF_Rev,0,COLUMN())</f>
        <v>5.0862174732498868</v>
      </c>
      <c r="E128" s="448">
        <f ca="1">INDEX(SP_CS_EV,0,COLUMN())/INDEX(SP_GF_Rev,0,COLUMN())</f>
        <v>5.4333877243593474</v>
      </c>
      <c r="F128" s="448">
        <f ca="1">INDEX(SP_CS_EV,0,COLUMN())/INDEX(SP_GF_Rev,0,COLUMN())</f>
        <v>2.7258617231856324</v>
      </c>
      <c r="G128" s="479"/>
      <c r="H128" s="479"/>
      <c r="I128" s="479"/>
      <c r="J128" s="479"/>
      <c r="K128" s="448">
        <f ca="1">INDEX(SP_CS_EV,0,COLUMN())/INDEX(SP_GF_Rev,0,COLUMN())</f>
        <v>2.4568655645685422</v>
      </c>
      <c r="L128" s="479"/>
      <c r="M128" s="479"/>
      <c r="N128" s="479"/>
      <c r="O128" s="479"/>
      <c r="P128" s="448">
        <f ca="1">INDEX(SP_CS_EV,0,COLUMN())/INDEX(SP_GF_Rev,0,COLUMN())</f>
        <v>1.6943261079096332</v>
      </c>
      <c r="Q128" s="479"/>
      <c r="R128" s="479"/>
      <c r="S128" s="479"/>
      <c r="T128" s="479"/>
      <c r="U128" s="448">
        <f ca="1">INDEX(SP_CS_EV,0,COLUMN())/INDEX(SP_GF_Rev,0,COLUMN())</f>
        <v>2.0230051174978732</v>
      </c>
      <c r="V128" s="479"/>
      <c r="W128" s="438"/>
      <c r="X128" s="438"/>
      <c r="Y128" s="438"/>
      <c r="Z128" s="448">
        <f ca="1">INDEX(SP_CS_EV,0,COLUMN())/INDEX(SP_GF_Rev,0,COLUMN())</f>
        <v>1.5424949080106118</v>
      </c>
      <c r="AA128" s="438"/>
      <c r="AB128" s="438"/>
      <c r="AC128" s="438"/>
      <c r="AD128" s="438"/>
      <c r="AE128" s="448">
        <f ca="1">INDEX(SP_CS_EV,0,COLUMN())/INDEX(SP_GF_Rev,0,COLUMN())</f>
        <v>1.7887165995943648</v>
      </c>
      <c r="AF128" s="438"/>
      <c r="AG128" s="438"/>
      <c r="AH128" s="438"/>
      <c r="AI128" s="438"/>
      <c r="AJ128" s="448">
        <f ca="1">INDEX(SP_CS_EV,0,COLUMN())/INDEX(SP_GF_Rev,0,COLUMN())</f>
        <v>2.1399578819609326</v>
      </c>
      <c r="AK128" s="438"/>
      <c r="AL128" s="438"/>
      <c r="AM128" s="592"/>
      <c r="AN128" s="179"/>
      <c r="AO128" s="448">
        <f ca="1">INDEX(SP_CS_EV,0,COLUMN())/INDEX(SP_GF_Rev,0,COLUMN())</f>
        <v>1.3130377276410998</v>
      </c>
      <c r="AP128" s="179"/>
      <c r="AQ128" s="179"/>
      <c r="AR128" s="179"/>
      <c r="AS128" s="179"/>
      <c r="AT128" s="448">
        <f ca="1">INDEX(SP_CS_EV,0,COLUMN())/INDEX(SP_GF_Rev,0,COLUMN())</f>
        <v>1.1775677249723653</v>
      </c>
      <c r="AU128" s="448">
        <f ca="1">INDEX(SP_CS_EV,0,COLUMN())/INDEX(SP_GF_Rev,0,COLUMN())</f>
        <v>1.0447748118155744</v>
      </c>
      <c r="AV128" s="448">
        <f ca="1">INDEX(SP_CS_EV,0,COLUMN())/INDEX(SP_GF_Rev,0,COLUMN())</f>
        <v>0.91747740430827707</v>
      </c>
      <c r="AW128" s="448">
        <f ca="1">INDEX(SP_CS_EV,0,COLUMN())/INDEX(SP_GF_Rev,0,COLUMN())</f>
        <v>0.7921362355855216</v>
      </c>
      <c r="AX128" s="179"/>
    </row>
    <row r="129" spans="1:50" s="99" customFormat="1" x14ac:dyDescent="0.45">
      <c r="A129" s="281" t="str">
        <f>"EV/EBITDA - "&amp;SP.ValuationToggle</f>
        <v>EV/EBITDA - Avg</v>
      </c>
      <c r="B129" s="282"/>
      <c r="C129" s="448">
        <f ca="1">INDEX(SP_CS_EV,0,COLUMN())/INDEX(SP_NGF_EBITDA,0,COLUMN())</f>
        <v>17.699798306605359</v>
      </c>
      <c r="D129" s="448">
        <f ca="1">INDEX(SP_CS_EV,0,COLUMN())/INDEX(SP_NGF_EBITDA,0,COLUMN())</f>
        <v>15.9772518890568</v>
      </c>
      <c r="E129" s="448">
        <f ca="1">INDEX(SP_CS_EV,0,COLUMN())/INDEX(SP_NGF_EBITDA,0,COLUMN())</f>
        <v>16.98887184476613</v>
      </c>
      <c r="F129" s="448">
        <f ca="1">INDEX(SP_CS_EV,0,COLUMN())/INDEX(SP_NGF_EBITDA,0,COLUMN())</f>
        <v>11.103721079463993</v>
      </c>
      <c r="G129" s="479"/>
      <c r="H129" s="479"/>
      <c r="I129" s="479"/>
      <c r="J129" s="479"/>
      <c r="K129" s="448">
        <f ca="1">INDEX(SP_CS_EV,0,COLUMN())/INDEX(SP_NGF_EBITDA,0,COLUMN())</f>
        <v>18.151243437230008</v>
      </c>
      <c r="L129" s="479"/>
      <c r="M129" s="479"/>
      <c r="N129" s="479"/>
      <c r="O129" s="479"/>
      <c r="P129" s="448">
        <f ca="1">INDEX(SP_CS_EV,0,COLUMN())/INDEX(SP_NGF_EBITDA,0,COLUMN())</f>
        <v>12.091142241065585</v>
      </c>
      <c r="Q129" s="479"/>
      <c r="R129" s="479"/>
      <c r="S129" s="479"/>
      <c r="T129" s="479"/>
      <c r="U129" s="448">
        <f ca="1">INDEX(SP_CS_EV,0,COLUMN())/INDEX(SP_NGF_EBITDA,0,COLUMN())</f>
        <v>13.716678248867598</v>
      </c>
      <c r="V129" s="479"/>
      <c r="W129" s="438"/>
      <c r="X129" s="438"/>
      <c r="Y129" s="438"/>
      <c r="Z129" s="448">
        <f ca="1">INDEX(SP_CS_EV,0,COLUMN())/INDEX(SP_NGF_EBITDA,0,COLUMN())</f>
        <v>9.5721347856264298</v>
      </c>
      <c r="AA129" s="438"/>
      <c r="AB129" s="438"/>
      <c r="AC129" s="438"/>
      <c r="AD129" s="438"/>
      <c r="AE129" s="448">
        <f ca="1">INDEX(SP_CS_EV,0,COLUMN())/INDEX(SP_NGF_EBITDA,0,COLUMN())</f>
        <v>15.888436318624347</v>
      </c>
      <c r="AF129" s="438"/>
      <c r="AG129" s="438"/>
      <c r="AH129" s="438"/>
      <c r="AI129" s="438"/>
      <c r="AJ129" s="448">
        <f ca="1">INDEX(SP_CS_EV,0,COLUMN())/INDEX(SP_NGF_EBITDA,0,COLUMN())</f>
        <v>12.376989849178756</v>
      </c>
      <c r="AK129" s="438"/>
      <c r="AL129" s="438"/>
      <c r="AM129" s="592"/>
      <c r="AN129" s="179"/>
      <c r="AO129" s="178">
        <f ca="1">INDEX(SP_CS_EV,0,COLUMN())/INDEX(SP_NGF_EBITDA,0,COLUMN())</f>
        <v>7.8820908976238604</v>
      </c>
      <c r="AP129" s="179"/>
      <c r="AQ129" s="179"/>
      <c r="AR129" s="179"/>
      <c r="AS129" s="179"/>
      <c r="AT129" s="178">
        <f ca="1">INDEX(SP_CS_EV,0,COLUMN())/INDEX(SP_NGF_EBITDA,0,COLUMN())</f>
        <v>7.0985812809340354</v>
      </c>
      <c r="AU129" s="178">
        <f ca="1">INDEX(SP_CS_EV,0,COLUMN())/INDEX(SP_NGF_EBITDA,0,COLUMN())</f>
        <v>6.1531562672759117</v>
      </c>
      <c r="AV129" s="178">
        <f ca="1">INDEX(SP_CS_EV,0,COLUMN())/INDEX(SP_NGF_EBITDA,0,COLUMN())</f>
        <v>5.4110034225358419</v>
      </c>
      <c r="AW129" s="178">
        <f ca="1">INDEX(SP_CS_EV,0,COLUMN())/INDEX(SP_NGF_EBITDA,0,COLUMN())</f>
        <v>4.6504620893494657</v>
      </c>
      <c r="AX129" s="179"/>
    </row>
    <row r="130" spans="1:50" s="99" customFormat="1" x14ac:dyDescent="0.45">
      <c r="A130" s="281" t="str">
        <f>"P/CF - "&amp;SP.ValuationToggle</f>
        <v>P/CF - Avg</v>
      </c>
      <c r="B130" s="282"/>
      <c r="C130" s="448">
        <f ca="1">INDEX(SP_CS_StockPrice,0,COLUMN())/INDEX(SP_CFA_CFO_PerShare,0,COLUMN())</f>
        <v>25.879964900590416</v>
      </c>
      <c r="D130" s="448">
        <f ca="1">INDEX(SP_CS_StockPrice,0,COLUMN())/INDEX(SP_CFA_CFO_PerShare,0,COLUMN())</f>
        <v>24.287157287980826</v>
      </c>
      <c r="E130" s="448">
        <f ca="1">INDEX(SP_CS_StockPrice,0,COLUMN())/INDEX(SP_CFA_CFO_PerShare,0,COLUMN())</f>
        <v>27.319997047102849</v>
      </c>
      <c r="F130" s="448">
        <f ca="1">INDEX(SP_CS_StockPrice,0,COLUMN())/INDEX(SP_CFA_CFO_PerShare,0,COLUMN())</f>
        <v>16.043994190396035</v>
      </c>
      <c r="G130" s="479"/>
      <c r="H130" s="479"/>
      <c r="I130" s="479"/>
      <c r="J130" s="479"/>
      <c r="K130" s="448">
        <f ca="1">INDEX(SP_CS_StockPrice,0,COLUMN())/INDEX(SP_CFA_CFO_PerShare,0,COLUMN())</f>
        <v>17.117509897688407</v>
      </c>
      <c r="L130" s="479"/>
      <c r="M130" s="479"/>
      <c r="N130" s="479"/>
      <c r="O130" s="479"/>
      <c r="P130" s="448">
        <f ca="1">INDEX(SP_CS_StockPrice,0,COLUMN())/INDEX(SP_CFA_CFO_PerShare,0,COLUMN())</f>
        <v>18.891977205275364</v>
      </c>
      <c r="Q130" s="479"/>
      <c r="R130" s="479"/>
      <c r="S130" s="479"/>
      <c r="T130" s="479"/>
      <c r="U130" s="448">
        <f ca="1">INDEX(SP_CS_StockPrice,0,COLUMN())/INDEX(SP_CFA_CFO_PerShare,0,COLUMN())</f>
        <v>10.704470880927653</v>
      </c>
      <c r="V130" s="479"/>
      <c r="W130" s="438"/>
      <c r="X130" s="438"/>
      <c r="Y130" s="438"/>
      <c r="Z130" s="448">
        <f ca="1">INDEX(SP_CS_StockPrice,0,COLUMN())/INDEX(SP_CFA_CFO_PerShare,0,COLUMN())</f>
        <v>10.060773063143753</v>
      </c>
      <c r="AA130" s="438"/>
      <c r="AB130" s="438"/>
      <c r="AC130" s="438"/>
      <c r="AD130" s="438"/>
      <c r="AE130" s="448">
        <f ca="1">INDEX(SP_CS_StockPrice,0,COLUMN())/INDEX(SP_CFA_CFO_PerShare,0,COLUMN())</f>
        <v>14.002163472261458</v>
      </c>
      <c r="AF130" s="438"/>
      <c r="AG130" s="438"/>
      <c r="AH130" s="438"/>
      <c r="AI130" s="438"/>
      <c r="AJ130" s="448">
        <f ca="1">INDEX(SP_CS_StockPrice,0,COLUMN())/INDEX(SP_CFA_CFO_PerShare,0,COLUMN())</f>
        <v>12.666347752736405</v>
      </c>
      <c r="AK130" s="438"/>
      <c r="AL130" s="438"/>
      <c r="AM130" s="592"/>
      <c r="AN130" s="179"/>
      <c r="AO130" s="178">
        <f ca="1">INDEX(SP_CS_StockPrice,0,COLUMN())/INDEX(SP_CFA_CFO_PerShare,0,COLUMN())</f>
        <v>6.8856478648129773</v>
      </c>
      <c r="AP130" s="179"/>
      <c r="AQ130" s="179"/>
      <c r="AR130" s="179"/>
      <c r="AS130" s="179"/>
      <c r="AT130" s="178">
        <f ca="1">INDEX(SP_CS_StockPrice,0,COLUMN())/INDEX(SP_CFA_CFO_PerShare,0,COLUMN())</f>
        <v>7.8432475830073409</v>
      </c>
      <c r="AU130" s="178">
        <f ca="1">INDEX(SP_CS_StockPrice,0,COLUMN())/INDEX(SP_CFA_CFO_PerShare,0,COLUMN())</f>
        <v>7.483901140383403</v>
      </c>
      <c r="AV130" s="178">
        <f ca="1">INDEX(SP_CS_StockPrice,0,COLUMN())/INDEX(SP_CFA_CFO_PerShare,0,COLUMN())</f>
        <v>7.2871303284379882</v>
      </c>
      <c r="AW130" s="178">
        <f ca="1">INDEX(SP_CS_StockPrice,0,COLUMN())/INDEX(SP_CFA_CFO_PerShare,0,COLUMN())</f>
        <v>7.0542376038363939</v>
      </c>
      <c r="AX130" s="179"/>
    </row>
    <row r="131" spans="1:50" s="94" customFormat="1" x14ac:dyDescent="0.45">
      <c r="A131" s="265" t="str">
        <f>"FCF Yield % to "&amp;SP.ValuationToggle&amp;" Market Cap"</f>
        <v>FCF Yield % to Avg Market Cap</v>
      </c>
      <c r="B131" s="266"/>
      <c r="C131" s="441">
        <f ca="1">INDEX(SP_CFA_FCF_PreDiv,0,COLUMN())/INDEX(SP_CS_MarketCap,0,COLUMN())</f>
        <v>3.0942001805845276E-2</v>
      </c>
      <c r="D131" s="441">
        <f ca="1">INDEX(SP_CFA_FCF_PreDiv,0,COLUMN())/INDEX(SP_CS_MarketCap,0,COLUMN())</f>
        <v>3.2036251313378603E-2</v>
      </c>
      <c r="E131" s="441">
        <f ca="1">INDEX(SP_CFA_FCF_PreDiv,0,COLUMN())/INDEX(SP_CS_MarketCap,0,COLUMN())</f>
        <v>2.7139778775225661E-2</v>
      </c>
      <c r="F131" s="441">
        <f ca="1">INDEX(SP_CFA_FCF_PreDiv,0,COLUMN())/INDEX(SP_CS_MarketCap,0,COLUMN())</f>
        <v>3.3605054700324696E-2</v>
      </c>
      <c r="G131" s="430"/>
      <c r="H131" s="430"/>
      <c r="I131" s="430"/>
      <c r="J131" s="430"/>
      <c r="K131" s="441">
        <f ca="1">INDEX(SP_CFA_FCF_PreDiv,0,COLUMN())/INDEX(SP_CS_MarketCap,0,COLUMN())</f>
        <v>3.4612794469884661E-2</v>
      </c>
      <c r="L131" s="430"/>
      <c r="M131" s="430"/>
      <c r="N131" s="430"/>
      <c r="O131" s="430"/>
      <c r="P131" s="441">
        <f ca="1">INDEX(SP_CFA_FCF_PreDiv,0,COLUMN())/INDEX(SP_CS_MarketCap,0,COLUMN())</f>
        <v>3.0947183476567771E-2</v>
      </c>
      <c r="Q131" s="430"/>
      <c r="R131" s="430"/>
      <c r="S131" s="430"/>
      <c r="T131" s="430"/>
      <c r="U131" s="441">
        <f ca="1">INDEX(SP_CFA_FCF_PreDiv,0,COLUMN())/INDEX(SP_CS_MarketCap,0,COLUMN())</f>
        <v>6.2497002766187887E-2</v>
      </c>
      <c r="V131" s="430"/>
      <c r="W131" s="430"/>
      <c r="X131" s="430"/>
      <c r="Y131" s="430"/>
      <c r="Z131" s="441">
        <f ca="1">INDEX(SP_CFA_FCF_PreDiv,0,COLUMN())/INDEX(SP_CS_MarketCap,0,COLUMN())</f>
        <v>7.4154999887637379E-2</v>
      </c>
      <c r="AA131" s="430"/>
      <c r="AB131" s="430"/>
      <c r="AC131" s="430"/>
      <c r="AD131" s="430"/>
      <c r="AE131" s="441">
        <f ca="1">INDEX(SP_CFA_FCF_PreDiv,0,COLUMN())/INDEX(SP_CS_MarketCap,0,COLUMN())</f>
        <v>4.0976438574367828E-2</v>
      </c>
      <c r="AF131" s="430"/>
      <c r="AG131" s="430"/>
      <c r="AH131" s="430"/>
      <c r="AI131" s="430"/>
      <c r="AJ131" s="441">
        <f ca="1">INDEX(SP_CFA_FCF_PreDiv,0,COLUMN())/INDEX(SP_CS_MarketCap,0,COLUMN())</f>
        <v>5.6841700122943345E-2</v>
      </c>
      <c r="AK131" s="430"/>
      <c r="AL131" s="430"/>
      <c r="AM131" s="582"/>
      <c r="AN131" s="163"/>
      <c r="AO131" s="162">
        <f ca="1">INDEX(SP_CFA_FCF_PreDiv,0,COLUMN())/INDEX(SP_CS_MarketCap,0,COLUMN())</f>
        <v>0.10153011133870128</v>
      </c>
      <c r="AP131" s="163"/>
      <c r="AQ131" s="163"/>
      <c r="AR131" s="163"/>
      <c r="AS131" s="163"/>
      <c r="AT131" s="162">
        <f ca="1">INDEX(SP_CFA_FCF_PreDiv,0,COLUMN())/INDEX(SP_CS_MarketCap,0,COLUMN())</f>
        <v>8.2866550355894769E-2</v>
      </c>
      <c r="AU131" s="162">
        <f ca="1">INDEX(SP_CFA_FCF_PreDiv,0,COLUMN())/INDEX(SP_CS_MarketCap,0,COLUMN())</f>
        <v>8.6877538082481082E-2</v>
      </c>
      <c r="AV131" s="162">
        <f ca="1">INDEX(SP_CFA_FCF_PreDiv,0,COLUMN())/INDEX(SP_CS_MarketCap,0,COLUMN())</f>
        <v>8.8374660878390132E-2</v>
      </c>
      <c r="AW131" s="162">
        <f ca="1">INDEX(SP_CFA_FCF_PreDiv,0,COLUMN())/INDEX(SP_CS_MarketCap,0,COLUMN())</f>
        <v>9.0794237200831171E-2</v>
      </c>
      <c r="AX131" s="269"/>
    </row>
    <row r="132" spans="1:50" s="94" customFormat="1" x14ac:dyDescent="0.45">
      <c r="A132" s="265" t="str">
        <f>"FCF Yield % to "&amp;SP.ValuationToggle&amp;" Enterprise Value"</f>
        <v>FCF Yield % to Avg Enterprise Value</v>
      </c>
      <c r="B132" s="266"/>
      <c r="C132" s="441">
        <f ca="1">INDEX(SP_CFA_FCF_PreDiv,0,COLUMN())/INDEX(SP_CS_EV,0,COLUMN())</f>
        <v>3.2741110168456475E-2</v>
      </c>
      <c r="D132" s="441">
        <f ca="1">INDEX(SP_CFA_FCF_PreDiv,0,COLUMN())/INDEX(SP_CS_EV,0,COLUMN())</f>
        <v>3.4134894755595724E-2</v>
      </c>
      <c r="E132" s="441">
        <f ca="1">INDEX(SP_CFA_FCF_PreDiv,0,COLUMN())/INDEX(SP_CS_EV,0,COLUMN())</f>
        <v>2.8760070345236078E-2</v>
      </c>
      <c r="F132" s="441">
        <f ca="1">INDEX(SP_CFA_FCF_PreDiv,0,COLUMN())/INDEX(SP_CS_EV,0,COLUMN())</f>
        <v>3.6766235204512762E-2</v>
      </c>
      <c r="G132" s="430"/>
      <c r="H132" s="430"/>
      <c r="I132" s="430"/>
      <c r="J132" s="430"/>
      <c r="K132" s="441">
        <f ca="1">INDEX(SP_CFA_FCF_PreDiv,0,COLUMN())/INDEX(SP_CS_EV,0,COLUMN())</f>
        <v>3.8218302342515664E-2</v>
      </c>
      <c r="L132" s="430"/>
      <c r="M132" s="430"/>
      <c r="N132" s="430"/>
      <c r="O132" s="430"/>
      <c r="P132" s="441">
        <f ca="1">INDEX(SP_CFA_FCF_PreDiv,0,COLUMN())/INDEX(SP_CS_EV,0,COLUMN())</f>
        <v>3.581262172576833E-2</v>
      </c>
      <c r="Q132" s="430"/>
      <c r="R132" s="430"/>
      <c r="S132" s="430"/>
      <c r="T132" s="430"/>
      <c r="U132" s="441">
        <f ca="1">INDEX(SP_CFA_FCF_PreDiv,0,COLUMN())/INDEX(SP_CS_EV,0,COLUMN())</f>
        <v>5.8198294470635209E-2</v>
      </c>
      <c r="V132" s="430"/>
      <c r="W132" s="430"/>
      <c r="X132" s="430"/>
      <c r="Y132" s="430"/>
      <c r="Z132" s="441">
        <f ca="1">INDEX(SP_CFA_FCF_PreDiv,0,COLUMN())/INDEX(SP_CS_EV,0,COLUMN())</f>
        <v>7.6293827662822222E-2</v>
      </c>
      <c r="AA132" s="430"/>
      <c r="AB132" s="430"/>
      <c r="AC132" s="430"/>
      <c r="AD132" s="430"/>
      <c r="AE132" s="441">
        <f ca="1">INDEX(SP_CFA_FCF_PreDiv,0,COLUMN())/INDEX(SP_CS_EV,0,COLUMN())</f>
        <v>4.0624629872847345E-2</v>
      </c>
      <c r="AF132" s="430"/>
      <c r="AG132" s="430"/>
      <c r="AH132" s="430"/>
      <c r="AI132" s="430"/>
      <c r="AJ132" s="441">
        <f ca="1">INDEX(SP_CFA_FCF_PreDiv,0,COLUMN())/INDEX(SP_CS_EV,0,COLUMN())</f>
        <v>5.7949964963951384E-2</v>
      </c>
      <c r="AK132" s="430"/>
      <c r="AL132" s="430"/>
      <c r="AM132" s="582"/>
      <c r="AN132" s="163"/>
      <c r="AO132" s="162">
        <f ca="1">INDEX(SP_CFA_FCF_PreDiv,0,COLUMN())/INDEX(SP_CS_EV,0,COLUMN())</f>
        <v>9.4378278757974263E-2</v>
      </c>
      <c r="AP132" s="163"/>
      <c r="AQ132" s="163"/>
      <c r="AR132" s="163"/>
      <c r="AS132" s="163"/>
      <c r="AT132" s="162">
        <f ca="1">INDEX(SP_CFA_FCF_PreDiv,0,COLUMN())/INDEX(SP_CS_EV,0,COLUMN())</f>
        <v>8.3331673441604678E-2</v>
      </c>
      <c r="AU132" s="162">
        <f ca="1">INDEX(SP_CFA_FCF_PreDiv,0,COLUMN())/INDEX(SP_CS_EV,0,COLUMN())</f>
        <v>9.5605534326347524E-2</v>
      </c>
      <c r="AV132" s="162">
        <f ca="1">INDEX(SP_CFA_FCF_PreDiv,0,COLUMN())/INDEX(SP_CS_EV,0,COLUMN())</f>
        <v>0.10745584954295358</v>
      </c>
      <c r="AW132" s="162">
        <f ca="1">INDEX(SP_CFA_FCF_PreDiv,0,COLUMN())/INDEX(SP_CS_EV,0,COLUMN())</f>
        <v>0.12398542853693258</v>
      </c>
      <c r="AX132" s="269"/>
    </row>
    <row r="133" spans="1:50" s="94" customFormat="1" x14ac:dyDescent="0.45">
      <c r="A133" s="265"/>
      <c r="B133" s="266"/>
      <c r="C133" s="441"/>
      <c r="D133" s="441"/>
      <c r="E133" s="441"/>
      <c r="F133" s="441"/>
      <c r="G133" s="430"/>
      <c r="H133" s="430"/>
      <c r="I133" s="430"/>
      <c r="J133" s="430"/>
      <c r="K133" s="441"/>
      <c r="L133" s="430"/>
      <c r="M133" s="430"/>
      <c r="N133" s="430"/>
      <c r="O133" s="430"/>
      <c r="P133" s="441"/>
      <c r="Q133" s="430"/>
      <c r="R133" s="430"/>
      <c r="S133" s="430"/>
      <c r="T133" s="430"/>
      <c r="U133" s="441"/>
      <c r="V133" s="430"/>
      <c r="W133" s="430"/>
      <c r="X133" s="430"/>
      <c r="Y133" s="430"/>
      <c r="Z133" s="441"/>
      <c r="AA133" s="430"/>
      <c r="AB133" s="430"/>
      <c r="AC133" s="430"/>
      <c r="AD133" s="430"/>
      <c r="AE133" s="441"/>
      <c r="AF133" s="430"/>
      <c r="AG133" s="430"/>
      <c r="AH133" s="430"/>
      <c r="AI133" s="430"/>
      <c r="AJ133" s="441"/>
      <c r="AK133" s="430"/>
      <c r="AL133" s="430"/>
      <c r="AM133" s="582"/>
      <c r="AN133" s="163"/>
      <c r="AO133" s="162"/>
      <c r="AP133" s="163"/>
      <c r="AQ133" s="163"/>
      <c r="AR133" s="163"/>
      <c r="AS133" s="163"/>
      <c r="AT133" s="162"/>
      <c r="AU133" s="162"/>
      <c r="AV133" s="162"/>
      <c r="AW133" s="162"/>
      <c r="AX133" s="269"/>
    </row>
    <row r="134" spans="1:50" hidden="1" outlineLevel="1" x14ac:dyDescent="0.45">
      <c r="A134" s="155" t="s">
        <v>320</v>
      </c>
      <c r="B134" s="808"/>
      <c r="C134" s="969"/>
      <c r="D134" s="969"/>
      <c r="E134" s="969"/>
      <c r="F134" s="969"/>
      <c r="G134" s="969"/>
      <c r="H134" s="969"/>
      <c r="I134" s="969"/>
      <c r="J134" s="969"/>
      <c r="K134" s="969"/>
      <c r="L134" s="969"/>
      <c r="M134" s="969"/>
      <c r="N134" s="969"/>
      <c r="O134" s="969"/>
      <c r="P134" s="969"/>
      <c r="Q134" s="969"/>
      <c r="R134" s="969"/>
      <c r="S134" s="969"/>
      <c r="T134" s="969"/>
      <c r="U134" s="969"/>
      <c r="V134" s="969"/>
      <c r="W134" s="969"/>
      <c r="X134" s="969"/>
      <c r="Y134" s="969"/>
      <c r="Z134" s="969"/>
      <c r="AA134" s="969"/>
      <c r="AB134" s="969"/>
      <c r="AC134" s="969"/>
      <c r="AD134" s="969"/>
      <c r="AE134" s="969"/>
      <c r="AF134" s="969"/>
      <c r="AG134" s="969"/>
      <c r="AH134" s="969"/>
      <c r="AI134" s="969"/>
      <c r="AJ134" s="969"/>
      <c r="AK134" s="969"/>
      <c r="AL134" s="969"/>
      <c r="AM134" s="970"/>
      <c r="AN134" s="971"/>
      <c r="AO134" s="971"/>
      <c r="AP134" s="971"/>
      <c r="AQ134" s="971"/>
      <c r="AR134" s="971"/>
      <c r="AS134" s="971"/>
      <c r="AT134" s="971"/>
      <c r="AU134" s="971"/>
      <c r="AV134" s="971"/>
      <c r="AW134" s="971"/>
      <c r="AX134" s="269"/>
    </row>
    <row r="135" spans="1:50" hidden="1" outlineLevel="1" x14ac:dyDescent="0.45">
      <c r="A135" s="806" t="s">
        <v>64</v>
      </c>
      <c r="B135" s="283"/>
      <c r="C135" s="942">
        <f t="shared" ref="C135:AW135" si="74">ROUND(INDEX(SP_GF_EBITDA,0,COLUMN())-INDEX(MO_RIS_EBITDA,0,COLUMN()),6)</f>
        <v>0</v>
      </c>
      <c r="D135" s="942">
        <f t="shared" si="74"/>
        <v>0</v>
      </c>
      <c r="E135" s="942">
        <f t="shared" si="74"/>
        <v>0</v>
      </c>
      <c r="F135" s="942">
        <f t="shared" si="74"/>
        <v>0</v>
      </c>
      <c r="G135" s="942">
        <f t="shared" si="74"/>
        <v>0</v>
      </c>
      <c r="H135" s="942">
        <f t="shared" si="74"/>
        <v>0</v>
      </c>
      <c r="I135" s="942">
        <f t="shared" si="74"/>
        <v>0</v>
      </c>
      <c r="J135" s="942">
        <f t="shared" si="74"/>
        <v>0</v>
      </c>
      <c r="K135" s="942">
        <f t="shared" si="74"/>
        <v>0</v>
      </c>
      <c r="L135" s="942">
        <f t="shared" si="74"/>
        <v>0</v>
      </c>
      <c r="M135" s="942">
        <f t="shared" si="74"/>
        <v>0</v>
      </c>
      <c r="N135" s="942">
        <f t="shared" si="74"/>
        <v>0</v>
      </c>
      <c r="O135" s="942">
        <f t="shared" si="74"/>
        <v>0</v>
      </c>
      <c r="P135" s="942">
        <f t="shared" si="74"/>
        <v>0</v>
      </c>
      <c r="Q135" s="942">
        <f t="shared" si="74"/>
        <v>0</v>
      </c>
      <c r="R135" s="942">
        <f t="shared" si="74"/>
        <v>0</v>
      </c>
      <c r="S135" s="942">
        <f t="shared" si="74"/>
        <v>0</v>
      </c>
      <c r="T135" s="942">
        <f t="shared" si="74"/>
        <v>0</v>
      </c>
      <c r="U135" s="942">
        <f t="shared" si="74"/>
        <v>0</v>
      </c>
      <c r="V135" s="942">
        <f t="shared" si="74"/>
        <v>0</v>
      </c>
      <c r="W135" s="942">
        <f t="shared" si="74"/>
        <v>0</v>
      </c>
      <c r="X135" s="942">
        <f t="shared" si="74"/>
        <v>0</v>
      </c>
      <c r="Y135" s="942">
        <f t="shared" si="74"/>
        <v>0</v>
      </c>
      <c r="Z135" s="942">
        <f t="shared" si="74"/>
        <v>0</v>
      </c>
      <c r="AA135" s="942">
        <f t="shared" si="74"/>
        <v>0</v>
      </c>
      <c r="AB135" s="942">
        <f t="shared" si="74"/>
        <v>0</v>
      </c>
      <c r="AC135" s="942">
        <f t="shared" si="74"/>
        <v>0</v>
      </c>
      <c r="AD135" s="942">
        <f t="shared" si="74"/>
        <v>0</v>
      </c>
      <c r="AE135" s="942">
        <f t="shared" si="74"/>
        <v>0</v>
      </c>
      <c r="AF135" s="942">
        <f t="shared" si="74"/>
        <v>0</v>
      </c>
      <c r="AG135" s="942">
        <f t="shared" si="74"/>
        <v>0</v>
      </c>
      <c r="AH135" s="942">
        <f t="shared" si="74"/>
        <v>0</v>
      </c>
      <c r="AI135" s="942">
        <f t="shared" si="74"/>
        <v>0</v>
      </c>
      <c r="AJ135" s="942">
        <f t="shared" si="74"/>
        <v>0</v>
      </c>
      <c r="AK135" s="942">
        <f t="shared" si="74"/>
        <v>0</v>
      </c>
      <c r="AL135" s="942">
        <f t="shared" si="74"/>
        <v>0</v>
      </c>
      <c r="AM135" s="943">
        <f t="shared" si="74"/>
        <v>0</v>
      </c>
      <c r="AN135" s="944">
        <f t="shared" si="74"/>
        <v>0</v>
      </c>
      <c r="AO135" s="944">
        <f t="shared" si="74"/>
        <v>0</v>
      </c>
      <c r="AP135" s="944">
        <f t="shared" si="74"/>
        <v>0</v>
      </c>
      <c r="AQ135" s="944">
        <f t="shared" si="74"/>
        <v>0</v>
      </c>
      <c r="AR135" s="944">
        <f t="shared" si="74"/>
        <v>0</v>
      </c>
      <c r="AS135" s="944">
        <f t="shared" si="74"/>
        <v>0</v>
      </c>
      <c r="AT135" s="944">
        <f t="shared" si="74"/>
        <v>0</v>
      </c>
      <c r="AU135" s="944">
        <f t="shared" si="74"/>
        <v>0</v>
      </c>
      <c r="AV135" s="944">
        <f t="shared" si="74"/>
        <v>0</v>
      </c>
      <c r="AW135" s="944">
        <f t="shared" si="74"/>
        <v>0</v>
      </c>
      <c r="AX135" s="269"/>
    </row>
    <row r="136" spans="1:50" hidden="1" outlineLevel="1" x14ac:dyDescent="0.45">
      <c r="A136" s="806" t="s">
        <v>321</v>
      </c>
      <c r="B136" s="283"/>
      <c r="C136" s="942">
        <f t="shared" ref="C136:AW136" si="75">ROUND(INDEX(SP_NGF_EBITDA,0,COLUMN())-INDEX(MO_RIS_EBITDA_Adj,0,COLUMN()),6)</f>
        <v>0</v>
      </c>
      <c r="D136" s="942">
        <f t="shared" si="75"/>
        <v>0</v>
      </c>
      <c r="E136" s="942">
        <f t="shared" si="75"/>
        <v>0</v>
      </c>
      <c r="F136" s="942">
        <f t="shared" si="75"/>
        <v>0</v>
      </c>
      <c r="G136" s="942">
        <f t="shared" si="75"/>
        <v>0</v>
      </c>
      <c r="H136" s="942">
        <f t="shared" si="75"/>
        <v>0</v>
      </c>
      <c r="I136" s="942">
        <f t="shared" si="75"/>
        <v>0</v>
      </c>
      <c r="J136" s="942">
        <f t="shared" si="75"/>
        <v>0</v>
      </c>
      <c r="K136" s="942">
        <f t="shared" si="75"/>
        <v>0</v>
      </c>
      <c r="L136" s="942">
        <f t="shared" si="75"/>
        <v>0</v>
      </c>
      <c r="M136" s="942">
        <f t="shared" si="75"/>
        <v>0</v>
      </c>
      <c r="N136" s="942">
        <f t="shared" si="75"/>
        <v>0</v>
      </c>
      <c r="O136" s="942">
        <f t="shared" si="75"/>
        <v>0</v>
      </c>
      <c r="P136" s="942">
        <f t="shared" si="75"/>
        <v>0</v>
      </c>
      <c r="Q136" s="942">
        <f t="shared" si="75"/>
        <v>0</v>
      </c>
      <c r="R136" s="942">
        <f t="shared" si="75"/>
        <v>0</v>
      </c>
      <c r="S136" s="942">
        <f t="shared" si="75"/>
        <v>0</v>
      </c>
      <c r="T136" s="942">
        <f t="shared" si="75"/>
        <v>0</v>
      </c>
      <c r="U136" s="942">
        <f t="shared" si="75"/>
        <v>0</v>
      </c>
      <c r="V136" s="942">
        <f t="shared" si="75"/>
        <v>0</v>
      </c>
      <c r="W136" s="942">
        <f t="shared" si="75"/>
        <v>0</v>
      </c>
      <c r="X136" s="942">
        <f t="shared" si="75"/>
        <v>0</v>
      </c>
      <c r="Y136" s="942">
        <f t="shared" si="75"/>
        <v>0</v>
      </c>
      <c r="Z136" s="942">
        <f t="shared" si="75"/>
        <v>0</v>
      </c>
      <c r="AA136" s="942">
        <f t="shared" si="75"/>
        <v>0</v>
      </c>
      <c r="AB136" s="942">
        <f t="shared" si="75"/>
        <v>0</v>
      </c>
      <c r="AC136" s="942">
        <f t="shared" si="75"/>
        <v>0</v>
      </c>
      <c r="AD136" s="942">
        <f t="shared" si="75"/>
        <v>0</v>
      </c>
      <c r="AE136" s="942">
        <f t="shared" si="75"/>
        <v>0</v>
      </c>
      <c r="AF136" s="942">
        <f t="shared" si="75"/>
        <v>0</v>
      </c>
      <c r="AG136" s="942">
        <f t="shared" si="75"/>
        <v>0</v>
      </c>
      <c r="AH136" s="942">
        <f t="shared" si="75"/>
        <v>0</v>
      </c>
      <c r="AI136" s="942">
        <f t="shared" si="75"/>
        <v>0</v>
      </c>
      <c r="AJ136" s="942">
        <f t="shared" si="75"/>
        <v>0</v>
      </c>
      <c r="AK136" s="942">
        <f t="shared" si="75"/>
        <v>0</v>
      </c>
      <c r="AL136" s="942">
        <f t="shared" si="75"/>
        <v>0</v>
      </c>
      <c r="AM136" s="943">
        <f t="shared" si="75"/>
        <v>0</v>
      </c>
      <c r="AN136" s="944">
        <f t="shared" si="75"/>
        <v>0</v>
      </c>
      <c r="AO136" s="944">
        <f t="shared" si="75"/>
        <v>0</v>
      </c>
      <c r="AP136" s="944">
        <f t="shared" si="75"/>
        <v>0</v>
      </c>
      <c r="AQ136" s="944">
        <f t="shared" si="75"/>
        <v>0</v>
      </c>
      <c r="AR136" s="944">
        <f t="shared" si="75"/>
        <v>0</v>
      </c>
      <c r="AS136" s="944">
        <f t="shared" si="75"/>
        <v>0</v>
      </c>
      <c r="AT136" s="944">
        <f t="shared" si="75"/>
        <v>0</v>
      </c>
      <c r="AU136" s="944">
        <f t="shared" si="75"/>
        <v>0</v>
      </c>
      <c r="AV136" s="944">
        <f t="shared" si="75"/>
        <v>0</v>
      </c>
      <c r="AW136" s="944">
        <f t="shared" si="75"/>
        <v>0</v>
      </c>
      <c r="AX136" s="269"/>
    </row>
    <row r="137" spans="1:50" hidden="1" outlineLevel="1" x14ac:dyDescent="0.45">
      <c r="A137" s="806" t="s">
        <v>322</v>
      </c>
      <c r="B137" s="283"/>
      <c r="C137" s="942">
        <f t="shared" ref="C137:AW137" si="76">ROUND(INDEX(SP_NGF_NI,0,COLUMN())-INDEX(MO_RIS_NI_NONGAAP_Diluted,0,COLUMN()),6)</f>
        <v>0</v>
      </c>
      <c r="D137" s="942">
        <f t="shared" si="76"/>
        <v>0</v>
      </c>
      <c r="E137" s="942">
        <f t="shared" si="76"/>
        <v>0</v>
      </c>
      <c r="F137" s="942">
        <f t="shared" si="76"/>
        <v>0</v>
      </c>
      <c r="G137" s="942">
        <f t="shared" si="76"/>
        <v>0</v>
      </c>
      <c r="H137" s="942">
        <f t="shared" si="76"/>
        <v>0</v>
      </c>
      <c r="I137" s="942">
        <f t="shared" si="76"/>
        <v>0</v>
      </c>
      <c r="J137" s="942">
        <f t="shared" si="76"/>
        <v>0</v>
      </c>
      <c r="K137" s="942">
        <f t="shared" si="76"/>
        <v>0</v>
      </c>
      <c r="L137" s="942">
        <f t="shared" si="76"/>
        <v>0</v>
      </c>
      <c r="M137" s="942">
        <f t="shared" si="76"/>
        <v>0</v>
      </c>
      <c r="N137" s="942">
        <f t="shared" si="76"/>
        <v>0</v>
      </c>
      <c r="O137" s="942">
        <f t="shared" si="76"/>
        <v>0</v>
      </c>
      <c r="P137" s="942">
        <f t="shared" si="76"/>
        <v>0</v>
      </c>
      <c r="Q137" s="942">
        <f t="shared" si="76"/>
        <v>0</v>
      </c>
      <c r="R137" s="942">
        <f t="shared" si="76"/>
        <v>0</v>
      </c>
      <c r="S137" s="942">
        <f t="shared" si="76"/>
        <v>0</v>
      </c>
      <c r="T137" s="942">
        <f t="shared" si="76"/>
        <v>0</v>
      </c>
      <c r="U137" s="942">
        <f t="shared" si="76"/>
        <v>0</v>
      </c>
      <c r="V137" s="942">
        <f t="shared" si="76"/>
        <v>0</v>
      </c>
      <c r="W137" s="942">
        <f t="shared" si="76"/>
        <v>0</v>
      </c>
      <c r="X137" s="942">
        <f t="shared" si="76"/>
        <v>0</v>
      </c>
      <c r="Y137" s="942">
        <f t="shared" si="76"/>
        <v>0</v>
      </c>
      <c r="Z137" s="942">
        <f t="shared" si="76"/>
        <v>0</v>
      </c>
      <c r="AA137" s="942">
        <f t="shared" si="76"/>
        <v>0</v>
      </c>
      <c r="AB137" s="942">
        <f t="shared" si="76"/>
        <v>0</v>
      </c>
      <c r="AC137" s="942">
        <f t="shared" si="76"/>
        <v>0</v>
      </c>
      <c r="AD137" s="942">
        <f t="shared" si="76"/>
        <v>0</v>
      </c>
      <c r="AE137" s="942">
        <f t="shared" si="76"/>
        <v>0</v>
      </c>
      <c r="AF137" s="942">
        <f t="shared" si="76"/>
        <v>0</v>
      </c>
      <c r="AG137" s="942">
        <f t="shared" si="76"/>
        <v>0</v>
      </c>
      <c r="AH137" s="942">
        <f t="shared" si="76"/>
        <v>0</v>
      </c>
      <c r="AI137" s="942">
        <f t="shared" si="76"/>
        <v>0</v>
      </c>
      <c r="AJ137" s="942">
        <f t="shared" si="76"/>
        <v>0</v>
      </c>
      <c r="AK137" s="942">
        <f t="shared" si="76"/>
        <v>0</v>
      </c>
      <c r="AL137" s="942">
        <f t="shared" si="76"/>
        <v>0</v>
      </c>
      <c r="AM137" s="943">
        <f t="shared" si="76"/>
        <v>0</v>
      </c>
      <c r="AN137" s="944">
        <f t="shared" si="76"/>
        <v>0</v>
      </c>
      <c r="AO137" s="944">
        <f t="shared" si="76"/>
        <v>0</v>
      </c>
      <c r="AP137" s="944">
        <f t="shared" ca="1" si="76"/>
        <v>0</v>
      </c>
      <c r="AQ137" s="944">
        <f t="shared" ca="1" si="76"/>
        <v>0</v>
      </c>
      <c r="AR137" s="944">
        <f t="shared" ca="1" si="76"/>
        <v>0</v>
      </c>
      <c r="AS137" s="944">
        <f t="shared" ca="1" si="76"/>
        <v>0</v>
      </c>
      <c r="AT137" s="944">
        <f t="shared" ca="1" si="76"/>
        <v>0</v>
      </c>
      <c r="AU137" s="944">
        <f t="shared" ca="1" si="76"/>
        <v>0</v>
      </c>
      <c r="AV137" s="944">
        <f t="shared" ca="1" si="76"/>
        <v>0</v>
      </c>
      <c r="AW137" s="944">
        <f t="shared" ca="1" si="76"/>
        <v>0</v>
      </c>
      <c r="AX137" s="269"/>
    </row>
    <row r="138" spans="1:50" hidden="1" outlineLevel="1" x14ac:dyDescent="0.45">
      <c r="A138" s="806" t="s">
        <v>323</v>
      </c>
      <c r="B138" s="283"/>
      <c r="C138" s="942">
        <f t="shared" ref="C138:AW138" si="77">ROUND(INDEX(SP_GF_NI,0,COLUMN())-INDEX(MO_RIS_NI_GAAP_Basic,0,COLUMN()),6)</f>
        <v>0</v>
      </c>
      <c r="D138" s="942">
        <f t="shared" si="77"/>
        <v>0</v>
      </c>
      <c r="E138" s="942">
        <f t="shared" si="77"/>
        <v>0</v>
      </c>
      <c r="F138" s="942">
        <f t="shared" si="77"/>
        <v>0</v>
      </c>
      <c r="G138" s="942">
        <f t="shared" si="77"/>
        <v>0</v>
      </c>
      <c r="H138" s="942">
        <f t="shared" si="77"/>
        <v>0</v>
      </c>
      <c r="I138" s="942">
        <f t="shared" si="77"/>
        <v>0</v>
      </c>
      <c r="J138" s="942">
        <f t="shared" si="77"/>
        <v>0</v>
      </c>
      <c r="K138" s="942">
        <f t="shared" si="77"/>
        <v>0</v>
      </c>
      <c r="L138" s="942">
        <f t="shared" si="77"/>
        <v>0</v>
      </c>
      <c r="M138" s="942">
        <f t="shared" si="77"/>
        <v>0</v>
      </c>
      <c r="N138" s="942">
        <f t="shared" si="77"/>
        <v>0</v>
      </c>
      <c r="O138" s="942">
        <f t="shared" si="77"/>
        <v>0</v>
      </c>
      <c r="P138" s="942">
        <f t="shared" si="77"/>
        <v>0</v>
      </c>
      <c r="Q138" s="942">
        <f t="shared" si="77"/>
        <v>0</v>
      </c>
      <c r="R138" s="942">
        <f t="shared" si="77"/>
        <v>0</v>
      </c>
      <c r="S138" s="942">
        <f t="shared" si="77"/>
        <v>0</v>
      </c>
      <c r="T138" s="942">
        <f t="shared" si="77"/>
        <v>0</v>
      </c>
      <c r="U138" s="942">
        <f t="shared" si="77"/>
        <v>0</v>
      </c>
      <c r="V138" s="942">
        <f t="shared" si="77"/>
        <v>0</v>
      </c>
      <c r="W138" s="942">
        <f t="shared" si="77"/>
        <v>0</v>
      </c>
      <c r="X138" s="942">
        <f t="shared" si="77"/>
        <v>0</v>
      </c>
      <c r="Y138" s="942">
        <f t="shared" si="77"/>
        <v>0</v>
      </c>
      <c r="Z138" s="942">
        <f t="shared" si="77"/>
        <v>0</v>
      </c>
      <c r="AA138" s="942">
        <f t="shared" si="77"/>
        <v>0</v>
      </c>
      <c r="AB138" s="942">
        <f t="shared" si="77"/>
        <v>0</v>
      </c>
      <c r="AC138" s="942">
        <f t="shared" si="77"/>
        <v>0</v>
      </c>
      <c r="AD138" s="942">
        <f t="shared" si="77"/>
        <v>0</v>
      </c>
      <c r="AE138" s="942">
        <f t="shared" si="77"/>
        <v>0</v>
      </c>
      <c r="AF138" s="942">
        <f t="shared" si="77"/>
        <v>0</v>
      </c>
      <c r="AG138" s="942">
        <f t="shared" si="77"/>
        <v>0</v>
      </c>
      <c r="AH138" s="942">
        <f t="shared" si="77"/>
        <v>0</v>
      </c>
      <c r="AI138" s="942">
        <f t="shared" si="77"/>
        <v>0</v>
      </c>
      <c r="AJ138" s="942">
        <f t="shared" si="77"/>
        <v>0</v>
      </c>
      <c r="AK138" s="942">
        <f t="shared" si="77"/>
        <v>0</v>
      </c>
      <c r="AL138" s="942">
        <f t="shared" si="77"/>
        <v>0</v>
      </c>
      <c r="AM138" s="943">
        <f t="shared" si="77"/>
        <v>0</v>
      </c>
      <c r="AN138" s="944">
        <f t="shared" si="77"/>
        <v>0</v>
      </c>
      <c r="AO138" s="944">
        <f t="shared" si="77"/>
        <v>0</v>
      </c>
      <c r="AP138" s="944">
        <f t="shared" ca="1" si="77"/>
        <v>0</v>
      </c>
      <c r="AQ138" s="944">
        <f t="shared" ca="1" si="77"/>
        <v>0</v>
      </c>
      <c r="AR138" s="944">
        <f t="shared" ca="1" si="77"/>
        <v>0</v>
      </c>
      <c r="AS138" s="944">
        <f t="shared" ca="1" si="77"/>
        <v>0</v>
      </c>
      <c r="AT138" s="944">
        <f t="shared" ca="1" si="77"/>
        <v>0</v>
      </c>
      <c r="AU138" s="944">
        <f t="shared" ca="1" si="77"/>
        <v>0</v>
      </c>
      <c r="AV138" s="944">
        <f t="shared" ca="1" si="77"/>
        <v>0</v>
      </c>
      <c r="AW138" s="944">
        <f t="shared" ca="1" si="77"/>
        <v>0</v>
      </c>
      <c r="AX138" s="269"/>
    </row>
    <row r="139" spans="1:50" hidden="1" outlineLevel="1" x14ac:dyDescent="0.45">
      <c r="A139" s="806" t="s">
        <v>324</v>
      </c>
      <c r="B139" s="283"/>
      <c r="C139" s="942">
        <f t="shared" ref="C139:AW139" ca="1" si="78">ROUND(INDEX(SP_CFA_NetChange,0,COLUMN())-INDEX(MO_CFS_NetChange,0,COLUMN()),6)</f>
        <v>0</v>
      </c>
      <c r="D139" s="942">
        <f t="shared" ca="1" si="78"/>
        <v>0</v>
      </c>
      <c r="E139" s="942">
        <f t="shared" ca="1" si="78"/>
        <v>0</v>
      </c>
      <c r="F139" s="942">
        <f t="shared" ca="1" si="78"/>
        <v>0</v>
      </c>
      <c r="G139" s="942">
        <f t="shared" ca="1" si="78"/>
        <v>0</v>
      </c>
      <c r="H139" s="942">
        <f t="shared" ca="1" si="78"/>
        <v>0</v>
      </c>
      <c r="I139" s="942">
        <f t="shared" ca="1" si="78"/>
        <v>0</v>
      </c>
      <c r="J139" s="942">
        <f t="shared" ca="1" si="78"/>
        <v>0</v>
      </c>
      <c r="K139" s="942">
        <f t="shared" ca="1" si="78"/>
        <v>0</v>
      </c>
      <c r="L139" s="942">
        <f t="shared" ca="1" si="78"/>
        <v>0</v>
      </c>
      <c r="M139" s="942">
        <f t="shared" ca="1" si="78"/>
        <v>0</v>
      </c>
      <c r="N139" s="942">
        <f t="shared" ca="1" si="78"/>
        <v>0</v>
      </c>
      <c r="O139" s="942">
        <f t="shared" ca="1" si="78"/>
        <v>0</v>
      </c>
      <c r="P139" s="942">
        <f t="shared" ca="1" si="78"/>
        <v>0</v>
      </c>
      <c r="Q139" s="942">
        <f t="shared" ca="1" si="78"/>
        <v>0</v>
      </c>
      <c r="R139" s="942">
        <f t="shared" ca="1" si="78"/>
        <v>0</v>
      </c>
      <c r="S139" s="942">
        <f t="shared" ca="1" si="78"/>
        <v>0</v>
      </c>
      <c r="T139" s="942">
        <f t="shared" ca="1" si="78"/>
        <v>0</v>
      </c>
      <c r="U139" s="942">
        <f t="shared" ca="1" si="78"/>
        <v>0</v>
      </c>
      <c r="V139" s="942">
        <f t="shared" ca="1" si="78"/>
        <v>0</v>
      </c>
      <c r="W139" s="942">
        <f t="shared" ca="1" si="78"/>
        <v>0</v>
      </c>
      <c r="X139" s="942">
        <f t="shared" ca="1" si="78"/>
        <v>0</v>
      </c>
      <c r="Y139" s="942">
        <f t="shared" ca="1" si="78"/>
        <v>0</v>
      </c>
      <c r="Z139" s="942">
        <f t="shared" ca="1" si="78"/>
        <v>0</v>
      </c>
      <c r="AA139" s="942">
        <f t="shared" ca="1" si="78"/>
        <v>0</v>
      </c>
      <c r="AB139" s="942">
        <f t="shared" ca="1" si="78"/>
        <v>0</v>
      </c>
      <c r="AC139" s="942">
        <f t="shared" ca="1" si="78"/>
        <v>0</v>
      </c>
      <c r="AD139" s="942">
        <f t="shared" ca="1" si="78"/>
        <v>0</v>
      </c>
      <c r="AE139" s="942">
        <f t="shared" ca="1" si="78"/>
        <v>0</v>
      </c>
      <c r="AF139" s="942">
        <f t="shared" ca="1" si="78"/>
        <v>0</v>
      </c>
      <c r="AG139" s="942">
        <f t="shared" ca="1" si="78"/>
        <v>0</v>
      </c>
      <c r="AH139" s="942">
        <f t="shared" ca="1" si="78"/>
        <v>0</v>
      </c>
      <c r="AI139" s="942">
        <f t="shared" ca="1" si="78"/>
        <v>0</v>
      </c>
      <c r="AJ139" s="942">
        <f t="shared" ca="1" si="78"/>
        <v>0</v>
      </c>
      <c r="AK139" s="942">
        <f t="shared" ca="1" si="78"/>
        <v>0</v>
      </c>
      <c r="AL139" s="942">
        <f t="shared" ca="1" si="78"/>
        <v>0</v>
      </c>
      <c r="AM139" s="943">
        <f t="shared" ca="1" si="78"/>
        <v>0</v>
      </c>
      <c r="AN139" s="944">
        <f t="shared" ca="1" si="78"/>
        <v>0</v>
      </c>
      <c r="AO139" s="944">
        <f t="shared" ca="1" si="78"/>
        <v>0</v>
      </c>
      <c r="AP139" s="944">
        <f t="shared" ca="1" si="78"/>
        <v>0</v>
      </c>
      <c r="AQ139" s="944">
        <f t="shared" ca="1" si="78"/>
        <v>0</v>
      </c>
      <c r="AR139" s="944">
        <f t="shared" ca="1" si="78"/>
        <v>0</v>
      </c>
      <c r="AS139" s="944">
        <f t="shared" ca="1" si="78"/>
        <v>0</v>
      </c>
      <c r="AT139" s="944">
        <f t="shared" ca="1" si="78"/>
        <v>0</v>
      </c>
      <c r="AU139" s="944">
        <f t="shared" ca="1" si="78"/>
        <v>0</v>
      </c>
      <c r="AV139" s="944">
        <f t="shared" ca="1" si="78"/>
        <v>0</v>
      </c>
      <c r="AW139" s="944">
        <f t="shared" ca="1" si="78"/>
        <v>0</v>
      </c>
      <c r="AX139" s="269"/>
    </row>
    <row r="140" spans="1:50" collapsed="1" x14ac:dyDescent="0.45">
      <c r="A140" s="269"/>
      <c r="B140" s="269"/>
      <c r="C140" s="269"/>
      <c r="D140" s="269"/>
      <c r="E140" s="269"/>
      <c r="F140" s="269"/>
      <c r="G140" s="269"/>
      <c r="H140" s="269"/>
      <c r="I140" s="269"/>
      <c r="J140" s="269"/>
      <c r="K140" s="269"/>
      <c r="L140" s="269"/>
      <c r="M140" s="269"/>
      <c r="N140" s="269"/>
      <c r="O140" s="269"/>
      <c r="P140" s="269"/>
      <c r="Q140" s="269"/>
      <c r="R140" s="269"/>
      <c r="S140" s="269"/>
      <c r="T140" s="269"/>
      <c r="U140" s="269"/>
      <c r="V140" s="269"/>
      <c r="W140" s="269"/>
      <c r="X140" s="269"/>
      <c r="Y140" s="269"/>
      <c r="Z140" s="269"/>
      <c r="AA140" s="269"/>
      <c r="AB140" s="269"/>
      <c r="AC140" s="269"/>
      <c r="AD140" s="269"/>
      <c r="AE140" s="269"/>
      <c r="AF140" s="269"/>
      <c r="AG140" s="269"/>
      <c r="AH140" s="269"/>
      <c r="AI140" s="269"/>
      <c r="AJ140" s="269"/>
      <c r="AK140" s="488"/>
      <c r="AL140" s="488"/>
      <c r="AM140" s="488"/>
      <c r="AN140" s="269"/>
      <c r="AO140" s="269"/>
      <c r="AP140" s="269"/>
      <c r="AQ140" s="269"/>
      <c r="AR140" s="269"/>
      <c r="AS140" s="269"/>
      <c r="AT140" s="269"/>
      <c r="AU140" s="269"/>
      <c r="AV140" s="269"/>
      <c r="AW140" s="269"/>
      <c r="AX140" s="269"/>
    </row>
  </sheetData>
  <conditionalFormatting sqref="C136:AE139 AO136:AO139">
    <cfRule type="cellIs" dxfId="47" priority="51" operator="equal">
      <formula>0</formula>
    </cfRule>
    <cfRule type="cellIs" dxfId="46" priority="52" operator="notEqual">
      <formula>0</formula>
    </cfRule>
  </conditionalFormatting>
  <conditionalFormatting sqref="C135:AE135 AO135">
    <cfRule type="cellIs" dxfId="45" priority="49" operator="equal">
      <formula>0</formula>
    </cfRule>
    <cfRule type="cellIs" dxfId="44" priority="50" operator="notEqual">
      <formula>0</formula>
    </cfRule>
  </conditionalFormatting>
  <conditionalFormatting sqref="AV136:AV139">
    <cfRule type="cellIs" dxfId="43" priority="43" operator="equal">
      <formula>0</formula>
    </cfRule>
    <cfRule type="cellIs" dxfId="42" priority="44" operator="notEqual">
      <formula>0</formula>
    </cfRule>
  </conditionalFormatting>
  <conditionalFormatting sqref="AV135">
    <cfRule type="cellIs" dxfId="41" priority="41" operator="equal">
      <formula>0</formula>
    </cfRule>
    <cfRule type="cellIs" dxfId="40" priority="42" operator="notEqual">
      <formula>0</formula>
    </cfRule>
  </conditionalFormatting>
  <conditionalFormatting sqref="AF136:AF139">
    <cfRule type="cellIs" dxfId="39" priority="31" operator="equal">
      <formula>0</formula>
    </cfRule>
    <cfRule type="cellIs" dxfId="38" priority="32" operator="notEqual">
      <formula>0</formula>
    </cfRule>
  </conditionalFormatting>
  <conditionalFormatting sqref="AF135">
    <cfRule type="cellIs" dxfId="37" priority="29" operator="equal">
      <formula>0</formula>
    </cfRule>
    <cfRule type="cellIs" dxfId="36" priority="30" operator="notEqual">
      <formula>0</formula>
    </cfRule>
  </conditionalFormatting>
  <conditionalFormatting sqref="AM136:AN139">
    <cfRule type="cellIs" dxfId="35" priority="39" operator="equal">
      <formula>0</formula>
    </cfRule>
    <cfRule type="cellIs" dxfId="34" priority="40" operator="notEqual">
      <formula>0</formula>
    </cfRule>
  </conditionalFormatting>
  <conditionalFormatting sqref="AM135:AN135">
    <cfRule type="cellIs" dxfId="33" priority="37" operator="equal">
      <formula>0</formula>
    </cfRule>
    <cfRule type="cellIs" dxfId="32" priority="38" operator="notEqual">
      <formula>0</formula>
    </cfRule>
  </conditionalFormatting>
  <conditionalFormatting sqref="AW136:AW139">
    <cfRule type="cellIs" dxfId="31" priority="35" operator="equal">
      <formula>0</formula>
    </cfRule>
    <cfRule type="cellIs" dxfId="30" priority="36" operator="notEqual">
      <formula>0</formula>
    </cfRule>
  </conditionalFormatting>
  <conditionalFormatting sqref="AW135">
    <cfRule type="cellIs" dxfId="29" priority="33" operator="equal">
      <formula>0</formula>
    </cfRule>
    <cfRule type="cellIs" dxfId="28" priority="34" operator="notEqual">
      <formula>0</formula>
    </cfRule>
  </conditionalFormatting>
  <conditionalFormatting sqref="AG136:AG139 AL136:AL139">
    <cfRule type="cellIs" dxfId="27" priority="27" operator="equal">
      <formula>0</formula>
    </cfRule>
    <cfRule type="cellIs" dxfId="26" priority="28" operator="notEqual">
      <formula>0</formula>
    </cfRule>
  </conditionalFormatting>
  <conditionalFormatting sqref="AG135 AL135">
    <cfRule type="cellIs" dxfId="25" priority="25" operator="equal">
      <formula>0</formula>
    </cfRule>
    <cfRule type="cellIs" dxfId="24" priority="26" operator="notEqual">
      <formula>0</formula>
    </cfRule>
  </conditionalFormatting>
  <conditionalFormatting sqref="AH136:AH139">
    <cfRule type="cellIs" dxfId="23" priority="23" operator="equal">
      <formula>0</formula>
    </cfRule>
    <cfRule type="cellIs" dxfId="22" priority="24" operator="notEqual">
      <formula>0</formula>
    </cfRule>
  </conditionalFormatting>
  <conditionalFormatting sqref="AH135">
    <cfRule type="cellIs" dxfId="21" priority="21" operator="equal">
      <formula>0</formula>
    </cfRule>
    <cfRule type="cellIs" dxfId="20" priority="22" operator="notEqual">
      <formula>0</formula>
    </cfRule>
  </conditionalFormatting>
  <conditionalFormatting sqref="AI136:AJ139">
    <cfRule type="cellIs" dxfId="19" priority="19" operator="equal">
      <formula>0</formula>
    </cfRule>
    <cfRule type="cellIs" dxfId="18" priority="20" operator="notEqual">
      <formula>0</formula>
    </cfRule>
  </conditionalFormatting>
  <conditionalFormatting sqref="AI135:AJ135">
    <cfRule type="cellIs" dxfId="17" priority="17" operator="equal">
      <formula>0</formula>
    </cfRule>
    <cfRule type="cellIs" dxfId="16" priority="18" operator="notEqual">
      <formula>0</formula>
    </cfRule>
  </conditionalFormatting>
  <conditionalFormatting sqref="AT136:AT139">
    <cfRule type="cellIs" dxfId="15" priority="15" operator="equal">
      <formula>0</formula>
    </cfRule>
    <cfRule type="cellIs" dxfId="14" priority="16" operator="notEqual">
      <formula>0</formula>
    </cfRule>
  </conditionalFormatting>
  <conditionalFormatting sqref="AT135">
    <cfRule type="cellIs" dxfId="13" priority="13" operator="equal">
      <formula>0</formula>
    </cfRule>
    <cfRule type="cellIs" dxfId="12" priority="14" operator="notEqual">
      <formula>0</formula>
    </cfRule>
  </conditionalFormatting>
  <conditionalFormatting sqref="AP136:AS139">
    <cfRule type="cellIs" dxfId="11" priority="11" operator="equal">
      <formula>0</formula>
    </cfRule>
    <cfRule type="cellIs" dxfId="10" priority="12" operator="notEqual">
      <formula>0</formula>
    </cfRule>
  </conditionalFormatting>
  <conditionalFormatting sqref="AP135:AS135">
    <cfRule type="cellIs" dxfId="9" priority="9" operator="equal">
      <formula>0</formula>
    </cfRule>
    <cfRule type="cellIs" dxfId="8" priority="10" operator="notEqual">
      <formula>0</formula>
    </cfRule>
  </conditionalFormatting>
  <conditionalFormatting sqref="AU136:AU139">
    <cfRule type="cellIs" dxfId="7" priority="7" operator="equal">
      <formula>0</formula>
    </cfRule>
    <cfRule type="cellIs" dxfId="6" priority="8" operator="notEqual">
      <formula>0</formula>
    </cfRule>
  </conditionalFormatting>
  <conditionalFormatting sqref="AU135">
    <cfRule type="cellIs" dxfId="5" priority="5" operator="equal">
      <formula>0</formula>
    </cfRule>
    <cfRule type="cellIs" dxfId="4" priority="6" operator="notEqual">
      <formula>0</formula>
    </cfRule>
  </conditionalFormatting>
  <conditionalFormatting sqref="AK136:AK139">
    <cfRule type="cellIs" dxfId="3" priority="3" operator="equal">
      <formula>0</formula>
    </cfRule>
    <cfRule type="cellIs" dxfId="2" priority="4" operator="notEqual">
      <formula>0</formula>
    </cfRule>
  </conditionalFormatting>
  <conditionalFormatting sqref="AK135">
    <cfRule type="cellIs" dxfId="1" priority="1" operator="equal">
      <formula>0</formula>
    </cfRule>
    <cfRule type="cellIs" dxfId="0" priority="2" operator="notEqual">
      <formula>0</formula>
    </cfRule>
  </conditionalFormatting>
  <dataValidations count="1">
    <dataValidation type="list" allowBlank="1" showInputMessage="1" showErrorMessage="1" sqref="B4" xr:uid="{00000000-0002-0000-0300-000000000000}">
      <formula1>OFFSET(tb_ValuationToggle,1,0,3,1)</formula1>
    </dataValidation>
  </dataValidations>
  <pageMargins left="0.7" right="0.7" top="0.75" bottom="0.75" header="0.3" footer="0.3"/>
  <pageSetup scale="3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1"/>
  <dimension ref="A1:J48"/>
  <sheetViews>
    <sheetView showGridLines="0" zoomScaleNormal="100" workbookViewId="0"/>
  </sheetViews>
  <sheetFormatPr defaultColWidth="8.86328125" defaultRowHeight="14.25" x14ac:dyDescent="0.45"/>
  <cols>
    <col min="1" max="1" width="4.3984375" style="1" customWidth="1"/>
    <col min="2" max="2" width="9.86328125" style="1" customWidth="1"/>
    <col min="3" max="3" width="15.73046875" style="1" customWidth="1"/>
    <col min="4" max="4" width="20.73046875" style="1" customWidth="1"/>
    <col min="5" max="5" width="30.73046875" style="1" customWidth="1"/>
    <col min="6" max="6" width="20.73046875" style="1"/>
    <col min="7" max="7" width="23.73046875" style="1" customWidth="1"/>
    <col min="8" max="8" width="45.73046875" style="1" customWidth="1"/>
    <col min="9" max="9" width="7.86328125" style="1" customWidth="1"/>
    <col min="10" max="13" width="8.86328125" style="1" customWidth="1"/>
    <col min="14" max="16384" width="8.86328125" style="1"/>
  </cols>
  <sheetData>
    <row r="1" spans="1:10" x14ac:dyDescent="0.45">
      <c r="A1" s="8"/>
      <c r="B1" s="8"/>
      <c r="C1" s="8"/>
      <c r="D1" s="8"/>
      <c r="E1" s="8"/>
      <c r="F1" s="8"/>
      <c r="G1" s="8"/>
      <c r="H1" s="8"/>
    </row>
    <row r="2" spans="1:10" x14ac:dyDescent="0.45">
      <c r="A2" s="8"/>
      <c r="B2" s="9"/>
      <c r="C2" s="9"/>
      <c r="D2" s="9"/>
      <c r="E2" s="9"/>
      <c r="F2" s="9"/>
      <c r="G2" s="9"/>
      <c r="H2" s="9"/>
      <c r="I2" s="9"/>
    </row>
    <row r="3" spans="1:10" x14ac:dyDescent="0.45">
      <c r="A3" s="8"/>
      <c r="B3" s="9"/>
      <c r="C3" s="9"/>
      <c r="D3" s="9"/>
      <c r="E3" s="9"/>
      <c r="F3" s="9"/>
      <c r="G3" s="9"/>
      <c r="H3" s="9"/>
      <c r="I3" s="9"/>
    </row>
    <row r="4" spans="1:10" x14ac:dyDescent="0.45">
      <c r="A4" s="8"/>
      <c r="B4" s="9"/>
      <c r="C4" s="9"/>
      <c r="D4" s="9"/>
      <c r="E4" s="9"/>
      <c r="F4" s="9"/>
      <c r="G4" s="9"/>
      <c r="H4" s="9"/>
      <c r="I4" s="9"/>
    </row>
    <row r="5" spans="1:10" x14ac:dyDescent="0.45">
      <c r="A5" s="8"/>
      <c r="B5" s="9"/>
      <c r="C5" s="9"/>
      <c r="D5" s="9"/>
      <c r="E5" s="9"/>
      <c r="F5" s="9"/>
      <c r="G5" s="9"/>
      <c r="H5" s="9"/>
      <c r="I5" s="9"/>
    </row>
    <row r="6" spans="1:10" x14ac:dyDescent="0.45">
      <c r="A6" s="8"/>
      <c r="B6" s="9"/>
      <c r="C6" s="9"/>
      <c r="D6" s="9"/>
      <c r="E6" s="9"/>
      <c r="F6" s="9"/>
      <c r="G6" s="9"/>
      <c r="H6" s="9"/>
      <c r="I6" s="9"/>
    </row>
    <row r="7" spans="1:10" ht="18" x14ac:dyDescent="0.45">
      <c r="A7" s="8"/>
      <c r="B7" s="9"/>
      <c r="C7" s="9"/>
      <c r="D7" s="9"/>
      <c r="E7" s="480">
        <f>MO.MRFPColumnNumber</f>
        <v>39</v>
      </c>
      <c r="F7" s="17" t="str">
        <f>MO.MRFP</f>
        <v>Q3-2020</v>
      </c>
      <c r="G7" s="548"/>
      <c r="H7" s="119" t="str">
        <f>AA.CSIN</f>
        <v>T2HXNG0168</v>
      </c>
      <c r="I7" s="16"/>
      <c r="J7" s="22"/>
    </row>
    <row r="8" spans="1:10" x14ac:dyDescent="0.45">
      <c r="A8" s="8"/>
      <c r="B8" s="9"/>
      <c r="C8" s="9"/>
      <c r="D8" s="9"/>
      <c r="E8" s="9"/>
      <c r="F8" s="9"/>
      <c r="G8" s="9"/>
      <c r="H8" s="213" t="str">
        <f>+AA.ModelVersion</f>
        <v>Q3-2020.30</v>
      </c>
      <c r="I8" s="9"/>
    </row>
    <row r="9" spans="1:10" x14ac:dyDescent="0.45">
      <c r="A9" s="8"/>
      <c r="B9" s="9"/>
      <c r="C9" s="9"/>
      <c r="D9" s="9"/>
      <c r="E9" s="9"/>
      <c r="F9" s="9"/>
      <c r="G9" s="9"/>
      <c r="H9" s="9"/>
      <c r="I9" s="9"/>
    </row>
    <row r="10" spans="1:10" x14ac:dyDescent="0.45">
      <c r="A10" s="8"/>
      <c r="B10" s="9"/>
      <c r="C10" s="547" t="s">
        <v>325</v>
      </c>
      <c r="D10" s="547" t="s">
        <v>326</v>
      </c>
      <c r="E10" s="547" t="s">
        <v>327</v>
      </c>
      <c r="F10" s="547" t="s">
        <v>370</v>
      </c>
      <c r="G10" s="547" t="s">
        <v>328</v>
      </c>
      <c r="H10" s="547" t="s">
        <v>329</v>
      </c>
      <c r="I10" s="9"/>
    </row>
    <row r="11" spans="1:10" x14ac:dyDescent="0.45">
      <c r="A11" s="8"/>
      <c r="B11" s="9"/>
      <c r="C11" s="183">
        <v>43854</v>
      </c>
      <c r="D11" s="184" t="s">
        <v>337</v>
      </c>
      <c r="E11" s="546" t="s">
        <v>371</v>
      </c>
      <c r="F11" s="546" t="s">
        <v>374</v>
      </c>
      <c r="G11" s="549"/>
      <c r="H11" s="619" t="s">
        <v>332</v>
      </c>
      <c r="I11" s="9"/>
    </row>
    <row r="12" spans="1:10" x14ac:dyDescent="0.45">
      <c r="A12" s="8"/>
      <c r="B12" s="9"/>
      <c r="C12" s="183">
        <v>43762</v>
      </c>
      <c r="D12" s="184" t="s">
        <v>392</v>
      </c>
      <c r="E12" s="546" t="s">
        <v>371</v>
      </c>
      <c r="F12" s="546" t="s">
        <v>367</v>
      </c>
      <c r="G12" s="549"/>
      <c r="H12" s="186" t="s">
        <v>332</v>
      </c>
      <c r="I12" s="9"/>
    </row>
    <row r="13" spans="1:10" x14ac:dyDescent="0.45">
      <c r="A13" s="8"/>
      <c r="B13" s="9"/>
      <c r="C13" s="301">
        <v>43671</v>
      </c>
      <c r="D13" s="300" t="s">
        <v>362</v>
      </c>
      <c r="E13" s="321" t="s">
        <v>371</v>
      </c>
      <c r="F13" s="321" t="s">
        <v>363</v>
      </c>
      <c r="G13" s="550"/>
      <c r="H13" s="364" t="s">
        <v>332</v>
      </c>
      <c r="I13" s="9"/>
    </row>
    <row r="14" spans="1:10" x14ac:dyDescent="0.45">
      <c r="A14" s="8"/>
      <c r="B14" s="9"/>
      <c r="C14" s="322">
        <v>43614</v>
      </c>
      <c r="D14" s="323" t="s">
        <v>391</v>
      </c>
      <c r="E14" s="363" t="s">
        <v>372</v>
      </c>
      <c r="F14" s="363" t="s">
        <v>270</v>
      </c>
      <c r="G14" s="551"/>
      <c r="H14" s="364" t="s">
        <v>332</v>
      </c>
      <c r="I14" s="9"/>
    </row>
    <row r="15" spans="1:10" x14ac:dyDescent="0.45">
      <c r="A15" s="8"/>
      <c r="B15" s="9"/>
      <c r="C15" s="322">
        <v>43489</v>
      </c>
      <c r="D15" s="323" t="s">
        <v>330</v>
      </c>
      <c r="E15" s="363" t="s">
        <v>371</v>
      </c>
      <c r="F15" s="363" t="s">
        <v>331</v>
      </c>
      <c r="G15" s="551"/>
      <c r="H15" s="364" t="s">
        <v>332</v>
      </c>
      <c r="I15" s="9"/>
    </row>
    <row r="16" spans="1:10" x14ac:dyDescent="0.45">
      <c r="A16" s="8"/>
      <c r="B16" s="9"/>
      <c r="C16" s="322">
        <v>43404</v>
      </c>
      <c r="D16" s="323" t="s">
        <v>333</v>
      </c>
      <c r="E16" s="363" t="s">
        <v>371</v>
      </c>
      <c r="F16" s="363" t="s">
        <v>334</v>
      </c>
      <c r="G16" s="551"/>
      <c r="H16" s="325" t="s">
        <v>332</v>
      </c>
      <c r="I16" s="9"/>
    </row>
    <row r="17" spans="1:9" x14ac:dyDescent="0.45">
      <c r="A17" s="8"/>
      <c r="B17" s="9"/>
      <c r="C17" s="322">
        <v>43325</v>
      </c>
      <c r="D17" s="323" t="s">
        <v>335</v>
      </c>
      <c r="E17" s="324" t="s">
        <v>371</v>
      </c>
      <c r="F17" s="324" t="s">
        <v>336</v>
      </c>
      <c r="G17" s="551"/>
      <c r="H17" s="325" t="s">
        <v>332</v>
      </c>
      <c r="I17" s="9"/>
    </row>
    <row r="18" spans="1:9" x14ac:dyDescent="0.45">
      <c r="A18" s="8"/>
      <c r="B18" s="9"/>
      <c r="C18" s="296">
        <v>43248</v>
      </c>
      <c r="D18" s="297" t="s">
        <v>337</v>
      </c>
      <c r="E18" s="298" t="s">
        <v>372</v>
      </c>
      <c r="F18" s="298" t="s">
        <v>273</v>
      </c>
      <c r="G18" s="552"/>
      <c r="H18" s="299" t="s">
        <v>332</v>
      </c>
      <c r="I18" s="9"/>
    </row>
    <row r="19" spans="1:9" x14ac:dyDescent="0.45">
      <c r="A19" s="8"/>
      <c r="B19" s="9"/>
      <c r="C19" s="183">
        <v>43129</v>
      </c>
      <c r="D19" s="184" t="s">
        <v>338</v>
      </c>
      <c r="E19" s="185" t="s">
        <v>371</v>
      </c>
      <c r="F19" s="185" t="s">
        <v>339</v>
      </c>
      <c r="G19" s="549"/>
      <c r="H19" s="186" t="s">
        <v>332</v>
      </c>
      <c r="I19" s="9"/>
    </row>
    <row r="20" spans="1:9" x14ac:dyDescent="0.45">
      <c r="A20" s="8"/>
      <c r="B20" s="9"/>
      <c r="C20" s="183">
        <v>43034</v>
      </c>
      <c r="D20" s="184" t="s">
        <v>340</v>
      </c>
      <c r="E20" s="185" t="s">
        <v>371</v>
      </c>
      <c r="F20" s="185" t="s">
        <v>341</v>
      </c>
      <c r="G20" s="549"/>
      <c r="H20" s="186" t="s">
        <v>332</v>
      </c>
      <c r="I20" s="9"/>
    </row>
    <row r="21" spans="1:9" x14ac:dyDescent="0.45">
      <c r="A21" s="8"/>
      <c r="B21" s="9"/>
      <c r="C21" s="21">
        <v>42948</v>
      </c>
      <c r="D21" s="20" t="s">
        <v>342</v>
      </c>
      <c r="E21" s="19" t="s">
        <v>371</v>
      </c>
      <c r="F21" s="19" t="s">
        <v>343</v>
      </c>
      <c r="G21" s="549"/>
      <c r="H21" s="103" t="s">
        <v>332</v>
      </c>
      <c r="I21" s="9"/>
    </row>
    <row r="22" spans="1:9" x14ac:dyDescent="0.45">
      <c r="A22" s="8"/>
      <c r="B22" s="9"/>
      <c r="C22" s="21">
        <v>42878</v>
      </c>
      <c r="D22" s="20" t="s">
        <v>344</v>
      </c>
      <c r="E22" s="19" t="s">
        <v>372</v>
      </c>
      <c r="F22" s="19" t="s">
        <v>345</v>
      </c>
      <c r="G22" s="549"/>
      <c r="H22" s="103" t="s">
        <v>332</v>
      </c>
      <c r="I22" s="9"/>
    </row>
    <row r="23" spans="1:9" x14ac:dyDescent="0.45">
      <c r="A23" s="8"/>
      <c r="B23" s="9"/>
      <c r="C23" s="21">
        <v>42761</v>
      </c>
      <c r="D23" s="20" t="s">
        <v>393</v>
      </c>
      <c r="E23" s="19" t="s">
        <v>371</v>
      </c>
      <c r="F23" s="19" t="s">
        <v>346</v>
      </c>
      <c r="G23" s="549"/>
      <c r="H23" s="103" t="s">
        <v>332</v>
      </c>
      <c r="I23" s="9"/>
    </row>
    <row r="24" spans="1:9" x14ac:dyDescent="0.45">
      <c r="A24" s="8"/>
      <c r="B24" s="9"/>
      <c r="C24" s="21">
        <v>42674</v>
      </c>
      <c r="D24" s="20" t="s">
        <v>347</v>
      </c>
      <c r="E24" s="19" t="s">
        <v>371</v>
      </c>
      <c r="F24" s="19" t="s">
        <v>348</v>
      </c>
      <c r="G24" s="549"/>
      <c r="H24" s="103" t="s">
        <v>332</v>
      </c>
      <c r="I24" s="9"/>
    </row>
    <row r="25" spans="1:9" x14ac:dyDescent="0.45">
      <c r="A25" s="8"/>
      <c r="B25" s="9"/>
      <c r="C25" s="21">
        <v>42598</v>
      </c>
      <c r="D25" s="20" t="s">
        <v>349</v>
      </c>
      <c r="E25" s="19" t="s">
        <v>350</v>
      </c>
      <c r="F25" s="19" t="s">
        <v>373</v>
      </c>
      <c r="G25" s="549"/>
      <c r="H25" s="103"/>
      <c r="I25" s="9"/>
    </row>
    <row r="26" spans="1:9" x14ac:dyDescent="0.45">
      <c r="A26" s="8"/>
      <c r="B26" s="9"/>
      <c r="C26" s="9"/>
      <c r="D26" s="9"/>
      <c r="E26" s="9"/>
      <c r="F26" s="9"/>
      <c r="G26" s="9"/>
      <c r="H26" s="9"/>
      <c r="I26" s="9"/>
    </row>
    <row r="27" spans="1:9" x14ac:dyDescent="0.45">
      <c r="A27" s="8"/>
      <c r="B27" s="9"/>
      <c r="C27" s="9"/>
      <c r="D27" s="9"/>
      <c r="E27" s="9"/>
      <c r="F27" s="9"/>
      <c r="G27" s="9"/>
      <c r="H27" s="9"/>
      <c r="I27" s="9"/>
    </row>
    <row r="28" spans="1:9" x14ac:dyDescent="0.45">
      <c r="A28" s="8"/>
      <c r="B28" s="9"/>
      <c r="C28" s="9"/>
      <c r="D28" s="9"/>
      <c r="E28" s="9"/>
      <c r="F28" s="9"/>
      <c r="G28" s="9"/>
      <c r="H28" s="9"/>
      <c r="I28" s="9"/>
    </row>
    <row r="29" spans="1:9" x14ac:dyDescent="0.45">
      <c r="A29" s="8"/>
      <c r="B29" s="8"/>
      <c r="C29" s="8"/>
      <c r="D29" s="8"/>
      <c r="E29" s="8"/>
      <c r="F29" s="8"/>
      <c r="G29" s="8"/>
      <c r="H29" s="8"/>
      <c r="I29" s="8"/>
    </row>
    <row r="30" spans="1:9" x14ac:dyDescent="0.45">
      <c r="A30" s="8"/>
      <c r="B30" s="8"/>
      <c r="C30" s="8"/>
      <c r="D30" s="8"/>
      <c r="E30" s="8"/>
      <c r="F30" s="8"/>
      <c r="G30" s="8"/>
      <c r="H30" s="8"/>
    </row>
    <row r="31" spans="1:9" x14ac:dyDescent="0.45">
      <c r="A31" s="8"/>
      <c r="B31" s="8"/>
      <c r="C31" s="8"/>
      <c r="D31" s="8"/>
      <c r="E31" s="8"/>
      <c r="F31" s="8"/>
      <c r="G31" s="8"/>
      <c r="H31" s="8"/>
    </row>
    <row r="32" spans="1:9" x14ac:dyDescent="0.45">
      <c r="A32" s="8"/>
      <c r="B32" s="8"/>
      <c r="C32" s="8"/>
      <c r="D32" s="8"/>
      <c r="E32" s="8"/>
      <c r="F32" s="8"/>
      <c r="G32" s="8"/>
      <c r="H32" s="8"/>
    </row>
    <row r="33" spans="1:8" x14ac:dyDescent="0.45">
      <c r="A33" s="8"/>
      <c r="B33" s="8"/>
      <c r="C33" s="8"/>
      <c r="D33" s="8"/>
      <c r="E33" s="8"/>
      <c r="F33" s="8"/>
      <c r="G33" s="8"/>
      <c r="H33" s="8"/>
    </row>
    <row r="34" spans="1:8" x14ac:dyDescent="0.45">
      <c r="A34" s="8"/>
      <c r="B34" s="8"/>
      <c r="C34" s="8"/>
      <c r="D34" s="8"/>
      <c r="E34" s="8"/>
      <c r="F34" s="8"/>
      <c r="G34" s="8"/>
      <c r="H34" s="8"/>
    </row>
    <row r="35" spans="1:8" x14ac:dyDescent="0.45">
      <c r="A35" s="8"/>
      <c r="B35" s="8"/>
      <c r="C35" s="8"/>
      <c r="D35" s="8"/>
      <c r="E35" s="8"/>
      <c r="F35" s="8"/>
      <c r="G35" s="8"/>
      <c r="H35" s="8"/>
    </row>
    <row r="36" spans="1:8" x14ac:dyDescent="0.45">
      <c r="A36" s="8"/>
      <c r="B36" s="8"/>
      <c r="C36" s="8"/>
      <c r="D36" s="8"/>
      <c r="E36" s="8"/>
      <c r="F36" s="8"/>
      <c r="G36" s="8"/>
      <c r="H36" s="8"/>
    </row>
    <row r="37" spans="1:8" x14ac:dyDescent="0.45">
      <c r="A37" s="8"/>
      <c r="B37" s="8"/>
      <c r="C37" s="8"/>
      <c r="D37" s="8"/>
      <c r="E37" s="8"/>
      <c r="F37" s="8"/>
      <c r="G37" s="8"/>
      <c r="H37" s="8"/>
    </row>
    <row r="38" spans="1:8" x14ac:dyDescent="0.45">
      <c r="A38" s="8"/>
      <c r="B38" s="8"/>
      <c r="C38" s="8"/>
      <c r="D38" s="8"/>
      <c r="E38" s="8"/>
      <c r="F38" s="8"/>
      <c r="G38" s="8"/>
      <c r="H38" s="8"/>
    </row>
    <row r="39" spans="1:8" x14ac:dyDescent="0.45">
      <c r="A39" s="8"/>
      <c r="B39" s="8"/>
      <c r="C39" s="8"/>
      <c r="D39" s="8"/>
      <c r="E39" s="8"/>
      <c r="F39" s="8"/>
      <c r="G39" s="8"/>
      <c r="H39" s="8"/>
    </row>
    <row r="40" spans="1:8" x14ac:dyDescent="0.45">
      <c r="A40" s="8"/>
      <c r="B40" s="8"/>
      <c r="C40" s="8"/>
      <c r="D40" s="8"/>
      <c r="E40" s="8"/>
      <c r="F40" s="8"/>
      <c r="G40" s="8"/>
      <c r="H40" s="8"/>
    </row>
    <row r="41" spans="1:8" x14ac:dyDescent="0.45">
      <c r="A41" s="8"/>
      <c r="B41" s="8"/>
      <c r="C41" s="8"/>
      <c r="D41" s="8"/>
      <c r="E41" s="8"/>
      <c r="F41" s="8"/>
      <c r="G41" s="8"/>
      <c r="H41" s="8"/>
    </row>
    <row r="42" spans="1:8" x14ac:dyDescent="0.45">
      <c r="A42" s="8"/>
      <c r="B42" s="8"/>
      <c r="C42" s="8"/>
      <c r="D42" s="8"/>
      <c r="E42" s="8"/>
      <c r="F42" s="8"/>
      <c r="G42" s="8"/>
      <c r="H42" s="8"/>
    </row>
    <row r="43" spans="1:8" x14ac:dyDescent="0.45">
      <c r="A43" s="8"/>
      <c r="B43" s="8"/>
      <c r="C43" s="8"/>
      <c r="D43" s="8"/>
      <c r="E43" s="8"/>
      <c r="F43" s="8"/>
      <c r="G43" s="8"/>
      <c r="H43" s="8"/>
    </row>
    <row r="44" spans="1:8" x14ac:dyDescent="0.45">
      <c r="A44" s="8"/>
      <c r="B44" s="8"/>
      <c r="C44" s="8"/>
      <c r="D44" s="8"/>
      <c r="E44" s="8"/>
      <c r="F44" s="8"/>
      <c r="G44" s="8"/>
      <c r="H44" s="8"/>
    </row>
    <row r="45" spans="1:8" x14ac:dyDescent="0.45">
      <c r="A45" s="8"/>
      <c r="B45" s="8"/>
      <c r="C45" s="8"/>
      <c r="D45" s="8"/>
      <c r="E45" s="8"/>
      <c r="F45" s="8"/>
      <c r="G45" s="8"/>
      <c r="H45" s="8"/>
    </row>
    <row r="46" spans="1:8" x14ac:dyDescent="0.45">
      <c r="A46" s="8"/>
      <c r="B46" s="8"/>
      <c r="C46" s="8"/>
      <c r="D46" s="8"/>
      <c r="E46" s="8"/>
      <c r="F46" s="8"/>
      <c r="G46" s="8"/>
      <c r="H46" s="8"/>
    </row>
    <row r="47" spans="1:8" x14ac:dyDescent="0.45">
      <c r="A47" s="8"/>
      <c r="B47" s="8"/>
      <c r="C47" s="8"/>
      <c r="D47" s="8"/>
      <c r="E47" s="8"/>
      <c r="F47" s="8"/>
      <c r="G47" s="8"/>
      <c r="H47" s="8"/>
    </row>
    <row r="48" spans="1:8" x14ac:dyDescent="0.45">
      <c r="A48" s="8"/>
      <c r="H48" s="8"/>
    </row>
  </sheetData>
  <hyperlinks>
    <hyperlink ref="H15" r:id="rId1" tooltip="Website Link" xr:uid="{00000000-0004-0000-0400-000000000000}"/>
    <hyperlink ref="H16" r:id="rId2" tooltip="Website Link" xr:uid="{00000000-0004-0000-0400-000001000000}"/>
    <hyperlink ref="H17" r:id="rId3" tooltip="Website Link" xr:uid="{00000000-0004-0000-0400-000002000000}"/>
    <hyperlink ref="H18" r:id="rId4" tooltip="Website Link" xr:uid="{00000000-0004-0000-0400-000003000000}"/>
    <hyperlink ref="H19" r:id="rId5" tooltip="Website Link" xr:uid="{00000000-0004-0000-0400-000004000000}"/>
    <hyperlink ref="H20" r:id="rId6" tooltip="Website Link" xr:uid="{00000000-0004-0000-0400-000005000000}"/>
    <hyperlink ref="H21" r:id="rId7" tooltip="Website Link" xr:uid="{00000000-0004-0000-0400-000006000000}"/>
    <hyperlink ref="H22" r:id="rId8" tooltip="Website Link" xr:uid="{00000000-0004-0000-0400-000007000000}"/>
    <hyperlink ref="H23" r:id="rId9" tooltip="Website Link" xr:uid="{00000000-0004-0000-0400-000008000000}"/>
    <hyperlink ref="H24" r:id="rId10" tooltip="Website Link" xr:uid="{00000000-0004-0000-0400-000009000000}"/>
    <hyperlink ref="H14" r:id="rId11" tooltip="Website Link" xr:uid="{00000000-0004-0000-0400-00000A000000}"/>
    <hyperlink ref="H13" r:id="rId12" tooltip="Website Link" xr:uid="{00000000-0004-0000-0400-00000B000000}"/>
    <hyperlink ref="H12" r:id="rId13" tooltip="Website Link" xr:uid="{00000000-0004-0000-0400-00000C000000}"/>
    <hyperlink ref="H11" r:id="rId14" tooltip="Website Link" xr:uid="{00000000-0004-0000-0400-00000D000000}"/>
  </hyperlinks>
  <pageMargins left="0.7" right="0.7" top="0.75" bottom="0.75" header="0.3" footer="0.3"/>
  <pageSetup orientation="portrait" r:id="rId15"/>
  <drawing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D4D9351165C443AF5654A6B92E7AC1" ma:contentTypeVersion="12" ma:contentTypeDescription="Create a new document." ma:contentTypeScope="" ma:versionID="bfeee9c539ff447d814549dc960c8e92">
  <xsd:schema xmlns:xsd="http://www.w3.org/2001/XMLSchema" xmlns:xs="http://www.w3.org/2001/XMLSchema" xmlns:p="http://schemas.microsoft.com/office/2006/metadata/properties" xmlns:ns2="d453fa51-eb2c-4ba3-a996-240705f5e033" xmlns:ns3="b17367be-d68f-49f0-bac0-6942cdc4be9c" targetNamespace="http://schemas.microsoft.com/office/2006/metadata/properties" ma:root="true" ma:fieldsID="cebdba1527677c20c233d833c1388e4b" ns2:_="" ns3:_="">
    <xsd:import namespace="d453fa51-eb2c-4ba3-a996-240705f5e033"/>
    <xsd:import namespace="b17367be-d68f-49f0-bac0-6942cdc4be9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53fa51-eb2c-4ba3-a996-240705f5e0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7367be-d68f-49f0-bac0-6942cdc4be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014DEA-C0E5-4EB0-9295-0C21E74EB3B0}"/>
</file>

<file path=customXml/itemProps2.xml><?xml version="1.0" encoding="utf-8"?>
<ds:datastoreItem xmlns:ds="http://schemas.openxmlformats.org/officeDocument/2006/customXml" ds:itemID="{84ED5A05-E5C7-496A-8113-194DB88991DD}">
  <ds:schemaRefs>
    <ds:schemaRef ds:uri="4aaf1f5d-150e-425e-8cd3-7c759bfe67f3"/>
    <ds:schemaRef ds:uri="http://purl.org/dc/elements/1.1/"/>
    <ds:schemaRef ds:uri="http://schemas.microsoft.com/office/2006/metadata/properties"/>
    <ds:schemaRef ds:uri="http://schemas.openxmlformats.org/package/2006/metadata/core-properties"/>
    <ds:schemaRef ds:uri="538b7f6f-479d-45fc-bd90-889afd35ee4b"/>
    <ds:schemaRef ds:uri="http://schemas.microsoft.com/office/infopath/2007/PartnerControls"/>
    <ds:schemaRef ds:uri="http://purl.org/dc/term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FBEA1479-6ADC-412F-AB0C-F9EE0D930CD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7</vt:i4>
      </vt:variant>
      <vt:variant>
        <vt:lpstr>Named Ranges</vt:lpstr>
      </vt:variant>
      <vt:variant>
        <vt:i4>996</vt:i4>
      </vt:variant>
    </vt:vector>
  </HeadingPairs>
  <TitlesOfParts>
    <vt:vector size="1003" baseType="lpstr">
      <vt:lpstr>Front Page</vt:lpstr>
      <vt:lpstr>IR and Writeup</vt:lpstr>
      <vt:lpstr>Earnings Power</vt:lpstr>
      <vt:lpstr>Model</vt:lpstr>
      <vt:lpstr>Guidance</vt:lpstr>
      <vt:lpstr>Summary Page</vt:lpstr>
      <vt:lpstr>Update Log</vt:lpstr>
      <vt:lpstr>FP.DataSource</vt:lpstr>
      <vt:lpstr>FP.DataSourceName</vt:lpstr>
      <vt:lpstr>FP.Disclaimer</vt:lpstr>
      <vt:lpstr>FP.LastPrice</vt:lpstr>
      <vt:lpstr>FP.LastPriceDate</vt:lpstr>
      <vt:lpstr>FP.RealTimeToggle</vt:lpstr>
      <vt:lpstr>FP.UpdateDate</vt:lpstr>
      <vt:lpstr>FP.UpdateEvent</vt:lpstr>
      <vt:lpstr>FP_Comment</vt:lpstr>
      <vt:lpstr>GD.CompanyName</vt:lpstr>
      <vt:lpstr>GD.MRQ</vt:lpstr>
      <vt:lpstr>GD_Difference_Mid_Absolute</vt:lpstr>
      <vt:lpstr>GD_Difference_Mid_Relative</vt:lpstr>
      <vt:lpstr>GD_Guidance_High</vt:lpstr>
      <vt:lpstr>GD_Guidance_Low</vt:lpstr>
      <vt:lpstr>GD_Guidance_Mid</vt:lpstr>
      <vt:lpstr>GD_Header_Column</vt:lpstr>
      <vt:lpstr>GD_Header_Section</vt:lpstr>
      <vt:lpstr>GD_Index</vt:lpstr>
      <vt:lpstr>GD_Item</vt:lpstr>
      <vt:lpstr>GD_Item_FiscalPeriod</vt:lpstr>
      <vt:lpstr>GD_Item_Name</vt:lpstr>
      <vt:lpstr>GD_Model_Output</vt:lpstr>
      <vt:lpstr>GD_Model_Type</vt:lpstr>
      <vt:lpstr>GD_Type</vt:lpstr>
      <vt:lpstr>GD_Update_Date</vt:lpstr>
      <vt:lpstr>GD_Update_Link</vt:lpstr>
      <vt:lpstr>HP.MRFX</vt:lpstr>
      <vt:lpstr>HP.ReportCurrency</vt:lpstr>
      <vt:lpstr>HP.Ticker</vt:lpstr>
      <vt:lpstr>HP.TradeCurrency</vt:lpstr>
      <vt:lpstr>HP.TradeCurrency.HardCoded</vt:lpstr>
      <vt:lpstr>MO.CFY</vt:lpstr>
      <vt:lpstr>MO.CompanyName</vt:lpstr>
      <vt:lpstr>MO.DataSourceIndex</vt:lpstr>
      <vt:lpstr>MO.DataSourceName</vt:lpstr>
      <vt:lpstr>MO.FirstForecastedFiscalYear</vt:lpstr>
      <vt:lpstr>MO.LastPrice</vt:lpstr>
      <vt:lpstr>MO.LastPriceDate</vt:lpstr>
      <vt:lpstr>MO.LastPriceFormula</vt:lpstr>
      <vt:lpstr>MO.LastPriceHardcoded</vt:lpstr>
      <vt:lpstr>MO.MRFP</vt:lpstr>
      <vt:lpstr>MO.MRFPColumnNumber</vt:lpstr>
      <vt:lpstr>MO.MRFX.Hardcoded</vt:lpstr>
      <vt:lpstr>MO.RealTime</vt:lpstr>
      <vt:lpstr>MO.RealTimeStockPriceToggle</vt:lpstr>
      <vt:lpstr>MO.ReportCurrency</vt:lpstr>
      <vt:lpstr>MO.ReportFX</vt:lpstr>
      <vt:lpstr>MO.Ticker</vt:lpstr>
      <vt:lpstr>MO.Ticker.Bloomberg</vt:lpstr>
      <vt:lpstr>MO.Ticker.CapIQ</vt:lpstr>
      <vt:lpstr>MO.Ticker.FactSet</vt:lpstr>
      <vt:lpstr>MO.Ticker.Thomson</vt:lpstr>
      <vt:lpstr>MO.TradingCurrency</vt:lpstr>
      <vt:lpstr>MO.ValuationToggle</vt:lpstr>
      <vt:lpstr>MO_AN_FCF_Adj</vt:lpstr>
      <vt:lpstr>MO_BS_AP</vt:lpstr>
      <vt:lpstr>MO_BS_AR</vt:lpstr>
      <vt:lpstr>MO_BS_AR_TR</vt:lpstr>
      <vt:lpstr>MO_BS_CA</vt:lpstr>
      <vt:lpstr>MO_BS_CL</vt:lpstr>
      <vt:lpstr>MO_BS_ContractAssets</vt:lpstr>
      <vt:lpstr>MO_BS_Goodwill</vt:lpstr>
      <vt:lpstr>MO_BS_Intangibles</vt:lpstr>
      <vt:lpstr>MO_BS_INV</vt:lpstr>
      <vt:lpstr>MO_BS_NCA</vt:lpstr>
      <vt:lpstr>MO_BS_NCI</vt:lpstr>
      <vt:lpstr>MO_BS_NCL</vt:lpstr>
      <vt:lpstr>MO_BS_OL_Current</vt:lpstr>
      <vt:lpstr>MO_BS_OL_NonCurrent</vt:lpstr>
      <vt:lpstr>MO_BS_PPE</vt:lpstr>
      <vt:lpstr>MO_BS_SE</vt:lpstr>
      <vt:lpstr>MO_BS_TA</vt:lpstr>
      <vt:lpstr>MO_BS_TL</vt:lpstr>
      <vt:lpstr>MO_BS_TLSE</vt:lpstr>
      <vt:lpstr>MO_BSS_Cash</vt:lpstr>
      <vt:lpstr>MO_BSS_Debt</vt:lpstr>
      <vt:lpstr>MO_BSS_Debt_LT</vt:lpstr>
      <vt:lpstr>MO_BSS_Debt_Net</vt:lpstr>
      <vt:lpstr>MO_BSS_Debt_ST</vt:lpstr>
      <vt:lpstr>MO_BSS_Debt_ToCF</vt:lpstr>
      <vt:lpstr>MO_BSS_Debt_ToEBITDA</vt:lpstr>
      <vt:lpstr>MO_BSS_IE</vt:lpstr>
      <vt:lpstr>MO_BSS_IE_Net</vt:lpstr>
      <vt:lpstr>MO_BSS_II</vt:lpstr>
      <vt:lpstr>MO_BSS_InterestRate_Cash</vt:lpstr>
      <vt:lpstr>MO_BSS_InterestRate_Debt</vt:lpstr>
      <vt:lpstr>MO_BSS_NetInterestCoverage</vt:lpstr>
      <vt:lpstr>MO_BSS_NetInterestRate_Debt</vt:lpstr>
      <vt:lpstr>MO_BSS_OL</vt:lpstr>
      <vt:lpstr>MO_CCFS_Balance_Begin</vt:lpstr>
      <vt:lpstr>MO_CCFS_Balance_End</vt:lpstr>
      <vt:lpstr>MO_CCFS_CFF</vt:lpstr>
      <vt:lpstr>MO_CCFS_CFI</vt:lpstr>
      <vt:lpstr>MO_CCFS_CFO</vt:lpstr>
      <vt:lpstr>MO_CCFS_CFO_BeforeWC</vt:lpstr>
      <vt:lpstr>MO_CCFS_FX</vt:lpstr>
      <vt:lpstr>MO_CCFS_NetChange</vt:lpstr>
      <vt:lpstr>MO_CFS_Balance_Begin</vt:lpstr>
      <vt:lpstr>MO_CFS_Balance_End</vt:lpstr>
      <vt:lpstr>MO_CFS_Buyback</vt:lpstr>
      <vt:lpstr>MO_CFS_CFF</vt:lpstr>
      <vt:lpstr>MO_CFS_CFI</vt:lpstr>
      <vt:lpstr>MO_CFS_CFO</vt:lpstr>
      <vt:lpstr>MO_CFS_CFO_BeforeWC</vt:lpstr>
      <vt:lpstr>MO_CFS_FX</vt:lpstr>
      <vt:lpstr>MO_CFS_NetChange</vt:lpstr>
      <vt:lpstr>MO_CFSum_Acquisition</vt:lpstr>
      <vt:lpstr>MO_CFSum_Capex</vt:lpstr>
      <vt:lpstr>MO_CFSum_CFO_BeforeWC</vt:lpstr>
      <vt:lpstr>MO_CFSum_CFPS</vt:lpstr>
      <vt:lpstr>MO_CFSum_Divestiture</vt:lpstr>
      <vt:lpstr>MO_CFSum_Dividend</vt:lpstr>
      <vt:lpstr>MO_CFSum_DPS</vt:lpstr>
      <vt:lpstr>MO_CFSum_FCF_PostDivPostAD</vt:lpstr>
      <vt:lpstr>MO_CFSum_FCF_PostDivPostADPostDebtPostBuyback</vt:lpstr>
      <vt:lpstr>MO_CFSum_FCF_PostDivPreAD</vt:lpstr>
      <vt:lpstr>MO_CFSum_FCF_PreDiv</vt:lpstr>
      <vt:lpstr>MO_CFSum_NetDebtIssuance</vt:lpstr>
      <vt:lpstr>MO_CFSum_NetShares</vt:lpstr>
      <vt:lpstr>MO_CFSum_NetShares_Price</vt:lpstr>
      <vt:lpstr>MO_Checks_Bottom</vt:lpstr>
      <vt:lpstr>MO_Checks_BS</vt:lpstr>
      <vt:lpstr>MO_Checks_CF</vt:lpstr>
      <vt:lpstr>MO_Checks_IS</vt:lpstr>
      <vt:lpstr>MO_Common_Column_A</vt:lpstr>
      <vt:lpstr>MO_Common_Column_B</vt:lpstr>
      <vt:lpstr>MO_Common_ColumnHeader</vt:lpstr>
      <vt:lpstr>MO_Common_CompanySubtitle</vt:lpstr>
      <vt:lpstr>MO_Common_CompanyTitle</vt:lpstr>
      <vt:lpstr>MO_Common_FPDays</vt:lpstr>
      <vt:lpstr>MO_Common_QEndDate</vt:lpstr>
      <vt:lpstr>MO_GA_TotalRevenue</vt:lpstr>
      <vt:lpstr>MO_IS_COGS</vt:lpstr>
      <vt:lpstr>MO_IS_EBIT</vt:lpstr>
      <vt:lpstr>MO_IS_EBT</vt:lpstr>
      <vt:lpstr>MO_IS_FirstRow</vt:lpstr>
      <vt:lpstr>MO_IS_GP</vt:lpstr>
      <vt:lpstr>MO_IS_NI_ContinOp</vt:lpstr>
      <vt:lpstr>MO_IS_REV</vt:lpstr>
      <vt:lpstr>MO_MA_COGS</vt:lpstr>
      <vt:lpstr>MO_MA_COGS_Adj</vt:lpstr>
      <vt:lpstr>MO_MA_EBIT</vt:lpstr>
      <vt:lpstr>MO_MA_EBIT_Adj</vt:lpstr>
      <vt:lpstr>MO_MA_EBITDA</vt:lpstr>
      <vt:lpstr>MO_MA_EBITDA_Adj</vt:lpstr>
      <vt:lpstr>MO_MA_GM</vt:lpstr>
      <vt:lpstr>MO_MA_GM_Adj</vt:lpstr>
      <vt:lpstr>MO_MA_RD</vt:lpstr>
      <vt:lpstr>MO_MA_RD_Adj</vt:lpstr>
      <vt:lpstr>MO_MA_SGA</vt:lpstr>
      <vt:lpstr>MO_MA_SGA_Adj</vt:lpstr>
      <vt:lpstr>MO_RIS_Adjustments_Dilution_GAAP</vt:lpstr>
      <vt:lpstr>MO_RIS_Adjustments_Dilution_NONGAAP</vt:lpstr>
      <vt:lpstr>MO_RIS_Adjustments_NONGAAP</vt:lpstr>
      <vt:lpstr>MO_RIS_COGS</vt:lpstr>
      <vt:lpstr>MO_RIS_DA</vt:lpstr>
      <vt:lpstr>MO_RIS_DAintangibles</vt:lpstr>
      <vt:lpstr>MO_RIS_DAintangibles_operating</vt:lpstr>
      <vt:lpstr>MO_RIS_DisCont</vt:lpstr>
      <vt:lpstr>MO_RIS_Dividend_Prefs</vt:lpstr>
      <vt:lpstr>MO_RIS_EBIT</vt:lpstr>
      <vt:lpstr>MO_RIS_EBIT_Adj</vt:lpstr>
      <vt:lpstr>MO_RIS_EBITDA</vt:lpstr>
      <vt:lpstr>MO_RIS_EBITDA_Adj</vt:lpstr>
      <vt:lpstr>MO_RIS_EBT</vt:lpstr>
      <vt:lpstr>MO_RIS_EPS_WAB</vt:lpstr>
      <vt:lpstr>MO_RIS_EPS_WAD</vt:lpstr>
      <vt:lpstr>MO_RIS_EPS_WAD_Adj</vt:lpstr>
      <vt:lpstr>MO_RIS_GP</vt:lpstr>
      <vt:lpstr>MO_RIS_IE</vt:lpstr>
      <vt:lpstr>MO_RIS_II</vt:lpstr>
      <vt:lpstr>MO_RIS_NCI</vt:lpstr>
      <vt:lpstr>MO_RIS_NI_ContinOp</vt:lpstr>
      <vt:lpstr>MO_RIS_NI_GAAP_Basic</vt:lpstr>
      <vt:lpstr>MO_RIS_NI_GAAP_Diluted</vt:lpstr>
      <vt:lpstr>MO_RIS_NI_NONGAAP_Diluted</vt:lpstr>
      <vt:lpstr>MO_RIS_OI</vt:lpstr>
      <vt:lpstr>MO_RIS_OI_Operating</vt:lpstr>
      <vt:lpstr>MO_RIS_OTI</vt:lpstr>
      <vt:lpstr>MO_RIS_OTI_Operating</vt:lpstr>
      <vt:lpstr>MO_RIS_RD</vt:lpstr>
      <vt:lpstr>MO_RIS_REV</vt:lpstr>
      <vt:lpstr>MO_RIS_SBC</vt:lpstr>
      <vt:lpstr>MO_RIS_SGA</vt:lpstr>
      <vt:lpstr>MO_RIS_ShareCount_WAB</vt:lpstr>
      <vt:lpstr>MO_RIS_ShareCount_WAD</vt:lpstr>
      <vt:lpstr>MO_RIS_ShareCount_WAD_Adj</vt:lpstr>
      <vt:lpstr>MO_RIS_Tax_Current</vt:lpstr>
      <vt:lpstr>MO_RIS_Tax_Deferred</vt:lpstr>
      <vt:lpstr>MO_RIS_TaxRate_Current</vt:lpstr>
      <vt:lpstr>MO_RIS_TaxRate_Deferred</vt:lpstr>
      <vt:lpstr>MO_Section_AdjustedNumbers</vt:lpstr>
      <vt:lpstr>MO_Section_BalanceSheet</vt:lpstr>
      <vt:lpstr>MO_Section_BalanceSheetSummary</vt:lpstr>
      <vt:lpstr>MO_Section_CashFlowStatement</vt:lpstr>
      <vt:lpstr>MO_Section_CashFlowSummary</vt:lpstr>
      <vt:lpstr>MO_Section_Copyright</vt:lpstr>
      <vt:lpstr>MO_Section_CumulativeCashFlowStatement</vt:lpstr>
      <vt:lpstr>MO_Section_GrowthAnalysis</vt:lpstr>
      <vt:lpstr>MO_Section_IncomeStatement</vt:lpstr>
      <vt:lpstr>MO_Section_KeyMetricsAdditionalData</vt:lpstr>
      <vt:lpstr>MO_Section_KeyMetricsPerformanceObligations</vt:lpstr>
      <vt:lpstr>MO_Section_LastRow</vt:lpstr>
      <vt:lpstr>MO_Section_MarginAnalysis</vt:lpstr>
      <vt:lpstr>MO_Section_ModelChecks</vt:lpstr>
      <vt:lpstr>MO_Section_RevisedIncomeStatement</vt:lpstr>
      <vt:lpstr>MO_Section_SegmentedResultsCostofRevenueBreakdown</vt:lpstr>
      <vt:lpstr>MO_Section_SegmentedResultsHistoricalRevenueBreakdown20102017</vt:lpstr>
      <vt:lpstr>MO_Section_SegmentedResultsRevenueBreakdownFS_1</vt:lpstr>
      <vt:lpstr>MO_Section_SegmentedRevenueHistoricalBreakdown20102017</vt:lpstr>
      <vt:lpstr>MO_Section_Tables</vt:lpstr>
      <vt:lpstr>MO_Section_Valuation</vt:lpstr>
      <vt:lpstr>MO_Section_WorkingCapitalForecasting</vt:lpstr>
      <vt:lpstr>MO_SNA_FPStartDate</vt:lpstr>
      <vt:lpstr>MO_SNA_IsHistoricalPeriod</vt:lpstr>
      <vt:lpstr>MO_SNA_LastDataRow</vt:lpstr>
      <vt:lpstr>MO_SPT_FXAverage</vt:lpstr>
      <vt:lpstr>MO_SPT_FXAverage_Sources</vt:lpstr>
      <vt:lpstr>MO_SPT_StockAverage</vt:lpstr>
      <vt:lpstr>MO_SPT_StockAverage_Sources</vt:lpstr>
      <vt:lpstr>MO_SPT_StockHigh</vt:lpstr>
      <vt:lpstr>MO_SPT_StockHigh_Sources</vt:lpstr>
      <vt:lpstr>MO_SPT_StockLow</vt:lpstr>
      <vt:lpstr>MO_SPT_StockLow_Sources</vt:lpstr>
      <vt:lpstr>MO_SubSection_BS_CA</vt:lpstr>
      <vt:lpstr>MO_SubSection_BS_CL</vt:lpstr>
      <vt:lpstr>MO_SubSection_BS_NCA</vt:lpstr>
      <vt:lpstr>MO_SubSection_BS_NCL</vt:lpstr>
      <vt:lpstr>MO_SubSection_BS_SE</vt:lpstr>
      <vt:lpstr>MO_SubSection_CCFS_CFF</vt:lpstr>
      <vt:lpstr>MO_SubSection_CCFS_CFI</vt:lpstr>
      <vt:lpstr>MO_SubSection_CCFS_CFO</vt:lpstr>
      <vt:lpstr>MO_SubSection_CFS_CFF</vt:lpstr>
      <vt:lpstr>MO_SubSection_CFS_CFI</vt:lpstr>
      <vt:lpstr>MO_SubSection_CFS_CFO</vt:lpstr>
      <vt:lpstr>MO_VA_EV</vt:lpstr>
      <vt:lpstr>MO_VA_EV_ToEBITDA</vt:lpstr>
      <vt:lpstr>MO_VA_EV_ToSales</vt:lpstr>
      <vt:lpstr>MO_VA_EVCalc_NCI</vt:lpstr>
      <vt:lpstr>MO_VA_EVCalc_Other</vt:lpstr>
      <vt:lpstr>MO_VA_EVCalc_Prefs</vt:lpstr>
      <vt:lpstr>MO_VA_FCFYield_ToEV</vt:lpstr>
      <vt:lpstr>MO_VA_FCFYield_ToMktCap</vt:lpstr>
      <vt:lpstr>MO_VA_FX_Average</vt:lpstr>
      <vt:lpstr>MO_VA_MarketCap</vt:lpstr>
      <vt:lpstr>MO_VA_P_ToCF</vt:lpstr>
      <vt:lpstr>MO_VA_P_ToE</vt:lpstr>
      <vt:lpstr>MO_VA_StockPrice</vt:lpstr>
      <vt:lpstr>MO_VA_StockPrice_Avg</vt:lpstr>
      <vt:lpstr>MO_VA_StockPrice_High</vt:lpstr>
      <vt:lpstr>MO_VA_StockPrice_Low</vt:lpstr>
      <vt:lpstr>MO_VA_StockPrice_TradingCurrency</vt:lpstr>
      <vt:lpstr>Model!Print_Area</vt:lpstr>
      <vt:lpstr>'Summary Page'!Print_Area</vt:lpstr>
      <vt:lpstr>Model!Print_Titles</vt:lpstr>
      <vt:lpstr>SP.CompanyName</vt:lpstr>
      <vt:lpstr>SP.ReportFX</vt:lpstr>
      <vt:lpstr>SP.ValuationToggle</vt:lpstr>
      <vt:lpstr>SP_BSR_Capital</vt:lpstr>
      <vt:lpstr>SP_BSR_CashFlow</vt:lpstr>
      <vt:lpstr>SP_BSR_CashFlow_LTM</vt:lpstr>
      <vt:lpstr>SP_BSR_CL</vt:lpstr>
      <vt:lpstr>SP_BSR_CL_Avg</vt:lpstr>
      <vt:lpstr>SP_BSR_Debt_Avg</vt:lpstr>
      <vt:lpstr>SP_BSR_EBITDA</vt:lpstr>
      <vt:lpstr>SP_BSR_EBITDA_LTM</vt:lpstr>
      <vt:lpstr>SP_BSR_SE</vt:lpstr>
      <vt:lpstr>SP_BSR_SE_Avg</vt:lpstr>
      <vt:lpstr>SP_BSR_TA</vt:lpstr>
      <vt:lpstr>SP_BSR_TA_Avg</vt:lpstr>
      <vt:lpstr>SP_CFA_Acquisition</vt:lpstr>
      <vt:lpstr>SP_CFA_Capex</vt:lpstr>
      <vt:lpstr>SP_CFA_CFO_BeforeWC</vt:lpstr>
      <vt:lpstr>SP_CFA_CFO_PerShare</vt:lpstr>
      <vt:lpstr>SP_CFA_Debt</vt:lpstr>
      <vt:lpstr>SP_CFA_Div</vt:lpstr>
      <vt:lpstr>SP_CFA_Div_PerShare</vt:lpstr>
      <vt:lpstr>SP_CFA_Divestiture</vt:lpstr>
      <vt:lpstr>SP_CFA_Equity</vt:lpstr>
      <vt:lpstr>SP_CFA_FCF_PerShare</vt:lpstr>
      <vt:lpstr>SP_CFA_FCF_PostDiv</vt:lpstr>
      <vt:lpstr>SP_CFA_FCF_PreDiv</vt:lpstr>
      <vt:lpstr>SP_CFA_NetChange</vt:lpstr>
      <vt:lpstr>SP_CFA_Other</vt:lpstr>
      <vt:lpstr>SP_CFA_Payout_vsEPS</vt:lpstr>
      <vt:lpstr>SP_CFA_Payout_vsFCF</vt:lpstr>
      <vt:lpstr>SP_CFA_WC</vt:lpstr>
      <vt:lpstr>SP_Checks_SummaryPage</vt:lpstr>
      <vt:lpstr>SP_Common_Column_A</vt:lpstr>
      <vt:lpstr>SP_Common_Column_B</vt:lpstr>
      <vt:lpstr>SP_Common_ColumnHeader</vt:lpstr>
      <vt:lpstr>SP_Common_QEndDate</vt:lpstr>
      <vt:lpstr>SP_CS_Cash</vt:lpstr>
      <vt:lpstr>SP_CS_Debt</vt:lpstr>
      <vt:lpstr>SP_CS_EV</vt:lpstr>
      <vt:lpstr>SP_CS_EVCalc_Other</vt:lpstr>
      <vt:lpstr>SP_CS_MarketCap</vt:lpstr>
      <vt:lpstr>SP_CS_OL</vt:lpstr>
      <vt:lpstr>SP_CS_ShareCount</vt:lpstr>
      <vt:lpstr>SP_CS_StockPrice</vt:lpstr>
      <vt:lpstr>SP_GF_COGS</vt:lpstr>
      <vt:lpstr>SP_GF_DA</vt:lpstr>
      <vt:lpstr>SP_GF_DisCont</vt:lpstr>
      <vt:lpstr>SP_GF_Div_Prefs</vt:lpstr>
      <vt:lpstr>SP_GF_EBITDA</vt:lpstr>
      <vt:lpstr>SP_GF_EBT</vt:lpstr>
      <vt:lpstr>SP_GF_EPS_GAAP</vt:lpstr>
      <vt:lpstr>SP_GF_IE</vt:lpstr>
      <vt:lpstr>SP_GF_IE_Net</vt:lpstr>
      <vt:lpstr>SP_GF_NCI</vt:lpstr>
      <vt:lpstr>SP_GF_NI</vt:lpstr>
      <vt:lpstr>SP_GF_OI</vt:lpstr>
      <vt:lpstr>SP_GF_RD</vt:lpstr>
      <vt:lpstr>SP_GF_Rev</vt:lpstr>
      <vt:lpstr>SP_GF_SBC</vt:lpstr>
      <vt:lpstr>SP_GF_SGA</vt:lpstr>
      <vt:lpstr>SP_GF_Tax</vt:lpstr>
      <vt:lpstr>SP_MA_COGS</vt:lpstr>
      <vt:lpstr>SP_MA_EBITDA</vt:lpstr>
      <vt:lpstr>SP_MA_EBITDA_Adj</vt:lpstr>
      <vt:lpstr>SP_MA_RD</vt:lpstr>
      <vt:lpstr>SP_MA_SBC</vt:lpstr>
      <vt:lpstr>SP_MA_SGA</vt:lpstr>
      <vt:lpstr>SP_NGF_EBITDA</vt:lpstr>
      <vt:lpstr>SP_NGF_EPS</vt:lpstr>
      <vt:lpstr>SP_NGF_NI</vt:lpstr>
      <vt:lpstr>SP_PR_ROA</vt:lpstr>
      <vt:lpstr>SP_PR_ROCE</vt:lpstr>
      <vt:lpstr>SP_PR_ROE</vt:lpstr>
      <vt:lpstr>SP_PR_ROIC</vt:lpstr>
      <vt:lpstr>SP_PSGM_CFO</vt:lpstr>
      <vt:lpstr>SP_PSGM_EBITDA_Adj</vt:lpstr>
      <vt:lpstr>SP_PSGM_FCF</vt:lpstr>
      <vt:lpstr>SP_PSGM_NI_Adj</vt:lpstr>
      <vt:lpstr>SP_PSGM_Revenue</vt:lpstr>
      <vt:lpstr>SP_Section_BalanceSheetRatio</vt:lpstr>
      <vt:lpstr>SP_Section_CapitalizationSummary</vt:lpstr>
      <vt:lpstr>SP_Section_CashFlowAnalysis</vt:lpstr>
      <vt:lpstr>SP_Section_Checks</vt:lpstr>
      <vt:lpstr>SP_Section_CompanySpecificOperationalData</vt:lpstr>
      <vt:lpstr>SP_Section_GAAPFinancials</vt:lpstr>
      <vt:lpstr>SP_Section_MarginAnalysis</vt:lpstr>
      <vt:lpstr>SP_Section_NonGAAPFinancials</vt:lpstr>
      <vt:lpstr>SP_Section_PerShareGrowthMetrics</vt:lpstr>
      <vt:lpstr>SP_Section_ProfitabilityRatio</vt:lpstr>
      <vt:lpstr>SP_Section_ValuationMetrics</vt:lpstr>
      <vt:lpstr>SP_VM_EV_ToEBITDA</vt:lpstr>
      <vt:lpstr>SP_VM_EV_ToSales</vt:lpstr>
      <vt:lpstr>SP_VM_FCFYield_ToEV</vt:lpstr>
      <vt:lpstr>SP_VM_FCFYield_ToMktCap</vt:lpstr>
      <vt:lpstr>SP_VM_P_ToCF</vt:lpstr>
      <vt:lpstr>SP_VM_P_ToE</vt:lpstr>
      <vt:lpstr>tb_ConsensusEstimate</vt:lpstr>
      <vt:lpstr>tb_EntireModel</vt:lpstr>
      <vt:lpstr>tb_KeyOutputs</vt:lpstr>
      <vt:lpstr>tb_StockPrice</vt:lpstr>
      <vt:lpstr>tb_Tickers</vt:lpstr>
      <vt:lpstr>tb_UpdateLog</vt:lpstr>
      <vt:lpstr>tb_ValuationToggle</vt:lpstr>
      <vt:lpstr>UL.CSIN</vt:lpstr>
      <vt:lpstr>UL.ModelVersion</vt:lpstr>
      <vt:lpstr>UL.MRQ</vt:lpstr>
      <vt:lpstr>UL.MRQColNum</vt:lpstr>
      <vt:lpstr>z_T2HXNG0168_MO_AN_Acquisitionanddispositioncosts</vt:lpstr>
      <vt:lpstr>z_T2HXNG0168_MO_AN_AmortizationExpenserelatedtoCapitalisedSoftwareCostsinclCOGS</vt:lpstr>
      <vt:lpstr>z_T2HXNG0168_MO_AN_AmortizationExpenserelatedtoIntangibleAssets</vt:lpstr>
      <vt:lpstr>z_T2HXNG0168_MO_AN_AmortizationExpenserelatedtoSoftwareTechnologyinclinCOGS</vt:lpstr>
      <vt:lpstr>z_T2HXNG0168_MO_AN_AmortizationExpensesrelatedtoCustomersRelationshipsandTrademarkinclinOPEX</vt:lpstr>
      <vt:lpstr>z_T2HXNG0168_MO_AN_amortizationofacquiredintangibleassets</vt:lpstr>
      <vt:lpstr>z_T2HXNG0168_MO_AN_Amortizationofdeferreddebtissuancecosts</vt:lpstr>
      <vt:lpstr>z_T2HXNG0168_MO_AN_CapitalExpenditures</vt:lpstr>
      <vt:lpstr>z_T2HXNG0168_MO_AN_CashFlowfromOperations</vt:lpstr>
      <vt:lpstr>z_T2HXNG0168_MO_AN_EffectiveTaxRateonNonGAAPEBT</vt:lpstr>
      <vt:lpstr>z_T2HXNG0168_MO_AN_FreeCashFlow</vt:lpstr>
      <vt:lpstr>z_T2HXNG0168_MO_AN_impairmentofassetsandrelatedwinddowncosts</vt:lpstr>
      <vt:lpstr>z_T2HXNG0168_MO_AN_Impairmentofotherassets</vt:lpstr>
      <vt:lpstr>z_T2HXNG0168_MO_AN_incomebeforeprovisionforincometaxesgaap</vt:lpstr>
      <vt:lpstr>z_T2HXNG0168_MO_AN_incomebeforeprovisionforincometaxesnongaap</vt:lpstr>
      <vt:lpstr>z_T2HXNG0168_MO_AN_lossondispositionofhospitalsolutionsdivisionandrelatedcosts</vt:lpstr>
      <vt:lpstr>z_T2HXNG0168_MO_AN_netincomenongaap</vt:lpstr>
      <vt:lpstr>z_T2HXNG0168_MO_AN_Othernonrunrateexpenses</vt:lpstr>
      <vt:lpstr>z_T2HXNG0168_MO_AN_provisionforincometaxes</vt:lpstr>
      <vt:lpstr>z_T2HXNG0168_MO_AN_proxycontestexpense</vt:lpstr>
      <vt:lpstr>z_T2HXNG0168_MO_AN_restructuringcosts</vt:lpstr>
      <vt:lpstr>z_T2HXNG0168_MO_AN_SBCattributabletoCOGS</vt:lpstr>
      <vt:lpstr>z_T2HXNG0168_MO_AN_SBCattributabletoRD</vt:lpstr>
      <vt:lpstr>z_T2HXNG0168_MO_AN_SBCattributabletoSGA</vt:lpstr>
      <vt:lpstr>z_T2HXNG0168_MO_AN_securitieslitigationdefensecosts</vt:lpstr>
      <vt:lpstr>z_T2HXNG0168_MO_AN_sharebasedcompensation</vt:lpstr>
      <vt:lpstr>z_T2HXNG0168_MO_AN_TotalSBC</vt:lpstr>
      <vt:lpstr>z_T2HXNG0168_MO_BlankRow_AN</vt:lpstr>
      <vt:lpstr>z_T2HXNG0168_MO_BlankRow_AN_2</vt:lpstr>
      <vt:lpstr>z_T2HXNG0168_MO_BlankRow_AN_3</vt:lpstr>
      <vt:lpstr>z_T2HXNG0168_MO_BlankRow_AN_4</vt:lpstr>
      <vt:lpstr>z_T2HXNG0168_MO_BlankRow_AN_5</vt:lpstr>
      <vt:lpstr>z_T2HXNG0168_MO_BlankRow_AN_6</vt:lpstr>
      <vt:lpstr>z_T2HXNG0168_MO_BlankRow_BS_1</vt:lpstr>
      <vt:lpstr>z_T2HXNG0168_MO_BlankRow_BS_2</vt:lpstr>
      <vt:lpstr>z_T2HXNG0168_MO_BlankRow_BS_3</vt:lpstr>
      <vt:lpstr>z_T2HXNG0168_MO_BlankRow_BS_4</vt:lpstr>
      <vt:lpstr>z_T2HXNG0168_MO_BlankRow_BS_5</vt:lpstr>
      <vt:lpstr>z_T2HXNG0168_MO_BlankRow_BS_6</vt:lpstr>
      <vt:lpstr>z_T2HXNG0168_MO_BlankRow_BSS</vt:lpstr>
      <vt:lpstr>z_T2HXNG0168_MO_BlankRow_BSS_1</vt:lpstr>
      <vt:lpstr>z_T2HXNG0168_MO_BlankRow_BSS_2</vt:lpstr>
      <vt:lpstr>z_T2HXNG0168_MO_BlankRow_CCFS</vt:lpstr>
      <vt:lpstr>z_T2HXNG0168_MO_BlankRow_CCFS_1</vt:lpstr>
      <vt:lpstr>z_T2HXNG0168_MO_BlankRow_CCFS_2</vt:lpstr>
      <vt:lpstr>z_T2HXNG0168_MO_BlankRow_CCFS_3</vt:lpstr>
      <vt:lpstr>z_T2HXNG0168_MO_BlankRow_CCFS_4</vt:lpstr>
      <vt:lpstr>z_T2HXNG0168_MO_BlankRow_CFS_2</vt:lpstr>
      <vt:lpstr>z_T2HXNG0168_MO_BlankRow_CFS_3</vt:lpstr>
      <vt:lpstr>z_T2HXNG0168_MO_BlankRow_CFS_4</vt:lpstr>
      <vt:lpstr>z_T2HXNG0168_MO_BlankRow_CFS_5</vt:lpstr>
      <vt:lpstr>z_T2HXNG0168_MO_BlankRow_CFS_6</vt:lpstr>
      <vt:lpstr>z_T2HXNG0168_MO_BlankRow_CFS_7</vt:lpstr>
      <vt:lpstr>z_T2HXNG0168_MO_BlankRow_CFSum</vt:lpstr>
      <vt:lpstr>z_T2HXNG0168_MO_BlankRow_CFSum_1</vt:lpstr>
      <vt:lpstr>z_T2HXNG0168_MO_BlankRow_CFSum_2</vt:lpstr>
      <vt:lpstr>z_T2HXNG0168_MO_BlankRow_GA</vt:lpstr>
      <vt:lpstr>z_T2HXNG0168_MO_BlankRow_IS</vt:lpstr>
      <vt:lpstr>z_T2HXNG0168_MO_BlankRow_IS_1</vt:lpstr>
      <vt:lpstr>z_T2HXNG0168_MO_BlankRow_MA</vt:lpstr>
      <vt:lpstr>z_T2HXNG0168_MO_BlankRow_MA_1</vt:lpstr>
      <vt:lpstr>z_T2HXNG0168_MO_BlankRow_MA_2</vt:lpstr>
      <vt:lpstr>z_T2HXNG0168_MO_BlankRow_MA_3</vt:lpstr>
      <vt:lpstr>z_T2HXNG0168_MO_BlankRow_MA_4</vt:lpstr>
      <vt:lpstr>z_T2HXNG0168_MO_BlankRow_MA_5</vt:lpstr>
      <vt:lpstr>z_T2HXNG0168_MO_BlankRow_MA_6</vt:lpstr>
      <vt:lpstr>z_T2HXNG0168_MO_BlankRow_OS</vt:lpstr>
      <vt:lpstr>z_T2HXNG0168_MO_BlankRow_OS_27</vt:lpstr>
      <vt:lpstr>z_T2HXNG0168_MO_BlankRow_OS_28</vt:lpstr>
      <vt:lpstr>z_T2HXNG0168_MO_BlankRow_OS_29</vt:lpstr>
      <vt:lpstr>z_T2HXNG0168_MO_BlankRow_OS_30</vt:lpstr>
      <vt:lpstr>z_T2HXNG0168_MO_BlankRow_OS_31</vt:lpstr>
      <vt:lpstr>z_T2HXNG0168_MO_BlankRow_OS_32</vt:lpstr>
      <vt:lpstr>z_T2HXNG0168_MO_BlankRow_OS_33</vt:lpstr>
      <vt:lpstr>z_T2HXNG0168_MO_BlankRow_OS_34</vt:lpstr>
      <vt:lpstr>z_T2HXNG0168_MO_BlankRow_OS_35</vt:lpstr>
      <vt:lpstr>z_T2HXNG0168_MO_BlankRow_OS_36</vt:lpstr>
      <vt:lpstr>z_T2HXNG0168_MO_BlankRow_OS_37</vt:lpstr>
      <vt:lpstr>z_T2HXNG0168_MO_BlankRow_OS_38</vt:lpstr>
      <vt:lpstr>z_T2HXNG0168_MO_BlankRow_OS_39</vt:lpstr>
      <vt:lpstr>z_T2HXNG0168_MO_BlankRow_OS_40</vt:lpstr>
      <vt:lpstr>z_T2HXNG0168_MO_BlankRow_OS_41</vt:lpstr>
      <vt:lpstr>z_T2HXNG0168_MO_BlankRow_OS_42</vt:lpstr>
      <vt:lpstr>z_T2HXNG0168_MO_BlankRow_OS_43</vt:lpstr>
      <vt:lpstr>z_T2HXNG0168_MO_BlankRow_OS_44</vt:lpstr>
      <vt:lpstr>z_T2HXNG0168_MO_BlankRow_OS_45</vt:lpstr>
      <vt:lpstr>z_T2HXNG0168_MO_BlankRow_OS_46</vt:lpstr>
      <vt:lpstr>z_T2HXNG0168_MO_BlankRow_OS_47</vt:lpstr>
      <vt:lpstr>z_T2HXNG0168_MO_BlankRow_OS_48</vt:lpstr>
      <vt:lpstr>z_T2HXNG0168_MO_BlankRow_OS_49</vt:lpstr>
      <vt:lpstr>z_T2HXNG0168_MO_BlankRow_OS_50</vt:lpstr>
      <vt:lpstr>z_T2HXNG0168_MO_BlankRow_OS_51</vt:lpstr>
      <vt:lpstr>z_T2HXNG0168_MO_BlankRow_OS_52</vt:lpstr>
      <vt:lpstr>z_T2HXNG0168_MO_BlankRow_OS_53</vt:lpstr>
      <vt:lpstr>z_T2HXNG0168_MO_BlankRow_OS_54</vt:lpstr>
      <vt:lpstr>z_T2HXNG0168_MO_BlankRow_OS_55</vt:lpstr>
      <vt:lpstr>z_T2HXNG0168_MO_BlankRow_OS_56</vt:lpstr>
      <vt:lpstr>z_T2HXNG0168_MO_BlankRow_OS_57</vt:lpstr>
      <vt:lpstr>z_T2HXNG0168_MO_BlankRow_OS_58</vt:lpstr>
      <vt:lpstr>z_T2HXNG0168_MO_BlankRow_OS_7</vt:lpstr>
      <vt:lpstr>z_T2HXNG0168_MO_BlankRow_RIS</vt:lpstr>
      <vt:lpstr>z_T2HXNG0168_MO_BlankRow_RIS_1</vt:lpstr>
      <vt:lpstr>z_T2HXNG0168_MO_BlankRow_RIS_10</vt:lpstr>
      <vt:lpstr>z_T2HXNG0168_MO_BlankRow_RIS_2</vt:lpstr>
      <vt:lpstr>z_T2HXNG0168_MO_BlankRow_RIS_3</vt:lpstr>
      <vt:lpstr>z_T2HXNG0168_MO_BlankRow_RIS_4</vt:lpstr>
      <vt:lpstr>z_T2HXNG0168_MO_BlankRow_RIS_5</vt:lpstr>
      <vt:lpstr>z_T2HXNG0168_MO_BlankRow_RIS_6</vt:lpstr>
      <vt:lpstr>z_T2HXNG0168_MO_BlankRow_RIS_9</vt:lpstr>
      <vt:lpstr>z_T2HXNG0168_MO_BS_Accountspayable</vt:lpstr>
      <vt:lpstr>z_T2HXNG0168_MO_BS_Accountsreceivable</vt:lpstr>
      <vt:lpstr>z_T2HXNG0168_MO_BS_accruedcompensationandrelatedbenefits</vt:lpstr>
      <vt:lpstr>z_T2HXNG0168_MO_BS_Accumulatedothercomprehensiveloss</vt:lpstr>
      <vt:lpstr>z_T2HXNG0168_MO_BS_additionalpaidincapital</vt:lpstr>
      <vt:lpstr>z_T2HXNG0168_MO_BS_BSCheck</vt:lpstr>
      <vt:lpstr>z_T2HXNG0168_MO_BS_capitalizedsoftwarecosts</vt:lpstr>
      <vt:lpstr>z_T2HXNG0168_MO_BS_cashandcashequivalents</vt:lpstr>
      <vt:lpstr>z_T2HXNG0168_MO_BS_commonstock</vt:lpstr>
      <vt:lpstr>z_T2HXNG0168_MO_BS_Contractassets</vt:lpstr>
      <vt:lpstr>z_T2HXNG0168_MO_BS_Contractassets_1</vt:lpstr>
      <vt:lpstr>z_T2HXNG0168_MO_BS_CurrentAssets</vt:lpstr>
      <vt:lpstr>z_T2HXNG0168_MO_BS_CurrentLiabilities</vt:lpstr>
      <vt:lpstr>z_T2HXNG0168_MO_BS_deferredcompensation</vt:lpstr>
      <vt:lpstr>z_T2HXNG0168_MO_BS_deferredincometaxes</vt:lpstr>
      <vt:lpstr>z_T2HXNG0168_MO_BS_deferredincometaxes_1</vt:lpstr>
      <vt:lpstr>z_T2HXNG0168_MO_BS_deferredrevenue</vt:lpstr>
      <vt:lpstr>z_T2HXNG0168_MO_BS_deferredrevenue_1</vt:lpstr>
      <vt:lpstr>z_T2HXNG0168_MO_BS_Dividendspayable</vt:lpstr>
      <vt:lpstr>z_T2HXNG0168_MO_BS_Equipmentandimprovements</vt:lpstr>
      <vt:lpstr>z_T2HXNG0168_MO_BS_Goodwill</vt:lpstr>
      <vt:lpstr>z_T2HXNG0168_MO_BS_incometaxespayable</vt:lpstr>
      <vt:lpstr>z_T2HXNG0168_MO_BS_incometaxesreceivable</vt:lpstr>
      <vt:lpstr>z_T2HXNG0168_MO_BS_Intangibles</vt:lpstr>
      <vt:lpstr>z_T2HXNG0168_MO_BS_Inventories</vt:lpstr>
      <vt:lpstr>z_T2HXNG0168_MO_BS_lineofcredit</vt:lpstr>
      <vt:lpstr>z_T2HXNG0168_MO_BS_marketablesecurities</vt:lpstr>
      <vt:lpstr>z_T2HXNG0168_MO_BS_NCI</vt:lpstr>
      <vt:lpstr>z_T2HXNG0168_MO_BS_NetIncomeonReportedISNIonRevised</vt:lpstr>
      <vt:lpstr>z_T2HXNG0168_MO_BS_NetIncomeonRevisedISNIonCFstatement</vt:lpstr>
      <vt:lpstr>z_T2HXNG0168_MO_BS_NonCurrentAssets</vt:lpstr>
      <vt:lpstr>z_T2HXNG0168_MO_BS_NonCurrentLiabilities</vt:lpstr>
      <vt:lpstr>z_T2HXNG0168_MO_BS_Operatingleaseassets</vt:lpstr>
      <vt:lpstr>z_T2HXNG0168_MO_BS_Operatingleaseliabilities</vt:lpstr>
      <vt:lpstr>z_T2HXNG0168_MO_BS_Operatingleaseliabilities_1</vt:lpstr>
      <vt:lpstr>z_T2HXNG0168_MO_BS_Otherassets</vt:lpstr>
      <vt:lpstr>z_T2HXNG0168_MO_BS_Othercurrentliabilities</vt:lpstr>
      <vt:lpstr>z_T2HXNG0168_MO_BS_Otherintangibles</vt:lpstr>
      <vt:lpstr>z_T2HXNG0168_MO_BS_Othernoncurrentliabilities</vt:lpstr>
      <vt:lpstr>z_T2HXNG0168_MO_BS_Prepaidexpensesandothercurrentassets</vt:lpstr>
      <vt:lpstr>z_T2HXNG0168_MO_BS_restrictedcashandcashequivalents</vt:lpstr>
      <vt:lpstr>z_T2HXNG0168_MO_BS_retainedearnings</vt:lpstr>
      <vt:lpstr>z_T2HXNG0168_MO_BS_ShareholdersEquity</vt:lpstr>
      <vt:lpstr>z_T2HXNG0168_MO_BS_TotalAssets</vt:lpstr>
      <vt:lpstr>z_T2HXNG0168_MO_BS_TotalCurrentAssets</vt:lpstr>
      <vt:lpstr>z_T2HXNG0168_MO_BS_TotalCurrentLiabilities</vt:lpstr>
      <vt:lpstr>z_T2HXNG0168_MO_BS_TotalLiabilities</vt:lpstr>
      <vt:lpstr>z_T2HXNG0168_MO_BS_TotalLiabilitiesSE</vt:lpstr>
      <vt:lpstr>z_T2HXNG0168_MO_BS_TotalNonCurrentAssets</vt:lpstr>
      <vt:lpstr>z_T2HXNG0168_MO_BS_TotalNonCurrentliabilities</vt:lpstr>
      <vt:lpstr>z_T2HXNG0168_MO_BS_TotalSE</vt:lpstr>
      <vt:lpstr>z_T2HXNG0168_MO_BSS_Cash</vt:lpstr>
      <vt:lpstr>z_T2HXNG0168_MO_BSS_Debt</vt:lpstr>
      <vt:lpstr>z_T2HXNG0168_MO_BSS_DebtCashFlow</vt:lpstr>
      <vt:lpstr>z_T2HXNG0168_MO_BSS_DebtEBITDA</vt:lpstr>
      <vt:lpstr>z_T2HXNG0168_MO_BSS_EBITDANetInterestExpense</vt:lpstr>
      <vt:lpstr>z_T2HXNG0168_MO_BSS_EffectiveInterestRateonCash</vt:lpstr>
      <vt:lpstr>z_T2HXNG0168_MO_BSS_EffectiveInterestRateonDebt</vt:lpstr>
      <vt:lpstr>z_T2HXNG0168_MO_BSS_EffectiveNetInterestRateonDebt</vt:lpstr>
      <vt:lpstr>z_T2HXNG0168_MO_BSS_InterestExpense</vt:lpstr>
      <vt:lpstr>z_T2HXNG0168_MO_BSS_InterestIncome</vt:lpstr>
      <vt:lpstr>z_T2HXNG0168_MO_BSS_LTDebt</vt:lpstr>
      <vt:lpstr>z_T2HXNG0168_MO_BSS_NetDebt</vt:lpstr>
      <vt:lpstr>z_T2HXNG0168_MO_BSS_NetInterestExpenseIncome</vt:lpstr>
      <vt:lpstr>z_T2HXNG0168_MO_BSS_OperatingLeaseLiabilities</vt:lpstr>
      <vt:lpstr>z_T2HXNG0168_MO_BSS_STDebt</vt:lpstr>
      <vt:lpstr>z_T2HXNG0168_MO_CCFS_accountspayable</vt:lpstr>
      <vt:lpstr>z_T2HXNG0168_MO_CCFS_accountsreceivable</vt:lpstr>
      <vt:lpstr>z_T2HXNG0168_MO_CCFS_accruedcompensationandrelatedbenefits</vt:lpstr>
      <vt:lpstr>z_T2HXNG0168_MO_CCFS_additionstocapitalizedsoftwarecosts</vt:lpstr>
      <vt:lpstr>z_T2HXNG0168_MO_CCFS_additionstoequipmentandimprovements</vt:lpstr>
      <vt:lpstr>z_T2HXNG0168_MO_CCFS_amortizationofcapitalizedsoftwarecosts</vt:lpstr>
      <vt:lpstr>z_T2HXNG0168_MO_CCFS_Amortizationofdebtissuancecosts</vt:lpstr>
      <vt:lpstr>z_T2HXNG0168_MO_CCFS_Amortizationofotherintangibles</vt:lpstr>
      <vt:lpstr>z_T2HXNG0168_MO_CCFS_BeginningCashBalance</vt:lpstr>
      <vt:lpstr>z_T2HXNG0168_MO_CCFS_Cancellationofsharesrelatedtotaxwithholdingsforvestingofequityawards</vt:lpstr>
      <vt:lpstr>z_T2HXNG0168_MO_CCFS_CFF</vt:lpstr>
      <vt:lpstr>z_T2HXNG0168_MO_CCFS_CFI</vt:lpstr>
      <vt:lpstr>z_T2HXNG0168_MO_CCFS_CFO</vt:lpstr>
      <vt:lpstr>z_T2HXNG0168_MO_CCFS_CFObeforeWC</vt:lpstr>
      <vt:lpstr>z_T2HXNG0168_MO_CCFS_changeinfairvalueofcontingentconsideration</vt:lpstr>
      <vt:lpstr>z_T2HXNG0168_MO_CCFS_Contractassets</vt:lpstr>
      <vt:lpstr>z_T2HXNG0168_MO_CCFS_Contractliabilities</vt:lpstr>
      <vt:lpstr>z_T2HXNG0168_MO_CCFS_deferredcompensation</vt:lpstr>
      <vt:lpstr>z_T2HXNG0168_MO_CCFS_deferredincometaxes</vt:lpstr>
      <vt:lpstr>z_T2HXNG0168_MO_CCFS_deferredrevenue</vt:lpstr>
      <vt:lpstr>z_T2HXNG0168_MO_CCFS_depreciation</vt:lpstr>
      <vt:lpstr>z_T2HXNG0168_MO_CCFS_Dividendspaid</vt:lpstr>
      <vt:lpstr>z_T2HXNG0168_MO_CCFS_EndingCashBalance</vt:lpstr>
      <vt:lpstr>z_T2HXNG0168_MO_CCFS_excesstaxbenefitfromsharebasedcompensation</vt:lpstr>
      <vt:lpstr>z_T2HXNG0168_MO_CCFS_FX</vt:lpstr>
      <vt:lpstr>z_T2HXNG0168_MO_CCFS_healthfusionworkingcapitaladjustmentpayment</vt:lpstr>
      <vt:lpstr>z_T2HXNG0168_MO_CCFS_impairmentofassets</vt:lpstr>
      <vt:lpstr>z_T2HXNG0168_MO_CCFS_incometaxes</vt:lpstr>
      <vt:lpstr>z_T2HXNG0168_MO_CCFS_incometaxesreceivable</vt:lpstr>
      <vt:lpstr>z_T2HXNG0168_MO_CCFS_inventories</vt:lpstr>
      <vt:lpstr>z_T2HXNG0168_MO_CCFS_lossondisposalofequipmentandimprovements</vt:lpstr>
      <vt:lpstr>z_T2HXNG0168_MO_CCFS_lossondispositionofhospitalsolutionsdivision</vt:lpstr>
      <vt:lpstr>z_T2HXNG0168_MO_CCFS_NetCFF</vt:lpstr>
      <vt:lpstr>z_T2HXNG0168_MO_CCFS_NetCFI</vt:lpstr>
      <vt:lpstr>z_T2HXNG0168_MO_CCFS_NetCFO</vt:lpstr>
      <vt:lpstr>z_T2HXNG0168_MO_CCFS_NetChangeinCashBalance</vt:lpstr>
      <vt:lpstr>z_T2HXNG0168_MO_CCFS_netincomeloss</vt:lpstr>
      <vt:lpstr>z_T2HXNG0168_MO_CCFS_Noncashoperatingleasecosts</vt:lpstr>
      <vt:lpstr>z_T2HXNG0168_MO_CCFS_Operatingleaseliabilities</vt:lpstr>
      <vt:lpstr>z_T2HXNG0168_MO_CCFS_Otherassets</vt:lpstr>
      <vt:lpstr>z_T2HXNG0168_MO_CCFS_Otherassetsandliabilities</vt:lpstr>
      <vt:lpstr>z_T2HXNG0168_MO_CCFS_Othercurrentassets</vt:lpstr>
      <vt:lpstr>z_T2HXNG0168_MO_CCFS_Othercurrentliabilities</vt:lpstr>
      <vt:lpstr>z_T2HXNG0168_MO_CCFS_Paymentofcontingentconsiderationrelatedtoacquisitions</vt:lpstr>
      <vt:lpstr>z_T2HXNG0168_MO_CCFS_Paymentofdebtissuancecosts</vt:lpstr>
      <vt:lpstr>z_T2HXNG0168_MO_CCFS_Paymentsforacquisitions</vt:lpstr>
      <vt:lpstr>z_T2HXNG0168_MO_CCFS_principalrepaymentsonlineofcredit</vt:lpstr>
      <vt:lpstr>z_T2HXNG0168_MO_CCFS_proceedsfordisposalofequipmentandimprovements</vt:lpstr>
      <vt:lpstr>z_T2HXNG0168_MO_CCFS_Proceedsfromcorporateownedlifeinsurancepolicies</vt:lpstr>
      <vt:lpstr>z_T2HXNG0168_MO_CCFS_proceedsfromissuanceofsharesunderemployeeplans</vt:lpstr>
      <vt:lpstr>z_T2HXNG0168_MO_CCFS_proceedsfromlineofcredit</vt:lpstr>
      <vt:lpstr>z_T2HXNG0168_MO_CCFS_proceedsfromsalesandmaturitiesofmarketablesecurities</vt:lpstr>
      <vt:lpstr>z_T2HXNG0168_MO_CCFS_Provisionforbaddebts</vt:lpstr>
      <vt:lpstr>z_T2HXNG0168_MO_CCFS_provisionforinventoryobsolescence</vt:lpstr>
      <vt:lpstr>z_T2HXNG0168_MO_CCFS_purchasesofmarketablesecurities</vt:lpstr>
      <vt:lpstr>z_T2HXNG0168_MO_CCFS_Repurchaseofcommonstocks</vt:lpstr>
      <vt:lpstr>z_T2HXNG0168_MO_CCFS_restructuringcosts</vt:lpstr>
      <vt:lpstr>z_T2HXNG0168_MO_CCFS_sharebasedcompensation</vt:lpstr>
      <vt:lpstr>z_T2HXNG0168_MO_CFS_accountspayable</vt:lpstr>
      <vt:lpstr>z_T2HXNG0168_MO_CFS_accountsreceivable</vt:lpstr>
      <vt:lpstr>z_T2HXNG0168_MO_CFS_accruedcompensationandrelatedbenefits</vt:lpstr>
      <vt:lpstr>z_T2HXNG0168_MO_CFS_additionstocapitalizedsoftwarecosts</vt:lpstr>
      <vt:lpstr>z_T2HXNG0168_MO_CFS_additionstoequipmentandimprovements</vt:lpstr>
      <vt:lpstr>z_T2HXNG0168_MO_CFS_amortizationofcapitalizedsoftwarecosts</vt:lpstr>
      <vt:lpstr>z_T2HXNG0168_MO_CFS_Amortizationofdebtissuancecosts</vt:lpstr>
      <vt:lpstr>z_T2HXNG0168_MO_CFS_Amortizationofotherintangibles</vt:lpstr>
      <vt:lpstr>z_T2HXNG0168_MO_CFS_BeginningCashBalance</vt:lpstr>
      <vt:lpstr>z_T2HXNG0168_MO_CFS_Cancellationofsharesrelatedtotaxwithholdingsforvestingofequityawards</vt:lpstr>
      <vt:lpstr>z_T2HXNG0168_MO_CFS_CFCheck</vt:lpstr>
      <vt:lpstr>z_T2HXNG0168_MO_CFS_CFF</vt:lpstr>
      <vt:lpstr>z_T2HXNG0168_MO_CFS_CFI</vt:lpstr>
      <vt:lpstr>z_T2HXNG0168_MO_CFS_CFO</vt:lpstr>
      <vt:lpstr>z_T2HXNG0168_MO_CFS_CFObeforeWC</vt:lpstr>
      <vt:lpstr>z_T2HXNG0168_MO_CFS_changeinfairvalueofcontingentconsideration</vt:lpstr>
      <vt:lpstr>z_T2HXNG0168_MO_CFS_Contractassets</vt:lpstr>
      <vt:lpstr>z_T2HXNG0168_MO_CFS_Contractliabilities</vt:lpstr>
      <vt:lpstr>z_T2HXNG0168_MO_CFS_deferredcompensation</vt:lpstr>
      <vt:lpstr>z_T2HXNG0168_MO_CFS_deferredincometaxes</vt:lpstr>
      <vt:lpstr>z_T2HXNG0168_MO_CFS_deferredrevenue</vt:lpstr>
      <vt:lpstr>z_T2HXNG0168_MO_CFS_depreciation</vt:lpstr>
      <vt:lpstr>z_T2HXNG0168_MO_CFS_Dividendspaid</vt:lpstr>
      <vt:lpstr>z_T2HXNG0168_MO_CFS_EndingCashBalance</vt:lpstr>
      <vt:lpstr>z_T2HXNG0168_MO_CFS_excesstaxbenefitfromsharebasedcompensation</vt:lpstr>
      <vt:lpstr>z_T2HXNG0168_MO_CFS_FX</vt:lpstr>
      <vt:lpstr>z_T2HXNG0168_MO_CFS_healthfusionworkingcapitaladjustmentpayment</vt:lpstr>
      <vt:lpstr>z_T2HXNG0168_MO_CFS_impairmentofassets</vt:lpstr>
      <vt:lpstr>z_T2HXNG0168_MO_CFS_incometaxes</vt:lpstr>
      <vt:lpstr>z_T2HXNG0168_MO_CFS_incometaxesreceivable</vt:lpstr>
      <vt:lpstr>z_T2HXNG0168_MO_CFS_inventories</vt:lpstr>
      <vt:lpstr>z_T2HXNG0168_MO_CFS_lossondisposalofequipmentandimprovements</vt:lpstr>
      <vt:lpstr>z_T2HXNG0168_MO_CFS_lossondispositionofhospitalsolutionsdivision</vt:lpstr>
      <vt:lpstr>z_T2HXNG0168_MO_CFS_NetCFF</vt:lpstr>
      <vt:lpstr>z_T2HXNG0168_MO_CFS_NetCFI</vt:lpstr>
      <vt:lpstr>z_T2HXNG0168_MO_CFS_NetCFO</vt:lpstr>
      <vt:lpstr>z_T2HXNG0168_MO_CFS_NetChangeinCashBalance</vt:lpstr>
      <vt:lpstr>z_T2HXNG0168_MO_CFS_netincomeloss</vt:lpstr>
      <vt:lpstr>z_T2HXNG0168_MO_CFS_Noncashoperatingleasecosts</vt:lpstr>
      <vt:lpstr>z_T2HXNG0168_MO_CFS_Operatingleaseliabilities</vt:lpstr>
      <vt:lpstr>z_T2HXNG0168_MO_CFS_Otherassets</vt:lpstr>
      <vt:lpstr>z_T2HXNG0168_MO_CFS_Otherassetsandliabilities</vt:lpstr>
      <vt:lpstr>z_T2HXNG0168_MO_CFS_Othercurrentassets</vt:lpstr>
      <vt:lpstr>z_T2HXNG0168_MO_CFS_Othercurrentliabilities</vt:lpstr>
      <vt:lpstr>z_T2HXNG0168_MO_CFS_Paymentofcontingentconsiderationrelatedtoacquisitions</vt:lpstr>
      <vt:lpstr>z_T2HXNG0168_MO_CFS_Paymentofdebtissuancecosts</vt:lpstr>
      <vt:lpstr>z_T2HXNG0168_MO_CFS_Paymentsforacquisitions</vt:lpstr>
      <vt:lpstr>z_T2HXNG0168_MO_CFS_principalrepaymentsonlineofcredit</vt:lpstr>
      <vt:lpstr>z_T2HXNG0168_MO_CFS_proceedsfordisposalofequipmentandimprovements</vt:lpstr>
      <vt:lpstr>z_T2HXNG0168_MO_CFS_Proceedsfromcorporateownedlifeinsurancepolicies</vt:lpstr>
      <vt:lpstr>z_T2HXNG0168_MO_CFS_proceedsfromissuanceofsharesunderemployeeplans</vt:lpstr>
      <vt:lpstr>z_T2HXNG0168_MO_CFS_proceedsfromlineofcredit</vt:lpstr>
      <vt:lpstr>z_T2HXNG0168_MO_CFS_proceedsfromsalesandmaturitiesofmarketablesecurities</vt:lpstr>
      <vt:lpstr>z_T2HXNG0168_MO_CFS_Provisionforbaddebts</vt:lpstr>
      <vt:lpstr>z_T2HXNG0168_MO_CFS_provisionforinventoryobsolescence</vt:lpstr>
      <vt:lpstr>z_T2HXNG0168_MO_CFS_purchasesofmarketablesecurities</vt:lpstr>
      <vt:lpstr>z_T2HXNG0168_MO_CFS_Repurchaseofcommonstocks</vt:lpstr>
      <vt:lpstr>z_T2HXNG0168_MO_CFS_restructuringcosts</vt:lpstr>
      <vt:lpstr>z_T2HXNG0168_MO_CFS_sharebasedcompensation</vt:lpstr>
      <vt:lpstr>z_T2HXNG0168_MO_CFSum__12</vt:lpstr>
      <vt:lpstr>z_T2HXNG0168_MO_CFSum_Acquisitions</vt:lpstr>
      <vt:lpstr>z_T2HXNG0168_MO_CFSum_Capex</vt:lpstr>
      <vt:lpstr>z_T2HXNG0168_MO_CFSum_CashFlowPerDilutedShare</vt:lpstr>
      <vt:lpstr>z_T2HXNG0168_MO_CFSum_ConsensusEstimatesCapex</vt:lpstr>
      <vt:lpstr>z_T2HXNG0168_MO_CFSum_consensusestimatescashflowperdilutedshare</vt:lpstr>
      <vt:lpstr>z_T2HXNG0168_MO_CFSum_Divestiture</vt:lpstr>
      <vt:lpstr>z_T2HXNG0168_MO_CFSum_DividendPaid</vt:lpstr>
      <vt:lpstr>z_T2HXNG0168_MO_CFSum_DividendPerShare</vt:lpstr>
      <vt:lpstr>z_T2HXNG0168_MO_CFSum_EstimatedSharePriceforIssuanceBuybacks</vt:lpstr>
      <vt:lpstr>z_T2HXNG0168_MO_CFSum_FCF</vt:lpstr>
      <vt:lpstr>z_T2HXNG0168_MO_CFSum_FCF_1</vt:lpstr>
      <vt:lpstr>z_T2HXNG0168_MO_CFSum_FCF_2</vt:lpstr>
      <vt:lpstr>z_T2HXNG0168_MO_CFSum_FCFPostDivDebtBuyback</vt:lpstr>
      <vt:lpstr>z_T2HXNG0168_MO_CFSum_NetDebtIssuanceRepayment</vt:lpstr>
      <vt:lpstr>z_T2HXNG0168_MO_CFSum_NetShareIssuanceBuybacks</vt:lpstr>
      <vt:lpstr>z_T2HXNG0168_MO_CFSum_OperatingCashFlowbeforeWC</vt:lpstr>
      <vt:lpstr>z_T2HXNG0168_MO_GA_Electronicdatainterchangeanddataservicesrevenuesgrowth</vt:lpstr>
      <vt:lpstr>z_T2HXNG0168_MO_GA_Managedservicesrevenuesgrowth</vt:lpstr>
      <vt:lpstr>z_T2HXNG0168_MO_GA_Othernonrecurringservicesrevenuesgrowth</vt:lpstr>
      <vt:lpstr>z_T2HXNG0168_MO_GA_Softwarelicenseandhardwarerevenuesgrowth</vt:lpstr>
      <vt:lpstr>z_T2HXNG0168_MO_GA_Subscriptionservicesrevenuesgrowth</vt:lpstr>
      <vt:lpstr>z_T2HXNG0168_MO_GA_Supportandmaintenancerevenuesgrowth</vt:lpstr>
      <vt:lpstr>z_T2HXNG0168_MO_GA_Totalrecurringrevenuesgrowth</vt:lpstr>
      <vt:lpstr>z_T2HXNG0168_MO_GA_Totalsoftwarehardwareandothernonrecurringrevenuesgrowth</vt:lpstr>
      <vt:lpstr>z_T2HXNG0168_MO_Header_ColumnHeader</vt:lpstr>
      <vt:lpstr>z_T2HXNG0168_MO_Header_CompanySubTitle</vt:lpstr>
      <vt:lpstr>z_T2HXNG0168_MO_Header_CompanyTitle</vt:lpstr>
      <vt:lpstr>z_T2HXNG0168_MO_Header_FPDays</vt:lpstr>
      <vt:lpstr>z_T2HXNG0168_MO_Header_QEndDate</vt:lpstr>
      <vt:lpstr>z_T2HXNG0168_MO_IS_amortizationofacquiredintangibleassets</vt:lpstr>
      <vt:lpstr>z_T2HXNG0168_MO_IS_Amortizationofcapitalizedsoftwarecostsandacquiredintangibleassets</vt:lpstr>
      <vt:lpstr>z_T2HXNG0168_MO_IS_electronicdatainterchangeanddataservices</vt:lpstr>
      <vt:lpstr>z_T2HXNG0168_MO_IS_electronicdatainterchangeanddataservices_1</vt:lpstr>
      <vt:lpstr>z_T2HXNG0168_MO_IS_grossprofit</vt:lpstr>
      <vt:lpstr>z_T2HXNG0168_MO_IS_impairmentofassets</vt:lpstr>
      <vt:lpstr>z_T2HXNG0168_MO_IS_incomefromoperations</vt:lpstr>
      <vt:lpstr>z_T2HXNG0168_MO_IS_incomelossbeforeprovisionforbenefitofincometaxes</vt:lpstr>
      <vt:lpstr>z_T2HXNG0168_MO_IS_interestexpense</vt:lpstr>
      <vt:lpstr>z_T2HXNG0168_MO_IS_interestincome</vt:lpstr>
      <vt:lpstr>z_T2HXNG0168_MO_IS_ISCheck</vt:lpstr>
      <vt:lpstr>z_T2HXNG0168_MO_IS_netincomeloss</vt:lpstr>
      <vt:lpstr>z_T2HXNG0168_MO_IS_Otherexpense</vt:lpstr>
      <vt:lpstr>z_T2HXNG0168_MO_IS_professionalservices</vt:lpstr>
      <vt:lpstr>z_T2HXNG0168_MO_IS_professionalservices_1</vt:lpstr>
      <vt:lpstr>z_T2HXNG0168_MO_IS_provisionforbenefitofincometaxes</vt:lpstr>
      <vt:lpstr>z_T2HXNG0168_MO_IS_Recurring</vt:lpstr>
      <vt:lpstr>z_T2HXNG0168_MO_IS_Recurring_1</vt:lpstr>
      <vt:lpstr>z_T2HXNG0168_MO_IS_researchanddevelopmentcosts</vt:lpstr>
      <vt:lpstr>z_T2HXNG0168_MO_IS_restructuringcosts</vt:lpstr>
      <vt:lpstr>z_T2HXNG0168_MO_IS_revenuecyclemanagementandrelatedservices</vt:lpstr>
      <vt:lpstr>z_T2HXNG0168_MO_IS_revenuecyclemanagementandrelatedservices_1</vt:lpstr>
      <vt:lpstr>z_T2HXNG0168_MO_IS_selling</vt:lpstr>
      <vt:lpstr>z_T2HXNG0168_MO_IS_Softwarehardware</vt:lpstr>
      <vt:lpstr>z_T2HXNG0168_MO_IS_Softwarehardware_1</vt:lpstr>
      <vt:lpstr>z_T2HXNG0168_MO_IS_softwarelicenseandhardware</vt:lpstr>
      <vt:lpstr>z_T2HXNG0168_MO_IS_softwarelicenseandhardware_1</vt:lpstr>
      <vt:lpstr>z_T2HXNG0168_MO_IS_softwarerelatedsubscriptionservices</vt:lpstr>
      <vt:lpstr>z_T2HXNG0168_MO_IS_softwarerelatedsubscriptionservices_1</vt:lpstr>
      <vt:lpstr>z_T2HXNG0168_MO_IS_supportandmaintenance</vt:lpstr>
      <vt:lpstr>z_T2HXNG0168_MO_IS_supportandmaintenance_1</vt:lpstr>
      <vt:lpstr>z_T2HXNG0168_MO_IS_totalcostofmaintenanceedi</vt:lpstr>
      <vt:lpstr>z_T2HXNG0168_MO_IS_Totalcostofrevenue</vt:lpstr>
      <vt:lpstr>z_T2HXNG0168_MO_IS_totalmaintenanceedi</vt:lpstr>
      <vt:lpstr>z_T2HXNG0168_MO_IS_totaloperatingexpenses</vt:lpstr>
      <vt:lpstr>z_T2HXNG0168_MO_IS_Totalrevenue</vt:lpstr>
      <vt:lpstr>z_T2HXNG0168_MO_IS_totalsoftware</vt:lpstr>
      <vt:lpstr>z_T2HXNG0168_MO_IS_totalsoftware_1</vt:lpstr>
      <vt:lpstr>z_T2HXNG0168_MO_MA_AdjustedEBITDAMargin</vt:lpstr>
      <vt:lpstr>z_T2HXNG0168_MO_MA_AdjustedEBITMargin</vt:lpstr>
      <vt:lpstr>z_T2HXNG0168_MO_MA_AverageFXRate</vt:lpstr>
      <vt:lpstr>z_T2HXNG0168_MO_MA_COGSMargin_2</vt:lpstr>
      <vt:lpstr>z_T2HXNG0168_MO_MA_COGSMarginadjforSBCandAmortizationExpense</vt:lpstr>
      <vt:lpstr>z_T2HXNG0168_MO_MA_consensusestimatesadjustedebitdamargin</vt:lpstr>
      <vt:lpstr>z_T2HXNG0168_MO_MA_ConsensusEstimatesEBITMargin</vt:lpstr>
      <vt:lpstr>z_T2HXNG0168_MO_MA_consensusestimatesgrossmargin</vt:lpstr>
      <vt:lpstr>z_T2HXNG0168_MO_MA_EBITDAMargin</vt:lpstr>
      <vt:lpstr>z_T2HXNG0168_MO_MA_EBITMargin</vt:lpstr>
      <vt:lpstr>z_T2HXNG0168_MO_MA_EVSalesAvg</vt:lpstr>
      <vt:lpstr>z_T2HXNG0168_MO_MA_GrossMargin_2</vt:lpstr>
      <vt:lpstr>z_T2HXNG0168_MO_MA_GrossMarginadjforSBCandAmortizationExpense</vt:lpstr>
      <vt:lpstr>z_T2HXNG0168_MO_MA_RDMargin</vt:lpstr>
      <vt:lpstr>z_T2HXNG0168_MO_MA_RDMargin_1</vt:lpstr>
      <vt:lpstr>z_T2HXNG0168_MO_MA_SGAMargin</vt:lpstr>
      <vt:lpstr>z_T2HXNG0168_MO_MA_SGAMargin_1</vt:lpstr>
      <vt:lpstr>z_T2HXNG0168_MO_MA_StockPriceTradingCurAvg</vt:lpstr>
      <vt:lpstr>z_T2HXNG0168_MO_OS_AccruedCompensationandRelatedBenefits</vt:lpstr>
      <vt:lpstr>z_T2HXNG0168_MO_OS_AccruedCompensationandRelatedBenefitsasofLTMNetRevenue</vt:lpstr>
      <vt:lpstr>z_T2HXNG0168_MO_OS_AmortizationofCapitalizedSoftwareCostsandAcquiredIntangibleAssets</vt:lpstr>
      <vt:lpstr>z_T2HXNG0168_MO_OS_AmortizationofCapitalizedSoftwareCostsandAcquiredIntangibleAssets_1</vt:lpstr>
      <vt:lpstr>z_T2HXNG0168_MO_OS_ARRfromEDIandDataServicesRevenueGrowthRate</vt:lpstr>
      <vt:lpstr>z_T2HXNG0168_MO_OS_ARRfromManagedServicesRevenueGrowthRate</vt:lpstr>
      <vt:lpstr>z_T2HXNG0168_MO_OS_ARRfromSubscriptionServicesRevenueGrowthRate</vt:lpstr>
      <vt:lpstr>z_T2HXNG0168_MO_OS_ARRfromSupportandMaintenanceRevenueGrowthRate</vt:lpstr>
      <vt:lpstr>z_T2HXNG0168_MO_OS_AverageAccountsPayable_1</vt:lpstr>
      <vt:lpstr>z_T2HXNG0168_MO_OS_AverageAccountsReceivable_1</vt:lpstr>
      <vt:lpstr>z_T2HXNG0168_MO_OS_AverageAnnualisedEDIandDataServicesRevenueperProvider</vt:lpstr>
      <vt:lpstr>z_T2HXNG0168_MO_OS_AverageAnnualisedManagedServicesRevenueperProvider</vt:lpstr>
      <vt:lpstr>z_T2HXNG0168_MO_OS_AverageAnnualisedSubscriptionServicesRevenueperProvider</vt:lpstr>
      <vt:lpstr>z_T2HXNG0168_MO_OS_AverageAnnualisedSupportandMaintenanceRevenueperProvider</vt:lpstr>
      <vt:lpstr>z_T2HXNG0168_MO_OS_AverageDailyEDIandDataServicesRevenueperProvider</vt:lpstr>
      <vt:lpstr>z_T2HXNG0168_MO_OS_AverageDailyManagedServicesRevenueperProvider</vt:lpstr>
      <vt:lpstr>z_T2HXNG0168_MO_OS_AverageDailySubscriptionServicesRevenueperProvider</vt:lpstr>
      <vt:lpstr>z_T2HXNG0168_MO_OS_AverageDailySupportandMaintenanceRevenueperProvider</vt:lpstr>
      <vt:lpstr>z_T2HXNG0168_MO_OS_AverageInventories_1</vt:lpstr>
      <vt:lpstr>z_T2HXNG0168_MO_OS_CapitalisedCommissionsCostsCurrent</vt:lpstr>
      <vt:lpstr>z_T2HXNG0168_MO_OS_CapitalisedCommissionsCostsNoncurrent</vt:lpstr>
      <vt:lpstr>z_T2HXNG0168_MO_OS_CashConversionCycle_1</vt:lpstr>
      <vt:lpstr>z_T2HXNG0168_MO_OS_ConsolidatedCOGS</vt:lpstr>
      <vt:lpstr>z_T2HXNG0168_MO_OS_ConsolidatedGrossProfit</vt:lpstr>
      <vt:lpstr>z_T2HXNG0168_MO_OS_ConsolidatedOperatingIncome</vt:lpstr>
      <vt:lpstr>z_T2HXNG0168_MO_OS_ConsolidatedRevenue</vt:lpstr>
      <vt:lpstr>z_T2HXNG0168_MO_OS_CorporateandUnallocatedCosts</vt:lpstr>
      <vt:lpstr>z_T2HXNG0168_MO_OS_CostofRevenueMarginRecurringRevenue</vt:lpstr>
      <vt:lpstr>z_T2HXNG0168_MO_OS_CostofRevenueMarginSoftwareHardwareandotherNonrecurringRevenue</vt:lpstr>
      <vt:lpstr>z_T2HXNG0168_MO_OS_CostofRevenueRecurringRevenue</vt:lpstr>
      <vt:lpstr>z_T2HXNG0168_MO_OS_CostofRevenueSoftwareHardwareandotherNonrecurringRevenue</vt:lpstr>
      <vt:lpstr>z_T2HXNG0168_MO_OS_DaysInventoriesOutstanding</vt:lpstr>
      <vt:lpstr>z_T2HXNG0168_MO_OS_DaysPayablesOutstanding</vt:lpstr>
      <vt:lpstr>z_T2HXNG0168_MO_OS_DaysSalesOutstanding_1</vt:lpstr>
      <vt:lpstr>z_T2HXNG0168_MO_OS_EDIHospitalSolutionsDivisionRevenue</vt:lpstr>
      <vt:lpstr>z_T2HXNG0168_MO_OS_EDINextGenDivisionRevenue</vt:lpstr>
      <vt:lpstr>z_T2HXNG0168_MO_OS_EDIQSIDentalDivisionRevenue</vt:lpstr>
      <vt:lpstr>z_T2HXNG0168_MO_OS_EDIRCMServicesDivisionRevenue</vt:lpstr>
      <vt:lpstr>z_T2HXNG0168_MO_OS_EDIRevenue</vt:lpstr>
      <vt:lpstr>z_T2HXNG0168_MO_OS_ElectronicDataInterchangeandDataServicesGrossMargin</vt:lpstr>
      <vt:lpstr>z_T2HXNG0168_MO_OS_ElectronicDataInterchangeandDataServicesGrossProfit_2</vt:lpstr>
      <vt:lpstr>z_T2HXNG0168_MO_OS_ElectronicDataInterchangeandDataServicesRevenue_4</vt:lpstr>
      <vt:lpstr>z_T2HXNG0168_MO_OS_ElectronicDataInterchangeandDataServicesRevenueGrowth_1</vt:lpstr>
      <vt:lpstr>z_T2HXNG0168_MO_OS_Electronicdatainterchangeanddataservicesrevenues</vt:lpstr>
      <vt:lpstr>z_T2HXNG0168_MO_OS_EndingAccountsPayable_1</vt:lpstr>
      <vt:lpstr>z_T2HXNG0168_MO_OS_EndingAccountsReceivable_1</vt:lpstr>
      <vt:lpstr>z_T2HXNG0168_MO_OS_EndingInventories_1</vt:lpstr>
      <vt:lpstr>z_T2HXNG0168_MO_OS_EstimatedAnnualRecurringRevenueARRfromSubscriptionServicesRevenue</vt:lpstr>
      <vt:lpstr>z_T2HXNG0168_MO_OS_EstimatedARRfromEDIandDataServicesRevenue</vt:lpstr>
      <vt:lpstr>z_T2HXNG0168_MO_OS_EstimatedARRfromManagedServicesRevenue</vt:lpstr>
      <vt:lpstr>z_T2HXNG0168_MO_OS_EstimatedARRfromSupportandMaintenanceRevenue</vt:lpstr>
      <vt:lpstr>z_T2HXNG0168_MO_OS_GrossMarginRecurringRevenue</vt:lpstr>
      <vt:lpstr>z_T2HXNG0168_MO_OS_GrossMarginSoftwareHardwareandotherNonrecurringRevenue</vt:lpstr>
      <vt:lpstr>z_T2HXNG0168_MO_OS_GrossProfitRecurringRevenue</vt:lpstr>
      <vt:lpstr>z_T2HXNG0168_MO_OS_GrossProfitSoftwareHardwareandotherNonrecurringRevenue</vt:lpstr>
      <vt:lpstr>z_T2HXNG0168_MO_OS_HardwareandThirdPartySoftwareHospitalSolutionsDivisionRevenue</vt:lpstr>
      <vt:lpstr>z_T2HXNG0168_MO_OS_HardwareandThirdPartySoftwareNextGenDivisionRevenue</vt:lpstr>
      <vt:lpstr>z_T2HXNG0168_MO_OS_HardwareandThirdPartySoftwareQSIDentalDivisionRevenue</vt:lpstr>
      <vt:lpstr>z_T2HXNG0168_MO_OS_HardwareandThirdPartySoftwareRCMServicesDivisionRevenue</vt:lpstr>
      <vt:lpstr>z_T2HXNG0168_MO_OS_HardwareandThirdPartySoftwareRevenue</vt:lpstr>
      <vt:lpstr>z_T2HXNG0168_MO_OS_HospitalSolutionsDivisionCOGS</vt:lpstr>
      <vt:lpstr>z_T2HXNG0168_MO_OS_HospitalSolutionsDivisionGrossMargin</vt:lpstr>
      <vt:lpstr>z_T2HXNG0168_MO_OS_HospitalSolutionsDivisionGrossProfit</vt:lpstr>
      <vt:lpstr>z_T2HXNG0168_MO_OS_HospitalSolutionsDivisionOperatingIncome</vt:lpstr>
      <vt:lpstr>z_T2HXNG0168_MO_OS_HospitalSolutionsDivisionOperatingMargin</vt:lpstr>
      <vt:lpstr>z_T2HXNG0168_MO_OS_HospitalSolutionsDivisionRevenue_1</vt:lpstr>
      <vt:lpstr>z_T2HXNG0168_MO_OS_HospitalSolutionsDivisionRevenueGrowth</vt:lpstr>
      <vt:lpstr>z_T2HXNG0168_MO_OS_ImplementationandTrainingServicesHospitalSolutionsDivisionRevenue</vt:lpstr>
      <vt:lpstr>z_T2HXNG0168_MO_OS_ImplementationandTrainingServicesNextGenDivisionRevenue</vt:lpstr>
      <vt:lpstr>z_T2HXNG0168_MO_OS_ImplementationandTrainingServicesQSIDentalDivisionRevenue</vt:lpstr>
      <vt:lpstr>z_T2HXNG0168_MO_OS_ImplementationandTrainingServicesRCMServicesDivisionRevenue</vt:lpstr>
      <vt:lpstr>z_T2HXNG0168_MO_OS_ImplementationandTrainingServicesRevenue</vt:lpstr>
      <vt:lpstr>z_T2HXNG0168_MO_OS_LTMCOGSadjforSBCandAmortizationExpense</vt:lpstr>
      <vt:lpstr>z_T2HXNG0168_MO_OS_LTMNetRevenue</vt:lpstr>
      <vt:lpstr>z_T2HXNG0168_MO_OS_MaintenanceEDIRCMandOtherServicesHospitalSolutionsDivisionRevenue</vt:lpstr>
      <vt:lpstr>z_T2HXNG0168_MO_OS_MaintenanceEDIRCMandOtherServicesNextGenDivisionRevenue</vt:lpstr>
      <vt:lpstr>z_T2HXNG0168_MO_OS_MaintenanceEDIRCMandOtherServicesQSIDentalDivisionRevenue</vt:lpstr>
      <vt:lpstr>z_T2HXNG0168_MO_OS_MaintenanceEDIRCMandOtherServicesRCMServicesDivisionRevenue</vt:lpstr>
      <vt:lpstr>z_T2HXNG0168_MO_OS_MaintenanceEDIRCMandOtherServicesRevenue</vt:lpstr>
      <vt:lpstr>z_T2HXNG0168_MO_OS_MaintenanceHospitalSolutionsDivisionRevenue</vt:lpstr>
      <vt:lpstr>z_T2HXNG0168_MO_OS_MaintenanceNextGenDivisionRevenue</vt:lpstr>
      <vt:lpstr>z_T2HXNG0168_MO_OS_MaintenanceQSIDentalDivisionRevenue</vt:lpstr>
      <vt:lpstr>z_T2HXNG0168_MO_OS_MaintenanceRCMServicesDivisionRevenue</vt:lpstr>
      <vt:lpstr>z_T2HXNG0168_MO_OS_MaintenanceRevenue</vt:lpstr>
      <vt:lpstr>z_T2HXNG0168_MO_OS_Managedservicesrevenues</vt:lpstr>
      <vt:lpstr>z_T2HXNG0168_MO_OS_NextGenDivisionCOGS</vt:lpstr>
      <vt:lpstr>z_T2HXNG0168_MO_OS_NextGenDivisionGrossMargin</vt:lpstr>
      <vt:lpstr>z_T2HXNG0168_MO_OS_NextGenDivisionGrossProfit</vt:lpstr>
      <vt:lpstr>z_T2HXNG0168_MO_OS_NextGenDivisionOperatingIncome</vt:lpstr>
      <vt:lpstr>z_T2HXNG0168_MO_OS_NextGenDivisionOperatingMargin</vt:lpstr>
      <vt:lpstr>z_T2HXNG0168_MO_OS_NextGenDivisionRevenue_1</vt:lpstr>
      <vt:lpstr>z_T2HXNG0168_MO_OS_NextGenDivisionRevenueGrowth</vt:lpstr>
      <vt:lpstr>z_T2HXNG0168_MO_OS_OtherCurrentLiabilities</vt:lpstr>
      <vt:lpstr>z_T2HXNG0168_MO_OS_OtherCurrentLiabilitiesasofLTMNetRevenue</vt:lpstr>
      <vt:lpstr>z_T2HXNG0168_MO_OS_OtherHospitalSolutionsDivisionRevenue</vt:lpstr>
      <vt:lpstr>z_T2HXNG0168_MO_OS_OtherNextGenDivisionRevenue</vt:lpstr>
      <vt:lpstr>z_T2HXNG0168_MO_OS_Othernonrecurringservicesrevenues</vt:lpstr>
      <vt:lpstr>z_T2HXNG0168_MO_OS_OtherQSIDentalDivisionRevenue</vt:lpstr>
      <vt:lpstr>z_T2HXNG0168_MO_OS_OtherRCMServicesDivisionRevenue</vt:lpstr>
      <vt:lpstr>z_T2HXNG0168_MO_OS_PrepaidExpensesandOtherCurrentAssets</vt:lpstr>
      <vt:lpstr>z_T2HXNG0168_MO_OS_PrepaidExpensesandOtherCurrentAssetsasofLTMNetRevenue</vt:lpstr>
      <vt:lpstr>z_T2HXNG0168_MO_OS_ProfessionalServicesGrossMargin_1</vt:lpstr>
      <vt:lpstr>z_T2HXNG0168_MO_OS_ProfessionalServicesGrossProfit_1</vt:lpstr>
      <vt:lpstr>z_T2HXNG0168_MO_OS_ProfessionalServicesRevenue_2</vt:lpstr>
      <vt:lpstr>z_T2HXNG0168_MO_OS_ProfessionalServicesRevenue_4</vt:lpstr>
      <vt:lpstr>z_T2HXNG0168_MO_OS_ProfessionalServicesRevenueGrowth_1</vt:lpstr>
      <vt:lpstr>z_T2HXNG0168_MO_OS_ProvidersUsingNextGensSolutions</vt:lpstr>
      <vt:lpstr>z_T2HXNG0168_MO_OS_QSIDentalDivisionCOGS</vt:lpstr>
      <vt:lpstr>z_T2HXNG0168_MO_OS_QSIDentalDivisionGrossMargin</vt:lpstr>
      <vt:lpstr>z_T2HXNG0168_MO_OS_QSIDentalDivisionGrossProfit</vt:lpstr>
      <vt:lpstr>z_T2HXNG0168_MO_OS_QSIDentalDivisionOperatingIncome</vt:lpstr>
      <vt:lpstr>z_T2HXNG0168_MO_OS_QSIDentalDivisionOperatingMargin</vt:lpstr>
      <vt:lpstr>z_T2HXNG0168_MO_OS_QSIDentalDivisionRevenue_1</vt:lpstr>
      <vt:lpstr>z_T2HXNG0168_MO_OS_QSIDentalDivisionRevenueGrowth</vt:lpstr>
      <vt:lpstr>z_T2HXNG0168_MO_OS_RCMRCMServicesDivisionRevenue</vt:lpstr>
      <vt:lpstr>z_T2HXNG0168_MO_OS_RCMRevenue</vt:lpstr>
      <vt:lpstr>z_T2HXNG0168_MO_OS_RCMServicesDivisionCOGS</vt:lpstr>
      <vt:lpstr>z_T2HXNG0168_MO_OS_RCMServicesDivisionGrossMargin</vt:lpstr>
      <vt:lpstr>z_T2HXNG0168_MO_OS_RCMServicesDivisionGrossProfit</vt:lpstr>
      <vt:lpstr>z_T2HXNG0168_MO_OS_RCMServicesDivisionOperatingIncome</vt:lpstr>
      <vt:lpstr>z_T2HXNG0168_MO_OS_RCMServicesDivisionOperatingMargin</vt:lpstr>
      <vt:lpstr>z_T2HXNG0168_MO_OS_RCMServicesDivisionRevenue_1</vt:lpstr>
      <vt:lpstr>z_T2HXNG0168_MO_OS_RCMServicesDivisionRevenueGrowth</vt:lpstr>
      <vt:lpstr>z_T2HXNG0168_MO_OS_RecurringRevenueasofTotalRevenue</vt:lpstr>
      <vt:lpstr>z_T2HXNG0168_MO_OS_RevenueCycleManagementandRelatedServicesGrossMargin_1</vt:lpstr>
      <vt:lpstr>z_T2HXNG0168_MO_OS_RevenueCycleManagementandRelatedServicesGrossProfit_1</vt:lpstr>
      <vt:lpstr>z_T2HXNG0168_MO_OS_RevenueCycleManagementandRelatedServicesRevenue_2</vt:lpstr>
      <vt:lpstr>z_T2HXNG0168_MO_OS_RevenueCycleManagementandRelatedServicesRevenueGrowth_1</vt:lpstr>
      <vt:lpstr>z_T2HXNG0168_MO_OS_SoftwareHospitalSolutionsDivisionRevenue</vt:lpstr>
      <vt:lpstr>z_T2HXNG0168_MO_OS_SoftwareLicenseandHardwareGrossMargin_1</vt:lpstr>
      <vt:lpstr>z_T2HXNG0168_MO_OS_SoftwareLicenseandHardwareGrossProfit_1</vt:lpstr>
      <vt:lpstr>z_T2HXNG0168_MO_OS_SoftwareLicenseandHardwareRevenueGrowth_1</vt:lpstr>
      <vt:lpstr>z_T2HXNG0168_MO_OS_Softwarelicenseandhardwarerevenues</vt:lpstr>
      <vt:lpstr>z_T2HXNG0168_MO_OS_SoftwareNextGenDivisionRevenue</vt:lpstr>
      <vt:lpstr>z_T2HXNG0168_MO_OS_SoftwareQSIDentalDivisionRevenue</vt:lpstr>
      <vt:lpstr>z_T2HXNG0168_MO_OS_SoftwareRCMServicesDivisionRevenue</vt:lpstr>
      <vt:lpstr>z_T2HXNG0168_MO_OS_SoftwareRelatedSubscriptionServicesGrossMargin_1</vt:lpstr>
      <vt:lpstr>z_T2HXNG0168_MO_OS_SoftwareRelatedSubscriptionServicesGrossProfit_1</vt:lpstr>
      <vt:lpstr>z_T2HXNG0168_MO_OS_SoftwareRelatedSubscriptionServicesRevenue_2</vt:lpstr>
      <vt:lpstr>z_T2HXNG0168_MO_OS_SoftwareRelatedSubscriptionServicesRevenueGrowth_1</vt:lpstr>
      <vt:lpstr>z_T2HXNG0168_MO_OS_SoftwareRevenue</vt:lpstr>
      <vt:lpstr>z_T2HXNG0168_MO_OS_Subscriptionservicesrevenues</vt:lpstr>
      <vt:lpstr>z_T2HXNG0168_MO_OS_SupportandMaintenanceGrossMargin_1</vt:lpstr>
      <vt:lpstr>z_T2HXNG0168_MO_OS_SupportandMaintenanceGrossProfit_1</vt:lpstr>
      <vt:lpstr>z_T2HXNG0168_MO_OS_SupportandMaintenanceRevenue_4</vt:lpstr>
      <vt:lpstr>z_T2HXNG0168_MO_OS_SupportandMaintenanceRevenueGrowth_1</vt:lpstr>
      <vt:lpstr>z_T2HXNG0168_MO_OS_Supportandmaintenancerevenues</vt:lpstr>
      <vt:lpstr>z_T2HXNG0168_MO_OS_SystemSalesHospitalSolutionsDivisionRevenue</vt:lpstr>
      <vt:lpstr>z_T2HXNG0168_MO_OS_SystemSalesNextGenDivisionRevenue</vt:lpstr>
      <vt:lpstr>z_T2HXNG0168_MO_OS_SystemSalesQSIDentalDivisionRevenue</vt:lpstr>
      <vt:lpstr>z_T2HXNG0168_MO_OS_SystemSalesRCMServicesDivisionRevenue</vt:lpstr>
      <vt:lpstr>z_T2HXNG0168_MO_OS_SystemSalesRevenue</vt:lpstr>
      <vt:lpstr>z_T2HXNG0168_MO_OS_TotalBookings</vt:lpstr>
      <vt:lpstr>z_T2HXNG0168_MO_OS_TotalCapitalisedCommissionsCosts</vt:lpstr>
      <vt:lpstr>z_T2HXNG0168_MO_OS_TotalCostofRevenue</vt:lpstr>
      <vt:lpstr>z_T2HXNG0168_MO_OS_TotalGrossProfit_1</vt:lpstr>
      <vt:lpstr>z_T2HXNG0168_MO_OS_TotalMaintenanceEDIRCMandOtherServicesGrossMargin</vt:lpstr>
      <vt:lpstr>z_T2HXNG0168_MO_OS_TotalMaintenanceEDIRCMandOtherServicesGrossProfit</vt:lpstr>
      <vt:lpstr>z_T2HXNG0168_MO_OS_TotalMaintenanceEDIRCMandOtherServicesRevenue</vt:lpstr>
      <vt:lpstr>z_T2HXNG0168_MO_OS_TotalMaintenanceEDIRCMandOtherServicesRevenueGrowth</vt:lpstr>
      <vt:lpstr>z_T2HXNG0168_MO_OS_Totalrecurringrevenues</vt:lpstr>
      <vt:lpstr>z_T2HXNG0168_MO_OS_Totalrevenuegrowth</vt:lpstr>
      <vt:lpstr>z_T2HXNG0168_MO_OS_Totalrevenues</vt:lpstr>
      <vt:lpstr>z_T2HXNG0168_MO_OS_TotalSegmentedOperatingIncome</vt:lpstr>
      <vt:lpstr>z_T2HXNG0168_MO_OS_Totalsoftwarehardwareandothernonrecurringrevenues</vt:lpstr>
      <vt:lpstr>z_T2HXNG0168_MO_OS_TotalSoftwareHardwareandRelatedGrossMargin</vt:lpstr>
      <vt:lpstr>z_T2HXNG0168_MO_OS_TotalSoftwareHardwareandRelatedGrossProfit</vt:lpstr>
      <vt:lpstr>z_T2HXNG0168_MO_OS_TotalSoftwareHardwareandRelatedRevenue</vt:lpstr>
      <vt:lpstr>z_T2HXNG0168_MO_OS_TotalSoftwareHardwareandRelatedRevenueGrowth</vt:lpstr>
      <vt:lpstr>z_T2HXNG0168_MO_OS_TransactionPriceAllocatedtoRemainingPerformanceObligation</vt:lpstr>
      <vt:lpstr>z_T2HXNG0168_MO_OS_UnallocatedCOGS</vt:lpstr>
      <vt:lpstr>z_T2HXNG0168_MO_OS_UnallocatedCOGS_1</vt:lpstr>
      <vt:lpstr>z_T2HXNG0168_MO_RIS_AdjustedEarningsPerShareWAD</vt:lpstr>
      <vt:lpstr>z_T2HXNG0168_MO_RIS_AdjustedEBIT_1</vt:lpstr>
      <vt:lpstr>z_T2HXNG0168_MO_RIS_AdjustedEBITDANoAdjustments</vt:lpstr>
      <vt:lpstr>z_T2HXNG0168_MO_RIS_AdjustedNetIncome</vt:lpstr>
      <vt:lpstr>z_T2HXNG0168_MO_RIS_AdjustedSharesOutstandingWAD</vt:lpstr>
      <vt:lpstr>z_T2HXNG0168_MO_RIS_AdjustmentsforConvertibleSecurities</vt:lpstr>
      <vt:lpstr>z_T2HXNG0168_MO_RIS_AmortizationofIntangiblesincludedinCOGS</vt:lpstr>
      <vt:lpstr>z_T2HXNG0168_MO_RIS_AmortizationofintangiblesIncludedinOperatingExpenses</vt:lpstr>
      <vt:lpstr>z_T2HXNG0168_MO_RIS_COGSadjforDA</vt:lpstr>
      <vt:lpstr>z_T2HXNG0168_MO_RIS_consensusestimatesadjustedearningspersharewad</vt:lpstr>
      <vt:lpstr>z_T2HXNG0168_MO_RIS_consensusestimatesadjustedebitda</vt:lpstr>
      <vt:lpstr>z_T2HXNG0168_MO_RIS_ConsensusEstimatesEBIT</vt:lpstr>
      <vt:lpstr>z_T2HXNG0168_MO_RIS_consensusestimatesnetrevenue</vt:lpstr>
      <vt:lpstr>z_T2HXNG0168_MO_RIS_Currenttax</vt:lpstr>
      <vt:lpstr>z_T2HXNG0168_MO_RIS_Currenttaxrate</vt:lpstr>
      <vt:lpstr>z_T2HXNG0168_MO_RIS_DA</vt:lpstr>
      <vt:lpstr>z_T2HXNG0168_MO_RIS_Deferredtax</vt:lpstr>
      <vt:lpstr>z_T2HXNG0168_MO_RIS_Deferredtaxrate</vt:lpstr>
      <vt:lpstr>z_T2HXNG0168_MO_RIS_DilutedNetIncometoCommonShareholders</vt:lpstr>
      <vt:lpstr>z_T2HXNG0168_MO_RIS_DiscontinuedOperations</vt:lpstr>
      <vt:lpstr>z_T2HXNG0168_MO_RIS_EarningsPerShareWAB</vt:lpstr>
      <vt:lpstr>z_T2HXNG0168_MO_RIS_EarningsPerShareWAD</vt:lpstr>
      <vt:lpstr>z_T2HXNG0168_MO_RIS_EarningstoPreferredandOtherSecurities</vt:lpstr>
      <vt:lpstr>z_T2HXNG0168_MO_RIS_EBIT</vt:lpstr>
      <vt:lpstr>z_T2HXNG0168_MO_RIS_EBITDA</vt:lpstr>
      <vt:lpstr>z_T2HXNG0168_MO_RIS_EBT</vt:lpstr>
      <vt:lpstr>z_T2HXNG0168_MO_RIS_GrossProfit</vt:lpstr>
      <vt:lpstr>z_T2HXNG0168_MO_RIS_Interestexpense</vt:lpstr>
      <vt:lpstr>z_T2HXNG0168_MO_RIS_Interestincome</vt:lpstr>
      <vt:lpstr>z_T2HXNG0168_MO_RIS_NetIncomefromContinuedOperation</vt:lpstr>
      <vt:lpstr>z_T2HXNG0168_MO_RIS_NetIncometoCommonShareholders</vt:lpstr>
      <vt:lpstr>z_T2HXNG0168_MO_RIS_NetIncometoNCI</vt:lpstr>
      <vt:lpstr>z_T2HXNG0168_MO_RIS_NetRevenue</vt:lpstr>
      <vt:lpstr>z_T2HXNG0168_MO_RIS_NonGAAPAdjustments</vt:lpstr>
      <vt:lpstr>z_T2HXNG0168_MO_RIS_NonGAAPAdjustmentsforDilutiveSecurities</vt:lpstr>
      <vt:lpstr>z_T2HXNG0168_MO_RIS_Onetimeitem</vt:lpstr>
      <vt:lpstr>z_T2HXNG0168_MO_RIS_Onetimeitem_1</vt:lpstr>
      <vt:lpstr>z_T2HXNG0168_MO_RIS_Otheritems</vt:lpstr>
      <vt:lpstr>z_T2HXNG0168_MO_RIS_Otheritems_1</vt:lpstr>
      <vt:lpstr>z_T2HXNG0168_MO_RIS_RD</vt:lpstr>
      <vt:lpstr>z_T2HXNG0168_MO_RIS_SBC</vt:lpstr>
      <vt:lpstr>z_T2HXNG0168_MO_RIS_SGAadjforSBC</vt:lpstr>
      <vt:lpstr>z_T2HXNG0168_MO_RIS_SharesOutstandingWAB</vt:lpstr>
      <vt:lpstr>z_T2HXNG0168_MO_RIS_SharesOutstandingWAD</vt:lpstr>
      <vt:lpstr>z_T2HXNG0168_MO_Section_AN_AdjustedNumbers</vt:lpstr>
      <vt:lpstr>z_T2HXNG0168_MO_Section_BS_BalanceSheet</vt:lpstr>
      <vt:lpstr>z_T2HXNG0168_MO_Section_BS_ModelChecks</vt:lpstr>
      <vt:lpstr>z_T2HXNG0168_MO_Section_BSS_BalanceSheetSummary</vt:lpstr>
      <vt:lpstr>z_T2HXNG0168_MO_Section_CCFS_CumulativeCashFlowStatement</vt:lpstr>
      <vt:lpstr>z_T2HXNG0168_MO_Section_CFS_CashFlowStatement</vt:lpstr>
      <vt:lpstr>z_T2HXNG0168_MO_Section_CFSum_CashFlowSummary</vt:lpstr>
      <vt:lpstr>z_T2HXNG0168_MO_Section_GA_GrowthAnalysis</vt:lpstr>
      <vt:lpstr>z_T2HXNG0168_MO_Section_IS_IncomeStatement</vt:lpstr>
      <vt:lpstr>z_T2HXNG0168_MO_Section_MA_MarginAnalysis</vt:lpstr>
      <vt:lpstr>z_T2HXNG0168_MO_Section_OS_KeyMetricsAdditionalDataMDAFSCC</vt:lpstr>
      <vt:lpstr>z_T2HXNG0168_MO_Section_OS_KeyMetricsPerformanceObligationsFS</vt:lpstr>
      <vt:lpstr>z_T2HXNG0168_MO_Section_OS_SegmentedResultsCostofRevenueBreakdownFS</vt:lpstr>
      <vt:lpstr>z_T2HXNG0168_MO_Section_OS_SegmentedResultsHistoricalRevenueBreakdown20102015MDAFS</vt:lpstr>
      <vt:lpstr>z_T2HXNG0168_MO_Section_OS_SegmentedResultsHistoricalRevenueBreakdown20102017FS</vt:lpstr>
      <vt:lpstr>z_T2HXNG0168_MO_Section_OS_SegmentedResultsRevenueBreakdownFS_1</vt:lpstr>
      <vt:lpstr>z_T2HXNG0168_MO_Section_OS_WorkingCapitalForecasting</vt:lpstr>
      <vt:lpstr>z_T2HXNG0168_MO_Section_RIS_RevisedIncomeStatement</vt:lpstr>
      <vt:lpstr>z_T2HXNG0168_MO_Section_TB_Tables</vt:lpstr>
      <vt:lpstr>z_T2HXNG0168_MO_Section_VA_Valuation</vt:lpstr>
      <vt:lpstr>z_T2HXNG0168_MO_SubSection_OS_RCMHospitalSolutionsDivisionRevenue</vt:lpstr>
      <vt:lpstr>z_T2HXNG0168_MO_SubSection_OS_RCMNextGenDivisionRevenue</vt:lpstr>
      <vt:lpstr>z_T2HXNG0168_MO_SubSection_OS_RCMQSIDentalDivisionRevenue</vt:lpstr>
      <vt:lpstr>z_T2HXNG0168_MO_VA_EnterpriseValueAverage</vt:lpstr>
      <vt:lpstr>z_T2HXNG0168_MO_VA_enterprisevaluecomponents</vt:lpstr>
      <vt:lpstr>z_T2HXNG0168_MO_VA_EVEBITDAAverage</vt:lpstr>
      <vt:lpstr>z_T2HXNG0168_MO_VA_FCFYieldtoAverageEnterpriseValue</vt:lpstr>
      <vt:lpstr>z_T2HXNG0168_MO_VA_FCFYieldtoAverageMarketCap</vt:lpstr>
      <vt:lpstr>z_T2HXNG0168_MO_VA_MarketCapAverage</vt:lpstr>
      <vt:lpstr>z_T2HXNG0168_MO_VA_NoncontrollingInterest</vt:lpstr>
      <vt:lpstr>z_T2HXNG0168_MO_VA_OtherEVComponents</vt:lpstr>
      <vt:lpstr>z_T2HXNG0168_MO_VA_PCFAverage</vt:lpstr>
      <vt:lpstr>z_T2HXNG0168_MO_VA_PEAverage</vt:lpstr>
      <vt:lpstr>z_T2HXNG0168_MO_VA_PreferredShares</vt:lpstr>
      <vt:lpstr>z_T2HXNG0168_MO_VA_StockAvg</vt:lpstr>
      <vt:lpstr>z_T2HXNG0168_MO_VA_StockHigh</vt:lpstr>
      <vt:lpstr>z_T2HXNG0168_MO_VA_StockLow</vt:lpstr>
      <vt:lpstr>z_T2HXNG0168_MO_VA_StockPriceAverage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Canalyst</dc:creator>
  <cp:keywords/>
  <dc:description/>
  <cp:lastModifiedBy>Anil Shrivastava</cp:lastModifiedBy>
  <cp:lastPrinted>2016-04-29T05:43:54Z</cp:lastPrinted>
  <dcterms:created xsi:type="dcterms:W3CDTF">2016-04-22T21:21:10Z</dcterms:created>
  <dcterms:modified xsi:type="dcterms:W3CDTF">2020-07-23T18:43:23Z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0x010100E4D4D9351165C443AF5654A6B92E7AC1</vt:lpwstr>
  </property>
</Properties>
</file>