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029"/>
  <workbookPr codeName="ThisWorkbook" defaultThemeVersion="124226"/>
  <mc:AlternateContent xmlns:mc="http://schemas.openxmlformats.org/markup-compatibility/2006">
    <mc:Choice Requires="x15">
      <x15ac:absPath xmlns:x15ac="http://schemas.microsoft.com/office/spreadsheetml/2010/11/ac" url="https://325capitalcom.sharepoint.com/sites/325CapitalGroupDrive/Shared Documents/Screen/Python/"/>
    </mc:Choice>
  </mc:AlternateContent>
  <xr:revisionPtr revIDLastSave="0" documentId="8_{5ABD3796-6F79-4E58-8184-F3A338EDC51C}" xr6:coauthVersionLast="45" xr6:coauthVersionMax="45" xr10:uidLastSave="{00000000-0000-0000-0000-000000000000}"/>
  <bookViews>
    <workbookView xWindow="28680" yWindow="-120" windowWidth="29040" windowHeight="17640" activeTab="2" xr2:uid="{00000000-000D-0000-FFFF-FFFF00000000}"/>
  </bookViews>
  <sheets>
    <sheet name="Front Page" sheetId="1" r:id="rId1"/>
    <sheet name="Drivers" sheetId="7" r:id="rId2"/>
    <sheet name="Model" sheetId="2" r:id="rId3"/>
    <sheet name="Guidance" sheetId="6" r:id="rId4"/>
    <sheet name="Summary Page" sheetId="3" r:id="rId5"/>
    <sheet name="Update Log" sheetId="5" r:id="rId6"/>
  </sheets>
  <definedNames>
    <definedName name="_xlnm._FilterDatabase" localSheetId="3" hidden="1">Guidance!$A$5:$T$5</definedName>
    <definedName name="AA.AlternatePriceSourceStartPeriod">"Q1-2018"</definedName>
    <definedName name="AA.CompareQuarters.LatestMRQ">"Q3-2018"</definedName>
    <definedName name="AA.CSIN">"VVZVFH0115"</definedName>
    <definedName name="AA.CurrencyMatch">EXACT(HP.TradeCurrency,MO.ReportCurrency)</definedName>
    <definedName name="AA.DBMacroVersion">"1.0.13.0"</definedName>
    <definedName name="AA.DriversWorksheetVersion">"1.5.1.0"</definedName>
    <definedName name="AA.HardcodeChecker.LatestMRQ">"Q3-2019"</definedName>
    <definedName name="AA.ModelChecks.LatestMRQ">"Q2-2020"</definedName>
    <definedName name="AA.ModelChecks.LatestVersionNumber">"2.19.7.0"</definedName>
    <definedName name="AA.ModelColumnOrder">"QQFYFY"</definedName>
    <definedName name="AA.ModelVersion">"Q2-2020.21"</definedName>
    <definedName name="AA.PeriodGrouperVersion">"1.8.0.0"</definedName>
    <definedName name="AA.PersonalMacro.VersionNumber">"1.5.1.5"</definedName>
    <definedName name="AA.SessionToUploadId">""</definedName>
    <definedName name="AA.StartWorkType">""</definedName>
    <definedName name="AA.SubyearType">"Q"</definedName>
    <definedName name="AA.TemplateUpgradeAttempted">"TRUE"</definedName>
    <definedName name="AA.TemplateVersion">"6.1.0.0"</definedName>
    <definedName name="AA.UpdateType">"Partial"</definedName>
    <definedName name="DW.LastPrice">Drivers!$B$3</definedName>
    <definedName name="DW_Common_ColumnHeader">Drivers!$5:$5</definedName>
    <definedName name="DW_Common_CompanySubtitle">Drivers!$2:$2</definedName>
    <definedName name="DW_Common_CompanyTitle">Drivers!$1:$1</definedName>
    <definedName name="DW_Common_FPDays">Drivers!$3:$3</definedName>
    <definedName name="DW_Common_QEndDate">Drivers!$4:$4</definedName>
    <definedName name="DW_FCF_Capex">Drivers!$17:$17</definedName>
    <definedName name="DW_FCF_ChangeInWC">Drivers!$18:$18</definedName>
    <definedName name="DW_FCF_DA">Drivers!$16:$16</definedName>
    <definedName name="DW_FCF_EBIT">Drivers!$14:$14</definedName>
    <definedName name="DW_FCF_FCF">Drivers!$19:$19</definedName>
    <definedName name="DW_FCF_Tax">Drivers!$15:$15</definedName>
    <definedName name="DW_Section_Copyright">Drivers!$68:$68</definedName>
    <definedName name="DW_Section_LastRow">Drivers!$68:$68</definedName>
    <definedName name="FP.DataSource">'Front Page'!$H$16</definedName>
    <definedName name="FP.DataSourceName">'Front Page'!$H$15</definedName>
    <definedName name="FP.Disclaimer">'Front Page'!$C$22</definedName>
    <definedName name="FP.LastPrice">'Front Page'!$H$20</definedName>
    <definedName name="FP.LastPriceDate">'Front Page'!$F$20</definedName>
    <definedName name="FP.RealTimeToggle">'Front Page'!$H$18</definedName>
    <definedName name="FP.UpdateDate">'Front Page'!$H$11</definedName>
    <definedName name="FP.UpdateEvent">'Front Page'!$H$13</definedName>
    <definedName name="FP_Comment">'Front Page'!$P$9:$P$16</definedName>
    <definedName name="GD.CompanyName">Guidance!$B$1</definedName>
    <definedName name="GD.MRQ">Guidance!$F$2</definedName>
    <definedName name="GD_Difference_Mid_Absolute">Guidance!$O:$O</definedName>
    <definedName name="GD_Difference_Mid_Relative">Guidance!$P:$P</definedName>
    <definedName name="GD_Guidance_High">Guidance!$I:$I</definedName>
    <definedName name="GD_Guidance_Low">Guidance!$H:$H</definedName>
    <definedName name="GD_Guidance_Mid">Guidance!$J:$J</definedName>
    <definedName name="GD_Header_Column">Guidance!$5:$5</definedName>
    <definedName name="GD_Header_Section">Guidance!$4:$4</definedName>
    <definedName name="GD_Index">Guidance!$A:$A</definedName>
    <definedName name="GD_Item">Guidance!$D:$D</definedName>
    <definedName name="GD_Item_FiscalPeriod">Guidance!$F:$F</definedName>
    <definedName name="GD_Item_Name">Guidance!$E:$E</definedName>
    <definedName name="GD_Model_Output">Guidance!$M:$M</definedName>
    <definedName name="GD_Model_Type">Guidance!$L:$L</definedName>
    <definedName name="GD_Type">Guidance!$B:$B</definedName>
    <definedName name="GD_Update_Date">Guidance!$R:$R</definedName>
    <definedName name="GD_Update_Link">Guidance!$S:$S</definedName>
    <definedName name="HP.MRFX">Model!$B$543</definedName>
    <definedName name="HP.ReportCurrency">Model!$B$542</definedName>
    <definedName name="HP.Ticker">Model!$A$2</definedName>
    <definedName name="HP.TradeCurrency">Model!$B$540</definedName>
    <definedName name="HP.TradeCurrency.HardCoded">Model!$B$541</definedName>
    <definedName name="MO.CFY">Model!$B$547</definedName>
    <definedName name="MO.CompanyName">Model!$A$1</definedName>
    <definedName name="MO.DataSourceIndex">Model!$B$549</definedName>
    <definedName name="MO.DataSourceName">Model!$A$4</definedName>
    <definedName name="MO.FirstForecastedFiscalYear">Model!$B$548</definedName>
    <definedName name="MO.LastPrice">Model!$B$3</definedName>
    <definedName name="MO.LastPriceDate">Model!$B$537</definedName>
    <definedName name="MO.LastPriceFormula">Model!$B$539</definedName>
    <definedName name="MO.LastPriceHardcoded">Model!$B$536</definedName>
    <definedName name="MO.MRFP">Model!$B$546</definedName>
    <definedName name="MO.MRFPColumnNumber">Model!$B$545</definedName>
    <definedName name="MO.MRFX.Hardcoded">Model!$B$544</definedName>
    <definedName name="MO.RealTime">Model!$B$4</definedName>
    <definedName name="MO.RealTimeStockPriceToggle">Model!$B$538</definedName>
    <definedName name="MO.ReporFX">Model!$A$5</definedName>
    <definedName name="MO.ReportCurrency">Model!$B$542</definedName>
    <definedName name="MO.ReportFX">Model!$A$5</definedName>
    <definedName name="MO.Ticker">Model!$A$2</definedName>
    <definedName name="MO.Ticker.Bloomberg">Model!$A$474</definedName>
    <definedName name="MO.Ticker.CapIQ">Model!$A$475</definedName>
    <definedName name="MO.Ticker.FactSet">Model!$A$476</definedName>
    <definedName name="MO.Ticker.Thomson">Model!$A$477</definedName>
    <definedName name="MO.TradingCurrency">Model!$A$3</definedName>
    <definedName name="MO.ValuationToggle">Model!$B$246</definedName>
    <definedName name="MO_AN_EBITDA_Adj">Model!$137:$137</definedName>
    <definedName name="MO_BS_APandAE">Model!$422:$422</definedName>
    <definedName name="MO_BS_AR">Model!$399:$399</definedName>
    <definedName name="MO_BS_CA">Model!$403:$403</definedName>
    <definedName name="MO_BS_Cash">Model!$398:$398</definedName>
    <definedName name="MO_BS_CL">Model!$424:$424</definedName>
    <definedName name="MO_BS_ContractAssets">Model!$400:$400</definedName>
    <definedName name="MO_BS_ContributedSurplus">Model!$437:$437</definedName>
    <definedName name="MO_BS_DefRev">Model!$423:$423</definedName>
    <definedName name="MO_BS_Goodwill">Model!$410:$410</definedName>
    <definedName name="MO_BS_Intangibles">Model!$412:$412</definedName>
    <definedName name="MO_BS_INV">Model!$406:$406</definedName>
    <definedName name="MO_BS_NCA">Model!$415:$415</definedName>
    <definedName name="MO_BS_NCI">Model!$442:$442</definedName>
    <definedName name="MO_BS_NCL">Model!$431:$431</definedName>
    <definedName name="MO_BS_OCI">Model!$440:$440</definedName>
    <definedName name="MO_BS_OL_Current">Model!$421:$421</definedName>
    <definedName name="MO_BS_OL_NonCurrent">Model!$428:$428</definedName>
    <definedName name="MO_BS_PPE">Model!$409:$409</definedName>
    <definedName name="MO_BS_PPE_Gross">Model!$407:$407</definedName>
    <definedName name="MO_BS_RetainedEarnings">Model!$438:$438</definedName>
    <definedName name="MO_BS_SE">Model!$441:$441</definedName>
    <definedName name="MO_BS_TA">Model!$416:$416</definedName>
    <definedName name="MO_BS_TL">Model!$432:$432</definedName>
    <definedName name="MO_BS_TLSE">Model!$443:$443</definedName>
    <definedName name="MO_BSS_Cash">Model!$227:$227</definedName>
    <definedName name="MO_BSS_Debt">Model!$230:$230</definedName>
    <definedName name="MO_BSS_Debt_LT">Model!$229:$229</definedName>
    <definedName name="MO_BSS_Debt_Net">Model!$232:$232</definedName>
    <definedName name="MO_BSS_Debt_ST">Model!$228:$228</definedName>
    <definedName name="MO_BSS_Debt_ToCF">Model!$243:$243</definedName>
    <definedName name="MO_BSS_Debt_ToEBITDA">Model!$242:$242</definedName>
    <definedName name="MO_BSS_IE">Model!$234:$234</definedName>
    <definedName name="MO_BSS_IE_Net">Model!$238:$238</definedName>
    <definedName name="MO_BSS_II">Model!$236:$236</definedName>
    <definedName name="MO_BSS_InterestRate_Cash">Model!$237:$237</definedName>
    <definedName name="MO_BSS_InterestRate_Debt">Model!$235:$235</definedName>
    <definedName name="MO_BSS_NetInterestCoverage">Model!$241:$241</definedName>
    <definedName name="MO_BSS_NetInterestRate_Debt">Model!$239:$239</definedName>
    <definedName name="MO_BSS_OL">Model!$231:$231</definedName>
    <definedName name="MO_CCFS_Balance_Begin">Model!$322:$322</definedName>
    <definedName name="MO_CCFS_Balance_End">Model!$323:$323</definedName>
    <definedName name="MO_CCFS_CFF">Model!$317:$317</definedName>
    <definedName name="MO_CCFS_CFI">Model!$299:$299</definedName>
    <definedName name="MO_CCFS_CFO">Model!$288:$288</definedName>
    <definedName name="MO_CCFS_CFO_BeforeWC">Model!$278:$278</definedName>
    <definedName name="MO_CCFS_FX">Model!$319:$319</definedName>
    <definedName name="MO_CCFS_NetChange">Model!$320:$320</definedName>
    <definedName name="MO_CFS_Balance_Begin">Model!$380:$380</definedName>
    <definedName name="MO_CFS_Balance_End">Model!$381:$381</definedName>
    <definedName name="MO_CFS_Buyback">Model!$366:$366</definedName>
    <definedName name="MO_CFS_CFF">Model!$375:$375</definedName>
    <definedName name="MO_CFS_CFI">Model!$357:$357</definedName>
    <definedName name="MO_CFS_CFO">Model!$346:$346</definedName>
    <definedName name="MO_CFS_CFO_BeforeWC">Model!$336:$336</definedName>
    <definedName name="MO_CFS_FX">Model!$377:$377</definedName>
    <definedName name="MO_CFS_NetChange">Model!$378:$378</definedName>
    <definedName name="MO_CFSum_Acquisition">Model!$212:$212</definedName>
    <definedName name="MO_CFSum_Capex">Model!$210:$210</definedName>
    <definedName name="MO_CFSum_CFO_BeforeWC">Model!$207:$207</definedName>
    <definedName name="MO_CFSum_CFPS">Model!$208:$208</definedName>
    <definedName name="MO_CFSum_Divestiture">Model!$213:$213</definedName>
    <definedName name="MO_CFSum_Dividend">Model!$214:$214</definedName>
    <definedName name="MO_CFSum_DPS">Model!$215:$215</definedName>
    <definedName name="MO_CFSum_FCF_PostDivPostAD">Model!$223:$223</definedName>
    <definedName name="MO_CFSum_FCF_PostDivPostADPostDebtPostBuyback">Model!$224:$224</definedName>
    <definedName name="MO_CFSum_FCF_PostDivPreAD">Model!$222:$222</definedName>
    <definedName name="MO_CFSum_FCF_PreDiv">Model!$221:$221</definedName>
    <definedName name="MO_CFSum_NetDebtIssuance">Model!$217:$217</definedName>
    <definedName name="MO_CFSum_NetShares">Model!$218:$218</definedName>
    <definedName name="MO_CFSum_NetShares_Price">Model!$219:$219</definedName>
    <definedName name="MO_Checks_Bottom">Model!$AN$448:$BF$469</definedName>
    <definedName name="MO_Checks_BS">Model!$445:$445</definedName>
    <definedName name="MO_Checks_CF">Model!$383:$383</definedName>
    <definedName name="MO_Checks_IS">Model!$117:$117</definedName>
    <definedName name="MO_Common_Column_A">Model!$A:$A</definedName>
    <definedName name="MO_Common_Column_B">Model!$B:$B</definedName>
    <definedName name="MO_Common_ColumnHeader">Model!$5:$5</definedName>
    <definedName name="MO_Common_CompanySubtitle">Model!$2:$2</definedName>
    <definedName name="MO_Common_CompanyTitle">Model!$1:$1</definedName>
    <definedName name="MO_Common_FPDays">Model!$3:$3</definedName>
    <definedName name="MO_Common_QEndDate">Model!$4:$4</definedName>
    <definedName name="MO_GA_TotalRevenue">Model!$13:$13</definedName>
    <definedName name="MO_IS_EBIT">Model!$110:$110</definedName>
    <definedName name="MO_IS_EBT">Model!$113:$113</definedName>
    <definedName name="MO_IS_FirstRow">Model!$101:$101</definedName>
    <definedName name="MO_IS_GP">Model!$103:$103</definedName>
    <definedName name="MO_IS_NI_ContinOp">Model!$115:$115</definedName>
    <definedName name="MO_IS_REV">Model!$101:$101</definedName>
    <definedName name="MO_MA_COGS">Model!$89:$89</definedName>
    <definedName name="MO_MA_COGS_DA_Including">Model!$90:$90</definedName>
    <definedName name="MO_MA_EBITDA">Model!$96:$96</definedName>
    <definedName name="MO_MA_EBITDA_Adj">Model!$97:$97</definedName>
    <definedName name="MO_MA_GM">Model!$91:$91</definedName>
    <definedName name="MO_MA_GM_DA_Including">Model!$92:$92</definedName>
    <definedName name="MO_MA_SGA">Model!$95:$95</definedName>
    <definedName name="MO_RIS_Adjustments_Dilution_GAAP">Model!$188:$188</definedName>
    <definedName name="MO_RIS_Adjustments_Dilution_NONGAAP">Model!$191:$191</definedName>
    <definedName name="MO_RIS_Adjustments_NONGAAP">Model!$190:$190</definedName>
    <definedName name="MO_RIS_COGS">Model!$163:$163</definedName>
    <definedName name="MO_RIS_DA">Model!$171:$171</definedName>
    <definedName name="MO_RIS_DisCont">Model!$184:$184</definedName>
    <definedName name="MO_RIS_Dividend_Prefs">Model!$186:$186</definedName>
    <definedName name="MO_RIS_EBIT">Model!$173:$173</definedName>
    <definedName name="MO_RIS_EBITDA">Model!$167:$167</definedName>
    <definedName name="MO_RIS_EBITDA_Adj">Model!$168:$168</definedName>
    <definedName name="MO_RIS_EBT">Model!$179:$179</definedName>
    <definedName name="MO_RIS_EPS_WAB">Model!$197:$197</definedName>
    <definedName name="MO_RIS_EPS_WAD">Model!$198:$198</definedName>
    <definedName name="MO_RIS_EPS_WAD_Adj">Model!$199:$199</definedName>
    <definedName name="MO_RIS_GP">Model!$164:$164</definedName>
    <definedName name="MO_RIS_IE">Model!$175:$175</definedName>
    <definedName name="MO_RIS_II">Model!$176:$176</definedName>
    <definedName name="MO_RIS_NCI">Model!$185:$185</definedName>
    <definedName name="MO_RIS_NI_ContinOp">Model!$183:$183</definedName>
    <definedName name="MO_RIS_NI_GAAP_Basic">Model!$187:$187</definedName>
    <definedName name="MO_RIS_NI_GAAP_Diluted">Model!$189:$189</definedName>
    <definedName name="MO_RIS_NI_NONGAAP_Diluted">Model!$192:$192</definedName>
    <definedName name="MO_RIS_OI">Model!$177:$177</definedName>
    <definedName name="MO_RIS_OTI">Model!$178:$178</definedName>
    <definedName name="MO_RIS_REV">Model!$160:$160</definedName>
    <definedName name="MO_RIS_SBC">Model!$172:$172</definedName>
    <definedName name="MO_RIS_SGA">Model!$166:$166</definedName>
    <definedName name="MO_RIS_ShareCount_WAB">Model!$202:$202</definedName>
    <definedName name="MO_RIS_ShareCount_WAD">Model!$203:$203</definedName>
    <definedName name="MO_RIS_ShareCount_WAD_Adj">Model!$204:$204</definedName>
    <definedName name="MO_RIS_Tax_Current">Model!$181:$181</definedName>
    <definedName name="MO_RIS_Tax_Deferred">Model!$182:$182</definedName>
    <definedName name="MO_RIS_TaxRate_Current">Model!$194:$194</definedName>
    <definedName name="MO_RIS_TaxRate_Deferred">Model!$195:$195</definedName>
    <definedName name="MO_Section_AdjustedNumbers">Model!$119:$119</definedName>
    <definedName name="MO_Section_BalanceSheet">Model!$396:$396</definedName>
    <definedName name="MO_Section_BalanceSheetSummary">Model!$226:$226</definedName>
    <definedName name="MO_Section_CashFlowStatement">Model!$325:$325</definedName>
    <definedName name="MO_Section_CashFlowSummary">Model!$206:$206</definedName>
    <definedName name="MO_Section_Copyright">Model!$551:$551</definedName>
    <definedName name="MO_Section_CumulativeCashFlowStatement">Model!$267:$267</definedName>
    <definedName name="MO_Section_GrowthAnalysis">Model!$6:$6</definedName>
    <definedName name="MO_Section_IncomeStatement">Model!$100:$100</definedName>
    <definedName name="MO_Section_KeyMetricsBacklogPR">Model!$39:$39</definedName>
    <definedName name="MO_Section_LastRow">Model!$551:$551</definedName>
    <definedName name="MO_Section_MarginAnalysis">Model!$82:$82</definedName>
    <definedName name="MO_Section_ModelChecks">Model!$447:$447</definedName>
    <definedName name="MO_Section_RevisedIncomeStatement">Model!$159:$159</definedName>
    <definedName name="MO_Section_SegmentedResultsBreakdownFS">Model!$26:$26</definedName>
    <definedName name="MO_Section_SegmentedResultsRevenueBreakdownFS">Model!$42:$42</definedName>
    <definedName name="MO_Section_Tables">Model!$471:$471</definedName>
    <definedName name="MO_Section_Valuation">Model!$245:$245</definedName>
    <definedName name="MO_Section_WorkingCapitalForecasting">Model!$385:$385</definedName>
    <definedName name="MO_SNA_FPStartDate">Model!$504:$504</definedName>
    <definedName name="MO_SNA_IsHistoricalPeriod">Model!$505:$505</definedName>
    <definedName name="MO_SNA_LastDataRow">Model!$443:$443</definedName>
    <definedName name="MO_SPT_FXAverage">Model!$527:$527</definedName>
    <definedName name="MO_SPT_FXAverage_Sources">Model!$528:$532</definedName>
    <definedName name="MO_SPT_StockAverage">Model!$520:$520</definedName>
    <definedName name="MO_SPT_StockAverage_Sources">Model!$521:$525</definedName>
    <definedName name="MO_SPT_StockHigh">Model!$506:$506</definedName>
    <definedName name="MO_SPT_StockHigh_Sources">Model!$507:$511</definedName>
    <definedName name="MO_SPT_StockLow">Model!$513:$513</definedName>
    <definedName name="MO_SPT_StockLow_Sources">Model!$514:$518</definedName>
    <definedName name="MO_SubSection_BS_CA">Model!$397:$397</definedName>
    <definedName name="MO_SubSection_BS_CL">Model!$418:$418</definedName>
    <definedName name="MO_SubSection_BS_NCA">Model!$405:$405</definedName>
    <definedName name="MO_SubSection_BS_NCL">Model!$426:$426</definedName>
    <definedName name="MO_SubSection_BS_SE">Model!$434:$434</definedName>
    <definedName name="MO_SubSection_CCFS_CFF">Model!$301:$301</definedName>
    <definedName name="MO_SubSection_CCFS_CFI">Model!$290:$290</definedName>
    <definedName name="MO_SubSection_CCFS_CFO">Model!$268:$268</definedName>
    <definedName name="MO_SubSection_CFS_CFF">Model!$359:$359</definedName>
    <definedName name="MO_SubSection_CFS_CFI">Model!$348:$348</definedName>
    <definedName name="MO_SubSection_CFS_CFO">Model!$326:$326</definedName>
    <definedName name="MO_VA_EV">Model!$248:$248</definedName>
    <definedName name="MO_VA_EV_ToEBITDA">Model!$251:$251</definedName>
    <definedName name="MO_VA_EVCalc_NCI">Model!$263:$263</definedName>
    <definedName name="MO_VA_EVCalc_Other">Model!$265:$265</definedName>
    <definedName name="MO_VA_EVCalc_Prefs">Model!$264:$264</definedName>
    <definedName name="MO_VA_FCFYield_ToEV">Model!$254:$254</definedName>
    <definedName name="MO_VA_FCFYield_ToMktCap">Model!$253:$253</definedName>
    <definedName name="MO_VA_FX_Average">Model!$259:$259</definedName>
    <definedName name="MO_VA_MarketCap">Model!$247:$247</definedName>
    <definedName name="MO_VA_P_ToCF">Model!$252:$252</definedName>
    <definedName name="MO_VA_P_ToE">Model!$250:$250</definedName>
    <definedName name="MO_VA_StockPrice">Model!$246:$246</definedName>
    <definedName name="MO_VA_StockPrice_Avg">Model!$258:$258</definedName>
    <definedName name="MO_VA_StockPrice_High">Model!$256:$256</definedName>
    <definedName name="MO_VA_StockPrice_Low">Model!$257:$257</definedName>
    <definedName name="MO_VA_StockPrice_TradingCurrency">Model!$260:$260</definedName>
    <definedName name="MO_WCF_AP_Margin">Model!$389:$389</definedName>
    <definedName name="MO_WCF_AP_Margin_Change">Model!$394:$394</definedName>
    <definedName name="MO_WCF_AR_Margin">Model!$386:$386</definedName>
    <definedName name="MO_WCF_AR_Margin_Change">Model!$391:$391</definedName>
    <definedName name="_xlnm.Print_Area" localSheetId="2">Model!$A$1:$BB$443</definedName>
    <definedName name="_xlnm.Print_Area" localSheetId="4">'Summary Page'!$A$1:$BB$111</definedName>
    <definedName name="_xlnm.Print_Titles" localSheetId="2">Model!$5:$5</definedName>
    <definedName name="SP.ValuationToggle">'Summary Page'!$B$4</definedName>
    <definedName name="SP_BSR_Capital">'Summary Page'!$73:$73</definedName>
    <definedName name="SP_BSR_CashFlow">'Summary Page'!$72:$72</definedName>
    <definedName name="SP_BSR_CashFlow_LTM">'Summary Page'!$75:$75</definedName>
    <definedName name="SP_BSR_CL">'Summary Page'!$94:$94</definedName>
    <definedName name="SP_BSR_CL_Avg">'Summary Page'!$95:$95</definedName>
    <definedName name="SP_BSR_Debt_Avg">'Summary Page'!$89:$89</definedName>
    <definedName name="SP_BSR_EBITDA">'Summary Page'!$71:$71</definedName>
    <definedName name="SP_BSR_EBITDA_LTM">'Summary Page'!$74:$74</definedName>
    <definedName name="SP_BSR_SE">'Summary Page'!$80:$80</definedName>
    <definedName name="SP_BSR_SE_Avg">'Summary Page'!$81:$81</definedName>
    <definedName name="SP_BSR_TA">'Summary Page'!$85:$85</definedName>
    <definedName name="SP_BSR_TA_Avg">'Summary Page'!$86:$86</definedName>
    <definedName name="SP_CFA_Acquisition">'Summary Page'!$56:$56</definedName>
    <definedName name="SP_CFA_Capex">'Summary Page'!$52:$52</definedName>
    <definedName name="SP_CFA_CFO_BeforeWC">'Summary Page'!$51:$51</definedName>
    <definedName name="SP_CFA_CFO_PerShare">'Summary Page'!$64:$64</definedName>
    <definedName name="SP_CFA_Debt">'Summary Page'!$60:$60</definedName>
    <definedName name="SP_CFA_Div">'Summary Page'!$54:$54</definedName>
    <definedName name="SP_CFA_Div_PerShare">'Summary Page'!$66:$66</definedName>
    <definedName name="SP_CFA_Divestiture">'Summary Page'!$57:$57</definedName>
    <definedName name="SP_CFA_Equity">'Summary Page'!$59:$59</definedName>
    <definedName name="SP_CFA_FCF_PerShare">'Summary Page'!$65:$65</definedName>
    <definedName name="SP_CFA_FCF_PostDiv">'Summary Page'!$55:$55</definedName>
    <definedName name="SP_CFA_FCF_PreDiv">'Summary Page'!$53:$53</definedName>
    <definedName name="SP_CFA_NetChange">'Summary Page'!$62:$62</definedName>
    <definedName name="SP_CFA_Other">'Summary Page'!$61:$61</definedName>
    <definedName name="SP_CFA_Payout_vsEPS">'Summary Page'!$68:$68</definedName>
    <definedName name="SP_CFA_Payout_vsFCF">'Summary Page'!$67:$67</definedName>
    <definedName name="SP_CFA_WC">'Summary Page'!$58:$58</definedName>
    <definedName name="SP_Checks_SummaryPage">'Summary Page'!$AN$114:$XFA$117</definedName>
    <definedName name="SP_Common_Column_A">'Summary Page'!$A:$A</definedName>
    <definedName name="SP_Common_Column_B">'Summary Page'!$B:$B</definedName>
    <definedName name="SP_Common_ColumnHeader">'Summary Page'!$2:$2</definedName>
    <definedName name="SP_Common_QEndDate">'Summary Page'!$1:$1</definedName>
    <definedName name="SP_CS_Cash">'Summary Page'!$7:$7</definedName>
    <definedName name="SP_CS_Debt">'Summary Page'!$8:$8</definedName>
    <definedName name="SP_CS_EV">'Summary Page'!$11:$11</definedName>
    <definedName name="SP_CS_EVCalc_Other">'Summary Page'!$10:$10</definedName>
    <definedName name="SP_CS_MarketCap">'Summary Page'!$6:$6</definedName>
    <definedName name="SP_CS_OL">'Summary Page'!$9:$9</definedName>
    <definedName name="SP_CS_ShareCount">'Summary Page'!$5:$5</definedName>
    <definedName name="SP_CS_StockPrice">'Summary Page'!$4:$4</definedName>
    <definedName name="SP_GF_COGS">'Summary Page'!$24:$24</definedName>
    <definedName name="SP_GF_DA">'Summary Page'!$28:$28</definedName>
    <definedName name="SP_GF_DisCont">'Summary Page'!$33:$33</definedName>
    <definedName name="SP_GF_Div_Prefs">'Summary Page'!$35:$35</definedName>
    <definedName name="SP_GF_EBITDA">'Summary Page'!$26:$26</definedName>
    <definedName name="SP_GF_EBT">'Summary Page'!$31:$31</definedName>
    <definedName name="SP_GF_EPS_GAAP">'Summary Page'!$37:$37</definedName>
    <definedName name="SP_GF_IE">'Summary Page'!$29:$29</definedName>
    <definedName name="SP_GF_IE_Net">'Summary Page'!$29:$29</definedName>
    <definedName name="SP_GF_NCI">'Summary Page'!$34:$34</definedName>
    <definedName name="SP_GF_NI">'Summary Page'!$36:$36</definedName>
    <definedName name="SP_GF_OI">'Summary Page'!$30:$30</definedName>
    <definedName name="SP_GF_Rev">'Summary Page'!$23:$23</definedName>
    <definedName name="SP_GF_SBC">'Summary Page'!$27:$27</definedName>
    <definedName name="SP_GF_SGA">'Summary Page'!$25:$25</definedName>
    <definedName name="SP_GF_Tax">'Summary Page'!$32:$32</definedName>
    <definedName name="SP_MA_COGS">'Summary Page'!$45:$45</definedName>
    <definedName name="SP_MA_EBITDA">'Summary Page'!$47:$47</definedName>
    <definedName name="SP_MA_EBITDA_Adj">'Summary Page'!$48:$48</definedName>
    <definedName name="SP_MA_SGA">'Summary Page'!$46:$46</definedName>
    <definedName name="SP_NGF_EBITDA">'Summary Page'!$40:$40</definedName>
    <definedName name="SP_NGF_EPS">'Summary Page'!$42:$42</definedName>
    <definedName name="SP_NGF_NI">'Summary Page'!$41:$41</definedName>
    <definedName name="SP_PR_ROA">'Summary Page'!$87:$87</definedName>
    <definedName name="SP_PR_ROCE">'Summary Page'!$97:$97</definedName>
    <definedName name="SP_PR_ROE">'Summary Page'!$82:$82</definedName>
    <definedName name="SP_PR_ROIC">'Summary Page'!$91:$91</definedName>
    <definedName name="SP_Section_Checks">'Summary Page'!$113:$113</definedName>
    <definedName name="tb_ConsensusEstimate">Model!$A$492:$BB$501</definedName>
    <definedName name="tb_EntireModel">Model!$A$1:$BB$445</definedName>
    <definedName name="tb_KeyOutputs">Model!$A$484:$A$490</definedName>
    <definedName name="tb_StockPrice">Model!$A$503:$BB$533</definedName>
    <definedName name="tb_Tickers">Model!$A$473:$A$477</definedName>
    <definedName name="tb_UpdateLog">'Update Log'!$C$10:$H$32</definedName>
    <definedName name="tb_ValuationToggle">Model!$A$479:$B$482</definedName>
    <definedName name="UL.CSIN">'Update Log'!$H$7</definedName>
    <definedName name="UL.ModelVersion">'Update Log'!$H$8</definedName>
    <definedName name="UL.MRQ">'Update Log'!$F$7</definedName>
    <definedName name="UL.MRQColNum">'Update Log'!$E$7</definedName>
    <definedName name="z_VVZVFH0115_DW_BlankRow_OS">Drivers!$12:$12</definedName>
    <definedName name="z_VVZVFH0115_DW_BlankRow_OS_1">Drivers!$20:$20</definedName>
    <definedName name="z_VVZVFH0115_DW_BlankRow_OS_10">Drivers!$69:$69</definedName>
    <definedName name="z_VVZVFH0115_DW_BlankRow_OS_2">Drivers!$28:$28</definedName>
    <definedName name="z_VVZVFH0115_DW_BlankRow_OS_3">Drivers!$32:$32</definedName>
    <definedName name="z_VVZVFH0115_DW_BlankRow_OS_4">Drivers!$36:$36</definedName>
    <definedName name="z_VVZVFH0115_DW_BlankRow_OS_5">Drivers!$41:$41</definedName>
    <definedName name="z_VVZVFH0115_DW_BlankRow_OS_6">Drivers!$48:$48</definedName>
    <definedName name="z_VVZVFH0115_DW_BlankRow_OS_7">Drivers!$57:$57</definedName>
    <definedName name="z_VVZVFH0115_DW_BlankRow_OS_8">Drivers!$61:$61</definedName>
    <definedName name="z_VVZVFH0115_DW_BlankRow_OS_9">Drivers!$67:$67</definedName>
    <definedName name="z_VVZVFH0115_DW_BSS_EffectiveInterestRateonCash">Drivers!$60:$60</definedName>
    <definedName name="z_VVZVFH0115_DW_BSS_EffectiveInterestRateonDebt">Drivers!$59:$59</definedName>
    <definedName name="z_VVZVFH0115_DW_CFSum_Acquisitions">Drivers!$51:$51</definedName>
    <definedName name="z_VVZVFH0115_DW_CFSum_Capex">Drivers!$50:$50</definedName>
    <definedName name="z_VVZVFH0115_DW_CFSum_Divestiture">Drivers!$52:$52</definedName>
    <definedName name="z_VVZVFH0115_DW_CFSum_DividendPerShare">Drivers!$53:$53</definedName>
    <definedName name="z_VVZVFH0115_DW_CFSum_EstimatedSharePriceforIssuanceBuybacks">Drivers!$56:$56</definedName>
    <definedName name="z_VVZVFH0115_DW_CFSum_NetDebtIssuanceRepayment">Drivers!$54:$54</definedName>
    <definedName name="z_VVZVFH0115_DW_CFSum_NetShareIssuanceBuybacks">Drivers!$55:$55</definedName>
    <definedName name="z_VVZVFH0115_DW_Header_ColumnHeader">Drivers!$5:$5</definedName>
    <definedName name="z_VVZVFH0115_DW_Header_CompanySubTitle">Drivers!$2:$2</definedName>
    <definedName name="z_VVZVFH0115_DW_Header_CompanyTitle">Drivers!$1:$1</definedName>
    <definedName name="z_VVZVFH0115_DW_Header_FPDays">Drivers!$3:$3</definedName>
    <definedName name="z_VVZVFH0115_DW_Header_QEndDate">Drivers!$4:$4</definedName>
    <definedName name="z_VVZVFH0115_DW_MA_BusinessTransformationCOGSmargin">Drivers!$39:$39</definedName>
    <definedName name="z_VVZVFH0115_DW_MA_SGAMargin">Drivers!$40:$40</definedName>
    <definedName name="z_VVZVFH0115_DW_MA_WorkforceExcellenceCOGSmargin">Drivers!$38:$38</definedName>
    <definedName name="z_VVZVFH0115_DW_OS_AccountsandotherreceivablesYYChange">Drivers!$63:$63</definedName>
    <definedName name="z_VVZVFH0115_DW_OS_AccountspayableandaccruedexpensesYYChange">Drivers!$66:$66</definedName>
    <definedName name="z_VVZVFH0115_DW_OS_BusinessTransformationServicesrevenue">Drivers!$35:$35</definedName>
    <definedName name="z_VVZVFH0115_DW_OS_BusinessTransformationServicesrevenuegrowth">Drivers!$31:$31</definedName>
    <definedName name="z_VVZVFH0115_DW_OS_Capex">Drivers!$17:$17</definedName>
    <definedName name="z_VVZVFH0115_DW_OS_ConsensusEstimatesAdjustedEarningsPerShareWAD">Drivers!$25:$25</definedName>
    <definedName name="z_VVZVFH0115_DW_OS_ConsensusEstimatesAdjustedEBITDA">Drivers!$24:$24</definedName>
    <definedName name="z_VVZVFH0115_DW_OS_ConsensusEstimatesCapex">Drivers!$27:$27</definedName>
    <definedName name="z_VVZVFH0115_DW_OS_ConsensusEstimatesCashFlowPerDilutedShare">Drivers!$26:$26</definedName>
    <definedName name="z_VVZVFH0115_DW_OS_ConsensusEstimatesGrossMargin">Drivers!$22:$22</definedName>
    <definedName name="z_VVZVFH0115_DW_OS_ConsensusEstimatesNetRevenue">Drivers!$23:$23</definedName>
    <definedName name="z_VVZVFH0115_DW_OS_CostsandestimatedearningsinexcessofbillingsonuncompletedcontractsYYChange">Drivers!$64:$64</definedName>
    <definedName name="z_VVZVFH0115_DW_OS_DA">Drivers!$16:$16</definedName>
    <definedName name="z_VVZVFH0115_DW_OS_EBIT">Drivers!$14:$14</definedName>
    <definedName name="z_VVZVFH0115_DW_OS_FCFFirm">Drivers!$19:$19</definedName>
    <definedName name="z_VVZVFH0115_DW_OS_NetChangeinWC">Drivers!$18:$18</definedName>
    <definedName name="z_VVZVFH0115_DW_OS_PrepaidexpensesandothercurrentassetsYYChange">Drivers!$65:$65</definedName>
    <definedName name="z_VVZVFH0115_DW_OS_TotalTax">Drivers!$15:$15</definedName>
    <definedName name="z_VVZVFH0115_DW_OS_WorkforceExcellencerevenue">Drivers!$34:$34</definedName>
    <definedName name="z_VVZVFH0115_DW_OS_WorkforceExcellencerevenuegrowth">Drivers!$30:$30</definedName>
    <definedName name="z_VVZVFH0115_DW_RIS_AdjustedEarningsPerShareWAD">Drivers!$9:$9</definedName>
    <definedName name="z_VVZVFH0115_DW_RIS_AdjustedEBITDA">Drivers!$8:$8</definedName>
    <definedName name="z_VVZVFH0115_DW_RIS_Currenttaxrate">Drivers!$46:$46</definedName>
    <definedName name="z_VVZVFH0115_DW_RIS_DA">Drivers!$43:$43</definedName>
    <definedName name="z_VVZVFH0115_DW_RIS_Deferredtaxrate">Drivers!$47:$47</definedName>
    <definedName name="z_VVZVFH0115_DW_RIS_NetRevenue">Drivers!$7:$7</definedName>
    <definedName name="z_VVZVFH0115_DW_RIS_NonGAAPAdjustments">Drivers!$45:$45</definedName>
    <definedName name="z_VVZVFH0115_DW_RIS_SBC">Drivers!$44:$44</definedName>
    <definedName name="z_VVZVFH0115_DW_Section_OS_BalanceSheetSummary">Drivers!$58:$58</definedName>
    <definedName name="z_VVZVFH0115_DW_Section_OS_C2020CanalystAllrightsreserved">Drivers!$68:$68</definedName>
    <definedName name="z_VVZVFH0115_DW_Section_OS_CashFlowSummary">Drivers!$49:$49</definedName>
    <definedName name="z_VVZVFH0115_DW_Section_OS_ConsensusEstimates">Drivers!$21:$21</definedName>
    <definedName name="z_VVZVFH0115_DW_Section_OS_GrowthAnalysis">Drivers!$29:$29</definedName>
    <definedName name="z_VVZVFH0115_DW_Section_OS_KeyOutputs">Drivers!$6:$6</definedName>
    <definedName name="z_VVZVFH0115_DW_Section_OS_MarginAnalysis">Drivers!$37:$37</definedName>
    <definedName name="z_VVZVFH0115_DW_Section_OS_RevisedIncomeStatement">Drivers!$42:$42</definedName>
    <definedName name="z_VVZVFH0115_DW_Section_OS_SegmentedResultsBreakdownFS">Drivers!$33:$33</definedName>
    <definedName name="z_VVZVFH0115_DW_Section_OS_SimplifiedFCFCalculation">Drivers!$13:$13</definedName>
    <definedName name="z_VVZVFH0115_DW_Section_OS_WorkingCapitalForecasting">Drivers!$62:$62</definedName>
    <definedName name="z_VVZVFH0115_DW_VA_EVEBITDAAverage">Drivers!$10:$10</definedName>
    <definedName name="z_VVZVFH0115_DW_VA_PEAverage">Drivers!$11:$11</definedName>
    <definedName name="z_VVZVFH0115_MO_AN_AdjustedEBITDA">Model!$137:$137</definedName>
    <definedName name="z_VVZVFH0115_MO_AN_AdjustedEPS">Model!$153:$153</definedName>
    <definedName name="z_VVZVFH0115_MO_AN_ContingentPayment">Model!$152:$152</definedName>
    <definedName name="z_VVZVFH0115_MO_AN_depreciationandamortization">Model!$123:$123</definedName>
    <definedName name="z_VVZVFH0115_MO_AN_ebitda">Model!$125:$125</definedName>
    <definedName name="z_VVZVFH0115_MO_AN_ERPImplementation">Model!$130:$130</definedName>
    <definedName name="z_VVZVFH0115_MO_AN_ERPImplementation_1">Model!$144:$144</definedName>
    <definedName name="z_VVZVFH0115_MO_AN_Foreigncurrencytransactionlosses">Model!$145:$145</definedName>
    <definedName name="z_VVZVFH0115_MO_AN_Foreigncurrencytranslationlosses">Model!$131:$131</definedName>
    <definedName name="z_VVZVFH0115_MO_AN_GAAPEPS">Model!$139:$139</definedName>
    <definedName name="z_VVZVFH0115_MO_AN_GainLossonContingentConsideration">Model!$129:$129</definedName>
    <definedName name="z_VVZVFH0115_MO_AN_GainLossonContingentConsideration_1">Model!$142:$142</definedName>
    <definedName name="z_VVZVFH0115_MO_AN_goodwillimpairmentloss">Model!$124:$124</definedName>
    <definedName name="z_VVZVFH0115_MO_AN_Impairmentofoperatingleaserightofuseasset">Model!$133:$133</definedName>
    <definedName name="z_VVZVFH0115_MO_AN_Impairmentofoperatingleaserightofuseasset_1">Model!$147:$147</definedName>
    <definedName name="z_VVZVFH0115_MO_AN_incometaxexpense">Model!$122:$122</definedName>
    <definedName name="z_VVZVFH0115_MO_AN_interestexpense">Model!$121:$121</definedName>
    <definedName name="z_VVZVFH0115_MO_AN_Interestincome">Model!$155:$155</definedName>
    <definedName name="z_VVZVFH0115_MO_AN_Legalacquisitioncosts">Model!$132:$132</definedName>
    <definedName name="z_VVZVFH0115_MO_AN_Legalacquisitioncosts_1">Model!$146:$146</definedName>
    <definedName name="z_VVZVFH0115_MO_AN_Lossofcontract">Model!$136:$136</definedName>
    <definedName name="z_VVZVFH0115_MO_AN_Lossofcontract_1">Model!$151:$151</definedName>
    <definedName name="z_VVZVFH0115_MO_AN_Lossondivestedbusiness">Model!$134:$134</definedName>
    <definedName name="z_VVZVFH0115_MO_AN_Lossondivestedbusiness_1">Model!$149:$149</definedName>
    <definedName name="z_VVZVFH0115_MO_AN_Lossonsettlementwithforeignoilgasclient">Model!$135:$135</definedName>
    <definedName name="z_VVZVFH0115_MO_AN_Lossonsettlementwithforeignoilgasclient_1">Model!$150:$150</definedName>
    <definedName name="z_VVZVFH0115_MO_AN_netincome">Model!$120:$120</definedName>
    <definedName name="z_VVZVFH0115_MO_AN_Otherincomeexpense">Model!$156:$156</definedName>
    <definedName name="z_VVZVFH0115_MO_AN_Restructuring">Model!$140:$140</definedName>
    <definedName name="z_VVZVFH0115_MO_AN_RestructuringCharges">Model!$127:$127</definedName>
    <definedName name="z_VVZVFH0115_MO_AN_Settlementofcontingentconsiderationinshares">Model!$148:$148</definedName>
    <definedName name="z_VVZVFH0115_MO_AN_Severanceexpense">Model!$128:$128</definedName>
    <definedName name="z_VVZVFH0115_MO_AN_Severanceexpense_1">Model!$141:$141</definedName>
    <definedName name="z_VVZVFH0115_MO_AN_StockBasedComp">Model!$126:$126</definedName>
    <definedName name="z_VVZVFH0115_MO_AN_Totalotherincomeexpense">Model!$157:$157</definedName>
    <definedName name="z_VVZVFH0115_MO_AN_USTaxCuts">Model!$143:$143</definedName>
    <definedName name="z_VVZVFH0115_MO_BlankRow_AN">Model!$138:$138</definedName>
    <definedName name="z_VVZVFH0115_MO_BlankRow_AN_1">Model!$158:$158</definedName>
    <definedName name="z_VVZVFH0115_MO_BlankRow_AN_2">Model!$154:$154</definedName>
    <definedName name="z_VVZVFH0115_MO_BlankRow_BS_1">Model!$404:$404</definedName>
    <definedName name="z_VVZVFH0115_MO_BlankRow_BS_2">Model!$417:$417</definedName>
    <definedName name="z_VVZVFH0115_MO_BlankRow_BS_3">Model!$425:$425</definedName>
    <definedName name="z_VVZVFH0115_MO_BlankRow_BS_4">Model!$433:$433</definedName>
    <definedName name="z_VVZVFH0115_MO_BlankRow_BS_5">Model!$444:$444</definedName>
    <definedName name="z_VVZVFH0115_MO_BlankRow_BS_6">Model!$446:$446</definedName>
    <definedName name="z_VVZVFH0115_MO_BlankRow_BSS">Model!$244:$244</definedName>
    <definedName name="z_VVZVFH0115_MO_BlankRow_BSS_1">Model!$233:$233</definedName>
    <definedName name="z_VVZVFH0115_MO_BlankRow_BSS_2">Model!$240:$240</definedName>
    <definedName name="z_VVZVFH0115_MO_BlankRow_CCFS">Model!$289:$289</definedName>
    <definedName name="z_VVZVFH0115_MO_BlankRow_CCFS_1">Model!$300:$300</definedName>
    <definedName name="z_VVZVFH0115_MO_BlankRow_CCFS_2">Model!$318:$318</definedName>
    <definedName name="z_VVZVFH0115_MO_BlankRow_CCFS_3">Model!$321:$321</definedName>
    <definedName name="z_VVZVFH0115_MO_BlankRow_CCFS_4">Model!$324:$324</definedName>
    <definedName name="z_VVZVFH0115_MO_BlankRow_CFS_2">Model!$347:$347</definedName>
    <definedName name="z_VVZVFH0115_MO_BlankRow_CFS_3">Model!$358:$358</definedName>
    <definedName name="z_VVZVFH0115_MO_BlankRow_CFS_4">Model!$376:$376</definedName>
    <definedName name="z_VVZVFH0115_MO_BlankRow_CFS_5">Model!$379:$379</definedName>
    <definedName name="z_VVZVFH0115_MO_BlankRow_CFS_6">Model!$382:$382</definedName>
    <definedName name="z_VVZVFH0115_MO_BlankRow_CFS_7">Model!$384:$384</definedName>
    <definedName name="z_VVZVFH0115_MO_BlankRow_CFSum">Model!$220:$220</definedName>
    <definedName name="z_VVZVFH0115_MO_BlankRow_CFSum_1">Model!$225:$225</definedName>
    <definedName name="z_VVZVFH0115_MO_BlankRow_CFSum_2">Model!$216:$216</definedName>
    <definedName name="z_VVZVFH0115_MO_BlankRow_GA">"Deleted"</definedName>
    <definedName name="z_VVZVFH0115_MO_BlankRow_GA_1">Model!$14:$14</definedName>
    <definedName name="z_VVZVFH0115_MO_BlankRow_GA_2">Model!$19:$19</definedName>
    <definedName name="z_VVZVFH0115_MO_BlankRow_GA_3">Model!$25:$25</definedName>
    <definedName name="z_VVZVFH0115_MO_BlankRow_IS">Model!$116:$116</definedName>
    <definedName name="z_VVZVFH0115_MO_BlankRow_IS_1">Model!$118:$118</definedName>
    <definedName name="z_VVZVFH0115_MO_BlankRow_MA">"Deleted"</definedName>
    <definedName name="z_VVZVFH0115_MO_BlankRow_MA_1">Model!$94:$94</definedName>
    <definedName name="z_VVZVFH0115_MO_BlankRow_MA_2">Model!$99:$99</definedName>
    <definedName name="z_VVZVFH0115_MO_BlankRow_MA_3">Model!$249:$249</definedName>
    <definedName name="z_VVZVFH0115_MO_BlankRow_MA_4">Model!$261:$261</definedName>
    <definedName name="z_VVZVFH0115_MO_BlankRow_MA_5">Model!$266:$266</definedName>
    <definedName name="z_VVZVFH0115_MO_BlankRow_MA_6">Model!$255:$255</definedName>
    <definedName name="z_VVZVFH0115_MO_BlankRow_OS">Model!$30:$30</definedName>
    <definedName name="z_VVZVFH0115_MO_BlankRow_OS_1">Model!$34:$34</definedName>
    <definedName name="z_VVZVFH0115_MO_BlankRow_OS_10">Model!$74:$74</definedName>
    <definedName name="z_VVZVFH0115_MO_BlankRow_OS_11">Model!$81:$81</definedName>
    <definedName name="z_VVZVFH0115_MO_BlankRow_OS_2">Model!$38:$38</definedName>
    <definedName name="z_VVZVFH0115_MO_BlankRow_OS_3">Model!$48:$48</definedName>
    <definedName name="z_VVZVFH0115_MO_BlankRow_OS_4">Model!$54:$54</definedName>
    <definedName name="z_VVZVFH0115_MO_BlankRow_OS_5">Model!$60:$60</definedName>
    <definedName name="z_VVZVFH0115_MO_BlankRow_OS_6">Model!$41:$41</definedName>
    <definedName name="z_VVZVFH0115_MO_BlankRow_OS_7">Model!$390:$390</definedName>
    <definedName name="z_VVZVFH0115_MO_BlankRow_OS_8">Model!$395:$395</definedName>
    <definedName name="z_VVZVFH0115_MO_BlankRow_OS_9">Model!$67:$67</definedName>
    <definedName name="z_VVZVFH0115_MO_BlankRow_RIS">Model!$162:$162</definedName>
    <definedName name="z_VVZVFH0115_MO_BlankRow_RIS_1">Model!$165:$165</definedName>
    <definedName name="z_VVZVFH0115_MO_BlankRow_RIS_2">Model!$170:$170</definedName>
    <definedName name="z_VVZVFH0115_MO_BlankRow_RIS_3">Model!$174:$174</definedName>
    <definedName name="z_VVZVFH0115_MO_BlankRow_RIS_4">Model!$180:$180</definedName>
    <definedName name="z_VVZVFH0115_MO_BlankRow_RIS_5">Model!$193:$193</definedName>
    <definedName name="z_VVZVFH0115_MO_BlankRow_RIS_6">Model!$196:$196</definedName>
    <definedName name="z_VVZVFH0115_MO_BlankRow_RIS_7">Model!$201:$201</definedName>
    <definedName name="z_VVZVFH0115_MO_BlankRow_RIS_8">Model!$205:$205</definedName>
    <definedName name="z_VVZVFH0115_MO_BS_Accountsandotherreceivables">Model!$399:$399</definedName>
    <definedName name="z_VVZVFH0115_MO_BS_Accountspayableandaccruedexpenses">Model!$422:$422</definedName>
    <definedName name="z_VVZVFH0115_MO_BS_accumulateddepreciation">Model!$408:$408</definedName>
    <definedName name="z_VVZVFH0115_MO_BS_Accumulatedothercomprehensiveloss">Model!$440:$440</definedName>
    <definedName name="z_VVZVFH0115_MO_BS_Additionalpaidincapital">Model!$437:$437</definedName>
    <definedName name="z_VVZVFH0115_MO_BS_billingsinexcessofcostsandestimatedearningsonuncompletedcontracts">Model!$423:$423</definedName>
    <definedName name="z_VVZVFH0115_MO_BS_BSCheck">Model!$445:$445</definedName>
    <definedName name="z_VVZVFH0115_MO_BS_cashandcashequivalents">Model!$398:$398</definedName>
    <definedName name="z_VVZVFH0115_MO_BS_commonstock">Model!$436:$436</definedName>
    <definedName name="z_VVZVFH0115_MO_BS_costsandestimatedearningsinexcessofbillingsonuncompletedcontracts">Model!$400:$400</definedName>
    <definedName name="z_VVZVFH0115_MO_BS_CurrentAssets">Model!$397:$397</definedName>
    <definedName name="z_VVZVFH0115_MO_BS_CurrentLiabilities">Model!$418:$418</definedName>
    <definedName name="z_VVZVFH0115_MO_BS_Currentportionoflongtermdebt">Model!$420:$420</definedName>
    <definedName name="z_VVZVFH0115_MO_BS_Currentportionofoperatingleaseliabilities">Model!$421:$421</definedName>
    <definedName name="z_VVZVFH0115_MO_BS_deferredtaxassets">Model!$401:$401</definedName>
    <definedName name="z_VVZVFH0115_MO_BS_deferredtaxassets_1">Model!$413:$413</definedName>
    <definedName name="z_VVZVFH0115_MO_BS_deferredtaxliabilities">Model!$429:$429</definedName>
    <definedName name="z_VVZVFH0115_MO_BS_Goodwill">Model!$410:$410</definedName>
    <definedName name="z_VVZVFH0115_MO_BS_Intangibleassets">Model!$412:$412</definedName>
    <definedName name="z_VVZVFH0115_MO_BS_Inventories">Model!$406:$406</definedName>
    <definedName name="z_VVZVFH0115_MO_BS_Longtermdebt">Model!$427:$427</definedName>
    <definedName name="z_VVZVFH0115_MO_BS_Longtermportionofoperatingleaseliabilities">Model!$428:$428</definedName>
    <definedName name="z_VVZVFH0115_MO_BS_NCI">Model!$442:$442</definedName>
    <definedName name="z_VVZVFH0115_MO_BS_NetIncomeonReportedISNIonRevised">Model!$449:$449</definedName>
    <definedName name="z_VVZVFH0115_MO_BS_NetIncomeonRevisedISNIonCFstatement">Model!$448:$448</definedName>
    <definedName name="z_VVZVFH0115_MO_BS_NonCurrentAssets">Model!$405:$405</definedName>
    <definedName name="z_VVZVFH0115_MO_BS_NonCurrentLiabilities">Model!$426:$426</definedName>
    <definedName name="z_VVZVFH0115_MO_BS_Operatingleaserightofuseofassets">Model!$411:$411</definedName>
    <definedName name="z_VVZVFH0115_MO_BS_Otherassets">Model!$414:$414</definedName>
    <definedName name="z_VVZVFH0115_MO_BS_Othernoncurrentliabilities">Model!$430:$430</definedName>
    <definedName name="z_VVZVFH0115_MO_BS_preferredstock">Model!$435:$435</definedName>
    <definedName name="z_VVZVFH0115_MO_BS_Prepaidexpensesandothercurrentassets">Model!$402:$402</definedName>
    <definedName name="z_VVZVFH0115_MO_BS_Property">Model!$407:$407</definedName>
    <definedName name="z_VVZVFH0115_MO_BS_propertyplantandequipment">Model!$409:$409</definedName>
    <definedName name="z_VVZVFH0115_MO_BS_retainedearnings">Model!$438:$438</definedName>
    <definedName name="z_VVZVFH0115_MO_BS_ShareholdersEquity">Model!$434:$434</definedName>
    <definedName name="z_VVZVFH0115_MO_BS_shorttermborrowings">Model!$419:$419</definedName>
    <definedName name="z_VVZVFH0115_MO_BS_TotalAssets">Model!$416:$416</definedName>
    <definedName name="z_VVZVFH0115_MO_BS_TotalCurrentAssets">Model!$403:$403</definedName>
    <definedName name="z_VVZVFH0115_MO_BS_TotalCurrentLiabilities">Model!$424:$424</definedName>
    <definedName name="z_VVZVFH0115_MO_BS_TotalLiabilities">Model!$432:$432</definedName>
    <definedName name="z_VVZVFH0115_MO_BS_TotalLiabilitiesSE">Model!$443:$443</definedName>
    <definedName name="z_VVZVFH0115_MO_BS_TotalNonCurrentAssets">Model!$415:$415</definedName>
    <definedName name="z_VVZVFH0115_MO_BS_TotalNonCurrentliabilities">Model!$431:$431</definedName>
    <definedName name="z_VVZVFH0115_MO_BS_TotalSE">Model!$441:$441</definedName>
    <definedName name="z_VVZVFH0115_MO_BS_treasurystockatcost">Model!$439:$439</definedName>
    <definedName name="z_VVZVFH0115_MO_BSS_Cash">Model!$227:$227</definedName>
    <definedName name="z_VVZVFH0115_MO_BSS_Debt">Model!$230:$230</definedName>
    <definedName name="z_VVZVFH0115_MO_BSS_DebtCashFlow">Model!$243:$243</definedName>
    <definedName name="z_VVZVFH0115_MO_BSS_DebtEBITDA">Model!$242:$242</definedName>
    <definedName name="z_VVZVFH0115_MO_BSS_EBITDANetInterestExpense">Model!$241:$241</definedName>
    <definedName name="z_VVZVFH0115_MO_BSS_EffectiveInterestRateonCash">Model!$237:$237</definedName>
    <definedName name="z_VVZVFH0115_MO_BSS_EffectiveInterestRateonDebt">Model!$235:$235</definedName>
    <definedName name="z_VVZVFH0115_MO_BSS_EffectiveNetInterestRateonDebt">Model!$239:$239</definedName>
    <definedName name="z_VVZVFH0115_MO_BSS_InterestExpense">Model!$234:$234</definedName>
    <definedName name="z_VVZVFH0115_MO_BSS_InterestIncome">Model!$236:$236</definedName>
    <definedName name="z_VVZVFH0115_MO_BSS_LTDebt">Model!$229:$229</definedName>
    <definedName name="z_VVZVFH0115_MO_BSS_NetDebt">Model!$232:$232</definedName>
    <definedName name="z_VVZVFH0115_MO_BSS_NetInterestExpenseIncome">Model!$238:$238</definedName>
    <definedName name="z_VVZVFH0115_MO_BSS_OperatingLeaseLiabilities">Model!$231:$231</definedName>
    <definedName name="z_VVZVFH0115_MO_BSS_STDebt">Model!$228:$228</definedName>
    <definedName name="z_VVZVFH0115_MO_CCFS_Accountsandotherreceivables">Model!$279:$279</definedName>
    <definedName name="z_VVZVFH0115_MO_CCFS_accountspayableandaccruedexpenses">Model!$283:$283</definedName>
    <definedName name="z_VVZVFH0115_MO_CCFS_Acquisitions">Model!$292:$292</definedName>
    <definedName name="z_VVZVFH0115_MO_CCFS_additionstoproperty">Model!$291:$291</definedName>
    <definedName name="z_VVZVFH0115_MO_CCFS_BeginningCashBalance">Model!$322:$322</definedName>
    <definedName name="z_VVZVFH0115_MO_CCFS_billingsinexcessofcostsandestimatedearningsonuncompletedcontracts">Model!$284:$284</definedName>
    <definedName name="z_VVZVFH0115_MO_CCFS_capitalizedsoftwaredevelopmentcosts">Model!$296:$296</definedName>
    <definedName name="z_VVZVFH0115_MO_CCFS_Cashproceedsfromterminationofinterestratederivatives">Model!$310:$310</definedName>
    <definedName name="z_VVZVFH0115_MO_CCFS_CFF">Model!$301:$301</definedName>
    <definedName name="z_VVZVFH0115_MO_CCFS_CFI">Model!$290:$290</definedName>
    <definedName name="z_VVZVFH0115_MO_CCFS_CFO">Model!$268:$268</definedName>
    <definedName name="z_VVZVFH0115_MO_CCFS_CFObeforeWC">Model!$278:$278</definedName>
    <definedName name="z_VVZVFH0115_MO_CCFS_changeinnegativecashbookbalance">Model!$307:$307</definedName>
    <definedName name="z_VVZVFH0115_MO_CCFS_changeinnegativecashbookbalances">Model!$298:$298</definedName>
    <definedName name="z_VVZVFH0115_MO_CCFS_contingentconsiderationpayments">Model!$306:$306</definedName>
    <definedName name="z_VVZVFH0115_MO_CCFS_Contingentconsiderationpaymentsinexcessoffairvalueonacquisitiondate">Model!$286:$286</definedName>
    <definedName name="z_VVZVFH0115_MO_CCFS_costsandestimatedearningsinexcessofbillingsonuncompletedcontracts">Model!$281:$281</definedName>
    <definedName name="z_VVZVFH0115_MO_CCFS_deferredincometaxes">Model!$277:$277</definedName>
    <definedName name="z_VVZVFH0115_MO_CCFS_depreciationandamortization">Model!$275:$275</definedName>
    <definedName name="z_VVZVFH0115_MO_CCFS_Dividendspaid">Model!$316:$316</definedName>
    <definedName name="z_VVZVFH0115_MO_CCFS_EndingCashBalance">Model!$323:$323</definedName>
    <definedName name="z_VVZVFH0115_MO_CCFS_EquityinvestmentbySagardCapitalPartners">Model!$305:$305</definedName>
    <definedName name="z_VVZVFH0115_MO_CCFS_excesstaxbenefitfromsharebasedcompensation">Model!$285:$285</definedName>
    <definedName name="z_VVZVFH0115_MO_CCFS_FX">Model!$319:$319</definedName>
    <definedName name="z_VVZVFH0115_MO_CCFS_gainonreversalofdeferredrentliability">Model!$271:$271</definedName>
    <definedName name="z_VVZVFH0115_MO_CCFS_Gainonsaleofbusiness">Model!$274:$274</definedName>
    <definedName name="z_VVZVFH0115_MO_CCFS_goodwillandintangibleassetimpairmentloss">Model!$270:$270</definedName>
    <definedName name="z_VVZVFH0115_MO_CCFS_incometaxbenefitofstockbasedcompensation">Model!$313:$313</definedName>
    <definedName name="z_VVZVFH0115_MO_CCFS_incometaxbenefitonreductionofuncertaintaxpositionliabilities">Model!$272:$272</definedName>
    <definedName name="z_VVZVFH0115_MO_CCFS_inventories">Model!$280:$280</definedName>
    <definedName name="z_VVZVFH0115_MO_CCFS_investmentinjointventure">Model!$295:$295</definedName>
    <definedName name="z_VVZVFH0115_MO_CCFS_lossonchangeinfairvalueofcontingentconsideration">Model!$273:$273</definedName>
    <definedName name="z_VVZVFH0115_MO_CCFS_NetCFF">Model!$317:$317</definedName>
    <definedName name="z_VVZVFH0115_MO_CCFS_NetCFI">Model!$299:$299</definedName>
    <definedName name="z_VVZVFH0115_MO_CCFS_NetCFO">Model!$288:$288</definedName>
    <definedName name="z_VVZVFH0115_MO_CCFS_NetChangeinCashBalance">Model!$320:$320</definedName>
    <definedName name="z_VVZVFH0115_MO_CCFS_netincome">Model!$269:$269</definedName>
    <definedName name="z_VVZVFH0115_MO_CCFS_noncashcompensationexpense">Model!$276:$276</definedName>
    <definedName name="z_VVZVFH0115_MO_CCFS_Other">Model!$287:$287</definedName>
    <definedName name="z_VVZVFH0115_MO_CCFS_Otherfinancingactivities">Model!$315:$315</definedName>
    <definedName name="z_VVZVFH0115_MO_CCFS_Otherinvestingactivities">Model!$297:$297</definedName>
    <definedName name="z_VVZVFH0115_MO_CCFS_Paymentofdebtissuancecosts">Model!$311:$311</definedName>
    <definedName name="z_VVZVFH0115_MO_CCFS_premiumpaidforinterestratecap">Model!$309:$309</definedName>
    <definedName name="z_VVZVFH0115_MO_CCFS_Prepaidexpensesandothercurrentassets">Model!$282:$282</definedName>
    <definedName name="z_VVZVFH0115_MO_CCFS_proceedsfromissuanceofcommonstock">Model!$314:$314</definedName>
    <definedName name="z_VVZVFH0115_MO_CCFS_Proceedsfromlongtermdebt">Model!$303:$303</definedName>
    <definedName name="z_VVZVFH0115_MO_CCFS_proceedsfromrepaymentofshorttermborrowings">Model!$302:$302</definedName>
    <definedName name="z_VVZVFH0115_MO_CCFS_Proceedsfromsaleofbusiness">Model!$293:$293</definedName>
    <definedName name="z_VVZVFH0115_MO_CCFS_proceedsfromsaleofproductiveassets">Model!$294:$294</definedName>
    <definedName name="z_VVZVFH0115_MO_CCFS_Repaymentoflongtermdebt">Model!$304:$304</definedName>
    <definedName name="z_VVZVFH0115_MO_CCFS_repurchasesofcommonstockintheopenmarket">Model!$308:$308</definedName>
    <definedName name="z_VVZVFH0115_MO_CCFS_taxwithholdingpaymentsforemployeestockbasedcompensation">Model!$312:$312</definedName>
    <definedName name="z_VVZVFH0115_MO_CFS_Accountsandotherreceivables">Model!$337:$337</definedName>
    <definedName name="z_VVZVFH0115_MO_CFS_accountspayableandaccruedexpenses">Model!$341:$341</definedName>
    <definedName name="z_VVZVFH0115_MO_CFS_Acquisitions">Model!$350:$350</definedName>
    <definedName name="z_VVZVFH0115_MO_CFS_additionstoproperty">Model!$349:$349</definedName>
    <definedName name="z_VVZVFH0115_MO_CFS_BeginningCashBalance">Model!$380:$380</definedName>
    <definedName name="z_VVZVFH0115_MO_CFS_billingsinexcessofcostsandestimatedearningsonuncompletedcontracts">Model!$342:$342</definedName>
    <definedName name="z_VVZVFH0115_MO_CFS_capitalizedsoftwaredevelopmentcosts">Model!$354:$354</definedName>
    <definedName name="z_VVZVFH0115_MO_CFS_Cashproceedsfromterminationofinterestratederivatives">Model!$368:$368</definedName>
    <definedName name="z_VVZVFH0115_MO_CFS_CFCheck">Model!$383:$383</definedName>
    <definedName name="z_VVZVFH0115_MO_CFS_CFF">Model!$359:$359</definedName>
    <definedName name="z_VVZVFH0115_MO_CFS_CFI">Model!$348:$348</definedName>
    <definedName name="z_VVZVFH0115_MO_CFS_CFO">Model!$326:$326</definedName>
    <definedName name="z_VVZVFH0115_MO_CFS_CFObeforeWC">Model!$336:$336</definedName>
    <definedName name="z_VVZVFH0115_MO_CFS_changeinnegativecashbookbalance">Model!$365:$365</definedName>
    <definedName name="z_VVZVFH0115_MO_CFS_changeinnegativecashbookbalances">Model!$356:$356</definedName>
    <definedName name="z_VVZVFH0115_MO_CFS_contingentconsiderationpayments">Model!$364:$364</definedName>
    <definedName name="z_VVZVFH0115_MO_CFS_Contingentconsiderationpaymentsinexcessoffairvalueonacquisitiondate">Model!$344:$344</definedName>
    <definedName name="z_VVZVFH0115_MO_CFS_costsandestimatedearningsinexcessofbillingsonuncompletedcontracts">Model!$339:$339</definedName>
    <definedName name="z_VVZVFH0115_MO_CFS_deferredincometaxes">Model!$335:$335</definedName>
    <definedName name="z_VVZVFH0115_MO_CFS_depreciationandamortization">Model!$333:$333</definedName>
    <definedName name="z_VVZVFH0115_MO_CFS_Dividendspaid">Model!$374:$374</definedName>
    <definedName name="z_VVZVFH0115_MO_CFS_EndingCashBalance">Model!$381:$381</definedName>
    <definedName name="z_VVZVFH0115_MO_CFS_EquityinvestmentbySagardCapitalPartners">Model!$363:$363</definedName>
    <definedName name="z_VVZVFH0115_MO_CFS_excesstaxbenefitfromsharebasedcompensation">Model!$343:$343</definedName>
    <definedName name="z_VVZVFH0115_MO_CFS_FX">Model!$377:$377</definedName>
    <definedName name="z_VVZVFH0115_MO_CFS_gainonreversalofdeferredrentliability">Model!$329:$329</definedName>
    <definedName name="z_VVZVFH0115_MO_CFS_Gainonsaleofbusiness">Model!$332:$332</definedName>
    <definedName name="z_VVZVFH0115_MO_CFS_goodwillandintangibleassetimpairmentloss">Model!$328:$328</definedName>
    <definedName name="z_VVZVFH0115_MO_CFS_incometaxbenefitofstockbasedcompensation">Model!$371:$371</definedName>
    <definedName name="z_VVZVFH0115_MO_CFS_incometaxbenefitonreductionofuncertaintaxpositionliabilities">Model!$330:$330</definedName>
    <definedName name="z_VVZVFH0115_MO_CFS_inventories">Model!$338:$338</definedName>
    <definedName name="z_VVZVFH0115_MO_CFS_investmentinjointventure">Model!$353:$353</definedName>
    <definedName name="z_VVZVFH0115_MO_CFS_lossonchangeinfairvalueofcontingentconsideration">Model!$331:$331</definedName>
    <definedName name="z_VVZVFH0115_MO_CFS_NetCFF">Model!$375:$375</definedName>
    <definedName name="z_VVZVFH0115_MO_CFS_NetCFI">Model!$357:$357</definedName>
    <definedName name="z_VVZVFH0115_MO_CFS_NetCFO">Model!$346:$346</definedName>
    <definedName name="z_VVZVFH0115_MO_CFS_NetChangeinCashBalance">Model!$378:$378</definedName>
    <definedName name="z_VVZVFH0115_MO_CFS_netincome">Model!$327:$327</definedName>
    <definedName name="z_VVZVFH0115_MO_CFS_noncashcompensationexpense">Model!$334:$334</definedName>
    <definedName name="z_VVZVFH0115_MO_CFS_Other">Model!$345:$345</definedName>
    <definedName name="z_VVZVFH0115_MO_CFS_Otherfinancingactivities">Model!$373:$373</definedName>
    <definedName name="z_VVZVFH0115_MO_CFS_Otherinvestingactivities">Model!$355:$355</definedName>
    <definedName name="z_VVZVFH0115_MO_CFS_Paymentofdebtissuancecosts">Model!$369:$369</definedName>
    <definedName name="z_VVZVFH0115_MO_CFS_premiumpaidforinterestratecap">Model!$367:$367</definedName>
    <definedName name="z_VVZVFH0115_MO_CFS_Prepaidexpensesandothercurrentassets">Model!$340:$340</definedName>
    <definedName name="z_VVZVFH0115_MO_CFS_proceedsfromissuanceofcommonstock">Model!$372:$372</definedName>
    <definedName name="z_VVZVFH0115_MO_CFS_Proceedsfromlongtermdebt">Model!$361:$361</definedName>
    <definedName name="z_VVZVFH0115_MO_CFS_proceedsfromrepaymentofshorttermborrowings">Model!$360:$360</definedName>
    <definedName name="z_VVZVFH0115_MO_CFS_Proceedsfromsaleofbusiness">Model!$351:$351</definedName>
    <definedName name="z_VVZVFH0115_MO_CFS_proceedsfromsaleofproductiveassets">Model!$352:$352</definedName>
    <definedName name="z_VVZVFH0115_MO_CFS_Repaymentoflongtermdebt">Model!$362:$362</definedName>
    <definedName name="z_VVZVFH0115_MO_CFS_Repurchasesofcommonstockintheopenmarket">Model!$366:$366</definedName>
    <definedName name="z_VVZVFH0115_MO_CFS_taxwithholdingpaymentsforemployeestockbasedcompensation">Model!$370:$370</definedName>
    <definedName name="z_VVZVFH0115_MO_CFSum_Acquisitions">Model!$212:$212</definedName>
    <definedName name="z_VVZVFH0115_MO_CFSum_Capex">Model!$210:$210</definedName>
    <definedName name="z_VVZVFH0115_MO_CFSum_CashFlowPerDilutedShare">Model!$208:$208</definedName>
    <definedName name="z_VVZVFH0115_MO_CFSum_ConsensusEstimatesCapex">Model!$211:$211</definedName>
    <definedName name="z_VVZVFH0115_MO_CFSum_consensusestimatescashflowperdilutedshare">Model!$209:$209</definedName>
    <definedName name="z_VVZVFH0115_MO_CFSum_Divestiture">Model!$213:$213</definedName>
    <definedName name="z_VVZVFH0115_MO_CFSum_DividendPaid">Model!$214:$214</definedName>
    <definedName name="z_VVZVFH0115_MO_CFSum_DividendPerShare">Model!$215:$215</definedName>
    <definedName name="z_VVZVFH0115_MO_CFSum_EstimatedSharePriceforIssuanceBuybacks">Model!$219:$219</definedName>
    <definedName name="z_VVZVFH0115_MO_CFSum_FCF">Model!$221:$221</definedName>
    <definedName name="z_VVZVFH0115_MO_CFSum_FCF_1">Model!$222:$222</definedName>
    <definedName name="z_VVZVFH0115_MO_CFSum_FCF_2">Model!$223:$223</definedName>
    <definedName name="z_VVZVFH0115_MO_CFSum_FCFPostDivDebtBuyback">Model!$224:$224</definedName>
    <definedName name="z_VVZVFH0115_MO_CFSum_NetDebtIssuanceRepayment">Model!$217:$217</definedName>
    <definedName name="z_VVZVFH0115_MO_CFSum_NetShareIssuanceBuybacks">Model!$218:$218</definedName>
    <definedName name="z_VVZVFH0115_MO_CFSum_OperatingCashFlowbeforeWC">Model!$207:$207</definedName>
    <definedName name="z_VVZVFH0115_MO_GA_AcqDivRevenueChange">Model!$22:$22</definedName>
    <definedName name="z_VVZVFH0115_MO_GA_AcqDivRevenueGrowth">Model!$16:$16</definedName>
    <definedName name="z_VVZVFH0115_MO_GA_FXImpactRevenueChange">Model!$23:$23</definedName>
    <definedName name="z_VVZVFH0115_MO_GA_FXImpactRevenueGrowth">Model!$17:$17</definedName>
    <definedName name="z_VVZVFH0115_MO_GA_OrganicRevenueChange">Model!$21:$21</definedName>
    <definedName name="z_VVZVFH0115_MO_GA_OrganicRevenueGrowth">Model!$15:$15</definedName>
    <definedName name="z_VVZVFH0115_MO_GA_TotalRevenuecurrentperiod">Model!$24:$24</definedName>
    <definedName name="z_VVZVFH0115_MO_GA_TotalRevenueGrowth">Model!$18:$18</definedName>
    <definedName name="z_VVZVFH0115_MO_GA_TotalRevenuepreviousperiod">Model!$20:$20</definedName>
    <definedName name="z_VVZVFH0115_MO_Header_ColumnHeader">Model!$5:$5</definedName>
    <definedName name="z_VVZVFH0115_MO_Header_CompanySubTitle">Model!$2:$2</definedName>
    <definedName name="z_VVZVFH0115_MO_Header_CompanyTitle">Model!$1:$1</definedName>
    <definedName name="z_VVZVFH0115_MO_Header_FPDays">Model!$3:$3</definedName>
    <definedName name="z_VVZVFH0115_MO_Header_QEndDate">Model!$4:$4</definedName>
    <definedName name="z_VVZVFH0115_MO_IS_costofrevenue">Model!$102:$102</definedName>
    <definedName name="z_VVZVFH0115_MO_IS_gainonreversalofdeferredrentliability">Model!$105:$105</definedName>
    <definedName name="z_VVZVFH0115_MO_IS_Gainonsaleofbusiness">Model!$108:$108</definedName>
    <definedName name="z_VVZVFH0115_MO_IS_goodwillandintangibleassetimpairmentloss">Model!$109:$109</definedName>
    <definedName name="z_VVZVFH0115_MO_IS_grossprofit">Model!$103:$103</definedName>
    <definedName name="z_VVZVFH0115_MO_IS_incomebeforeincometaxexpense">Model!$113:$113</definedName>
    <definedName name="z_VVZVFH0115_MO_IS_incometaxexpense">Model!$114:$114</definedName>
    <definedName name="z_VVZVFH0115_MO_IS_interestexpense">Model!$111:$111</definedName>
    <definedName name="z_VVZVFH0115_MO_IS_ISCheck">Model!$117:$117</definedName>
    <definedName name="z_VVZVFH0115_MO_IS_lossonchangeinfairvalueofcontingentconsideration">Model!$107:$107</definedName>
    <definedName name="z_VVZVFH0115_MO_IS_netincome">Model!$115:$115</definedName>
    <definedName name="z_VVZVFH0115_MO_IS_operatingincome">Model!$110:$110</definedName>
    <definedName name="z_VVZVFH0115_MO_IS_Otherincomeexpense">Model!$112:$112</definedName>
    <definedName name="z_VVZVFH0115_MO_IS_restructuringcharges">Model!$106:$106</definedName>
    <definedName name="z_VVZVFH0115_MO_IS_revenue">Model!$101:$101</definedName>
    <definedName name="z_VVZVFH0115_MO_IS_selling">Model!$104:$104</definedName>
    <definedName name="z_VVZVFH0115_MO_MA_AdjustedEBITDAMargin">Model!$97:$97</definedName>
    <definedName name="z_VVZVFH0115_MO_MA_AverageFXRate">Model!$259:$259</definedName>
    <definedName name="z_VVZVFH0115_MO_MA_BusinessTransformationCOGSmargin">Model!$84:$84</definedName>
    <definedName name="z_VVZVFH0115_MO_MA_COGSMarginExcludingDA">Model!$89:$89</definedName>
    <definedName name="z_VVZVFH0115_MO_MA_COGSMarginIncludingDA">Model!$90:$90</definedName>
    <definedName name="z_VVZVFH0115_MO_MA_consensusestimatesadjustedebitdamargin">Model!$98:$98</definedName>
    <definedName name="z_VVZVFH0115_MO_MA_consensusestimatesgrossmargin">Model!$93:$93</definedName>
    <definedName name="z_VVZVFH0115_MO_MA_EBITDAMargin">Model!$96:$96</definedName>
    <definedName name="z_VVZVFH0115_MO_MA_GrossMarginExcludingDA">Model!$91:$91</definedName>
    <definedName name="z_VVZVFH0115_MO_MA_GrossMarginIncludingDA">Model!$92:$92</definedName>
    <definedName name="z_VVZVFH0115_MO_MA_learningsolutionscogsmargin">Model!$85:$85</definedName>
    <definedName name="z_VVZVFH0115_MO_MA_performancereadinesssolutionscogsmargin">Model!$88:$88</definedName>
    <definedName name="z_VVZVFH0115_MO_MA_professionaltechnicalservicescogsmargin">Model!$86:$86</definedName>
    <definedName name="z_VVZVFH0115_MO_MA_sandytrainingmarketingcogsmargin">Model!$87:$87</definedName>
    <definedName name="z_VVZVFH0115_MO_MA_SGAMargin">Model!$95:$95</definedName>
    <definedName name="z_VVZVFH0115_MO_MA_StockPriceTradingCurAvg">Model!$260:$260</definedName>
    <definedName name="z_VVZVFH0115_MO_MA_WorkforceExcellenceCOGSmargin">Model!$83:$83</definedName>
    <definedName name="z_VVZVFH0115_MO_OS_Accountsandotherreceivables">Model!$386:$386</definedName>
    <definedName name="z_VVZVFH0115_MO_OS_AccountsandotherreceivablesYYChange">Model!$391:$391</definedName>
    <definedName name="z_VVZVFH0115_MO_OS_Accountspayableandaccruedexpenses">Model!$389:$389</definedName>
    <definedName name="z_VVZVFH0115_MO_OS_AccountspayableandaccruedexpensesYYChange">Model!$394:$394</definedName>
    <definedName name="z_VVZVFH0115_MO_OS_Billingsinexcessofcostsandestimatedearningsonuncompletedcontracts">"Deleted"</definedName>
    <definedName name="z_VVZVFH0115_MO_OS_BillingsinexcessofcostsandestimatedearningsonuncompletedcontractsYYChange">"Deleted"</definedName>
    <definedName name="z_VVZVFH0115_MO_OS_BusinessTransformationServicesCOGS">Model!$32:$32</definedName>
    <definedName name="z_VVZVFH0115_MO_OS_BusinessTransformationServicesGrossProfit">Model!$36:$36</definedName>
    <definedName name="z_VVZVFH0115_MO_OS_BusinessTransformationServicesrevenue">Model!$28:$28</definedName>
    <definedName name="z_VVZVFH0115_MO_OS_BusinessTransformationServicesrevenuegrowth">Model!$8:$8</definedName>
    <definedName name="z_VVZVFH0115_MO_OS_Costsandestimatedearningsinexcessofbillingsonuncompletedcontracts">Model!$387:$387</definedName>
    <definedName name="z_VVZVFH0115_MO_OS_CostsandestimatedearningsinexcessofbillingsonuncompletedcontractsYYChange">Model!$392:$392</definedName>
    <definedName name="z_VVZVFH0115_MO_OS_EnergyServicesCOGSPriorto2014">Model!$72:$72</definedName>
    <definedName name="z_VVZVFH0115_MO_OS_EnergyServicesGrossProfitPriorto2014">Model!$79:$79</definedName>
    <definedName name="z_VVZVFH0115_MO_OS_EnergyServicesrevenuePriorto2014">Model!$65:$65</definedName>
    <definedName name="z_VVZVFH0115_MO_OS_learningsolutionscogs">Model!$49:$49</definedName>
    <definedName name="z_VVZVFH0115_MO_OS_LearningSolutionsCOGSPriorto2014">Model!$68:$68</definedName>
    <definedName name="z_VVZVFH0115_MO_OS_learningsolutionsgrossprofit">Model!$55:$55</definedName>
    <definedName name="z_VVZVFH0115_MO_OS_LearningSolutionsGrossProfitPriorto2014">Model!$75:$75</definedName>
    <definedName name="z_VVZVFH0115_MO_OS_learningsolutionsrevenue">Model!$43:$43</definedName>
    <definedName name="z_VVZVFH0115_MO_OS_learningsolutionsrevenuegrowth">Model!$9:$9</definedName>
    <definedName name="z_VVZVFH0115_MO_OS_LearningSolutionsrevenuePriorto2014">Model!$61:$61</definedName>
    <definedName name="z_VVZVFH0115_MO_OS_performancereadinesssolutionscogs">Model!$52:$52</definedName>
    <definedName name="z_VVZVFH0115_MO_OS_PerformanceReadinessSolutionsCOGSPriorto2014">Model!$71:$71</definedName>
    <definedName name="z_VVZVFH0115_MO_OS_performancereadinesssolutionsgrossprofit">Model!$58:$58</definedName>
    <definedName name="z_VVZVFH0115_MO_OS_PerformanceReadinessSolutionsGrossProfitPriorto2014">Model!$78:$78</definedName>
    <definedName name="z_VVZVFH0115_MO_OS_performancereadinesssolutionsrevenue">Model!$46:$46</definedName>
    <definedName name="z_VVZVFH0115_MO_OS_performancereadinesssolutionsrevenuegrowth">Model!$12:$12</definedName>
    <definedName name="z_VVZVFH0115_MO_OS_PerformanceReadinessSolutionsrevenuePriorto2014">Model!$64:$64</definedName>
    <definedName name="z_VVZVFH0115_MO_OS_Prepaidexpensesandothercurrentassets">Model!$388:$388</definedName>
    <definedName name="z_VVZVFH0115_MO_OS_PrepaidexpensesandothercurrentassetsYYChange">Model!$393:$393</definedName>
    <definedName name="z_VVZVFH0115_MO_OS_professionaltechnicalservicescogs">Model!$50:$50</definedName>
    <definedName name="z_VVZVFH0115_MO_OS_ProfessionalTechnicalServicesCOGSPriorto2014">Model!$69:$69</definedName>
    <definedName name="z_VVZVFH0115_MO_OS_professionaltechnicalservicesgrossprofit">Model!$56:$56</definedName>
    <definedName name="z_VVZVFH0115_MO_OS_ProfessionalTechnicalServicesGrossProfitPriorto2014">Model!$76:$76</definedName>
    <definedName name="z_VVZVFH0115_MO_OS_professionaltechnicalservicesrevenue">Model!$44:$44</definedName>
    <definedName name="z_VVZVFH0115_MO_OS_professionaltechnicalservicesrevenuegrowth">Model!$10:$10</definedName>
    <definedName name="z_VVZVFH0115_MO_OS_ProfessionalTechnicalServicesrevenuePriorto2014">Model!$62:$62</definedName>
    <definedName name="z_VVZVFH0115_MO_OS_sandytrainingmarketingcogs">Model!$51:$51</definedName>
    <definedName name="z_VVZVFH0115_MO_OS_SandyTrainingMarketingCOGSPriorto2014">Model!$70:$70</definedName>
    <definedName name="z_VVZVFH0115_MO_OS_sandytrainingmarketinggrossprofit">Model!$57:$57</definedName>
    <definedName name="z_VVZVFH0115_MO_OS_SandyTrainingMarketingGrossProfitPriorto2014">Model!$77:$77</definedName>
    <definedName name="z_VVZVFH0115_MO_OS_sandytrainingmarketingrevenue">Model!$45:$45</definedName>
    <definedName name="z_VVZVFH0115_MO_OS_sandytrainingmarketingrevenuegrowth">Model!$11:$11</definedName>
    <definedName name="z_VVZVFH0115_MO_OS_SandyTrainingMarketingrevenuePriorto2014">Model!$63:$63</definedName>
    <definedName name="z_VVZVFH0115_MO_OS_totalbacklog">Model!$40:$40</definedName>
    <definedName name="z_VVZVFH0115_MO_OS_TotalCOGS">Model!$33:$33</definedName>
    <definedName name="z_VVZVFH0115_MO_OS_TotalCOGS_1">Model!$53:$53</definedName>
    <definedName name="z_VVZVFH0115_MO_OS_TotalCOGSPriorto2014">Model!$73:$73</definedName>
    <definedName name="z_VVZVFH0115_MO_OS_TotalGrossProfit">Model!$37:$37</definedName>
    <definedName name="z_VVZVFH0115_MO_OS_TotalGrossProfit_1">Model!$59:$59</definedName>
    <definedName name="z_VVZVFH0115_MO_OS_TotalGrossProfitPriorto2014">Model!$80:$80</definedName>
    <definedName name="z_VVZVFH0115_MO_OS_TotalRevenue">Model!$29:$29</definedName>
    <definedName name="z_VVZVFH0115_MO_OS_TotalRevenue_1">Model!$47:$47</definedName>
    <definedName name="z_VVZVFH0115_MO_OS_TotalRevenueGrowth">Model!$13:$13</definedName>
    <definedName name="z_VVZVFH0115_MO_OS_TotalRevenuePriorto2014">Model!$66:$66</definedName>
    <definedName name="z_VVZVFH0115_MO_OS_WorkforceExcellenceCOGS">Model!$31:$31</definedName>
    <definedName name="z_VVZVFH0115_MO_OS_WorkforceExcellenceGrossProfit">Model!$35:$35</definedName>
    <definedName name="z_VVZVFH0115_MO_OS_WorkforceExcellencerevenue">Model!$27:$27</definedName>
    <definedName name="z_VVZVFH0115_MO_OS_WorkforceExcellencerevenuegrowth">Model!$7:$7</definedName>
    <definedName name="z_VVZVFH0115_MO_RIS_AdjustedEarningsPerShareWAD">Model!$199:$199</definedName>
    <definedName name="z_VVZVFH0115_MO_RIS_AdjustedEBITDA">Model!$168:$168</definedName>
    <definedName name="z_VVZVFH0115_MO_RIS_AdjustedNetIncome">Model!$192:$192</definedName>
    <definedName name="z_VVZVFH0115_MO_RIS_AdjustedSharesOutstandingWAD">Model!$204:$204</definedName>
    <definedName name="z_VVZVFH0115_MO_RIS_AdjustmentsforConvertibleSecurities">Model!$188:$188</definedName>
    <definedName name="z_VVZVFH0115_MO_RIS_COGSadjforDA">Model!$163:$163</definedName>
    <definedName name="z_VVZVFH0115_MO_RIS_consensusestimatesadjustedearningspersharewad">Model!$200:$200</definedName>
    <definedName name="z_VVZVFH0115_MO_RIS_consensusestimatesadjustedebitda">Model!$169:$169</definedName>
    <definedName name="z_VVZVFH0115_MO_RIS_consensusestimatesnetrevenue">Model!$161:$161</definedName>
    <definedName name="z_VVZVFH0115_MO_RIS_Currenttax">Model!$181:$181</definedName>
    <definedName name="z_VVZVFH0115_MO_RIS_Currenttaxrate">Model!$194:$194</definedName>
    <definedName name="z_VVZVFH0115_MO_RIS_DA">Model!$171:$171</definedName>
    <definedName name="z_VVZVFH0115_MO_RIS_Deferredtax">Model!$182:$182</definedName>
    <definedName name="z_VVZVFH0115_MO_RIS_Deferredtaxrate">Model!$195:$195</definedName>
    <definedName name="z_VVZVFH0115_MO_RIS_DilutedNetIncometoCommonShareholders">Model!$189:$189</definedName>
    <definedName name="z_VVZVFH0115_MO_RIS_DiscontinuedOperations">Model!$184:$184</definedName>
    <definedName name="z_VVZVFH0115_MO_RIS_EarningsPerShareWAB">Model!$197:$197</definedName>
    <definedName name="z_VVZVFH0115_MO_RIS_EarningsPerShareWAD">Model!$198:$198</definedName>
    <definedName name="z_VVZVFH0115_MO_RIS_EBIT">Model!$173:$173</definedName>
    <definedName name="z_VVZVFH0115_MO_RIS_EBITDA">Model!$167:$167</definedName>
    <definedName name="z_VVZVFH0115_MO_RIS_EBT">Model!$179:$179</definedName>
    <definedName name="z_VVZVFH0115_MO_RIS_GrossProfit">Model!$164:$164</definedName>
    <definedName name="z_VVZVFH0115_MO_RIS_Interestexpense">Model!$175:$175</definedName>
    <definedName name="z_VVZVFH0115_MO_RIS_Interestincome">Model!$176:$176</definedName>
    <definedName name="z_VVZVFH0115_MO_RIS_NetIncomefromContinuedOperation">Model!$183:$183</definedName>
    <definedName name="z_VVZVFH0115_MO_RIS_NetIncometoCommonShareholders">Model!$187:$187</definedName>
    <definedName name="z_VVZVFH0115_MO_RIS_NetIncometoNCI">Model!$185:$185</definedName>
    <definedName name="z_VVZVFH0115_MO_RIS_NetRevenue">Model!$160:$160</definedName>
    <definedName name="z_VVZVFH0115_MO_RIS_NonGAAPAdjustments">Model!$190:$190</definedName>
    <definedName name="z_VVZVFH0115_MO_RIS_NonGAAPAdjustmentsforDilutiveSecurities">Model!$191:$191</definedName>
    <definedName name="z_VVZVFH0115_MO_RIS_Onetimeitem">Model!$178:$178</definedName>
    <definedName name="z_VVZVFH0115_MO_RIS_Otheritems">Model!$177:$177</definedName>
    <definedName name="z_VVZVFH0115_MO_RIS_Preferredstockdividends">Model!$186:$186</definedName>
    <definedName name="z_VVZVFH0115_MO_RIS_SBC">Model!$172:$172</definedName>
    <definedName name="z_VVZVFH0115_MO_RIS_SGAadjforSBC">Model!$166:$166</definedName>
    <definedName name="z_VVZVFH0115_MO_RIS_SharesOutstandingWAB">Model!$202:$202</definedName>
    <definedName name="z_VVZVFH0115_MO_RIS_SharesOutstandingWAD">Model!$203:$203</definedName>
    <definedName name="z_VVZVFH0115_MO_Section_AN_AdjustedNumbers">Model!$119:$119</definedName>
    <definedName name="z_VVZVFH0115_MO_Section_BS_BalanceSheet">Model!$396:$396</definedName>
    <definedName name="z_VVZVFH0115_MO_Section_BS_ModelChecks">Model!$447:$447</definedName>
    <definedName name="z_VVZVFH0115_MO_Section_BSS_BalanceSheetSummary">Model!$226:$226</definedName>
    <definedName name="z_VVZVFH0115_MO_Section_CCFS_CumulativeCashFlowStatement">Model!$267:$267</definedName>
    <definedName name="z_VVZVFH0115_MO_Section_CFS_CashFlowStatement">Model!$325:$325</definedName>
    <definedName name="z_VVZVFH0115_MO_Section_CFSum_CashFlowSummary">Model!$206:$206</definedName>
    <definedName name="z_VVZVFH0115_MO_Section_GA_GrowthAnalysis">Model!$6:$6</definedName>
    <definedName name="z_VVZVFH0115_MO_Section_IS_IncomeStatement">Model!$100:$100</definedName>
    <definedName name="z_VVZVFH0115_MO_Section_MA_MarginAnalysis">Model!$82:$82</definedName>
    <definedName name="z_VVZVFH0115_MO_Section_OS_KeyMetricsBacklogPR">Model!$39:$39</definedName>
    <definedName name="z_VVZVFH0115_MO_Section_OS_SegmentedResultsBreakdownFS">Model!$26:$26</definedName>
    <definedName name="z_VVZVFH0115_MO_Section_OS_SegmentedResultsRevenueBreakdownFS">Model!$42:$42</definedName>
    <definedName name="z_VVZVFH0115_MO_Section_OS_WorkingCapitalForecasting">Model!$385:$385</definedName>
    <definedName name="z_VVZVFH0115_MO_Section_RIS_RevisedIncomeStatement">Model!$159:$159</definedName>
    <definedName name="z_VVZVFH0115_MO_Section_TB_Tables">Model!$471:$471</definedName>
    <definedName name="z_VVZVFH0115_MO_Section_VA_Valuation">Model!$245:$245</definedName>
    <definedName name="z_VVZVFH0115_MO_VA_EnterpriseValueAverage">Model!$248:$248</definedName>
    <definedName name="z_VVZVFH0115_MO_VA_EnterpriseValueAvg">"Deleted"</definedName>
    <definedName name="z_VVZVFH0115_MO_VA_enterprisevaluecomponents">Model!$262:$262</definedName>
    <definedName name="z_VVZVFH0115_MO_VA_EnterpriseValueHigh">"Deleted"</definedName>
    <definedName name="z_VVZVFH0115_MO_VA_EnterpriseValueLow">"Deleted"</definedName>
    <definedName name="z_VVZVFH0115_MO_VA_EVEBITDAAverage">Model!$251:$251</definedName>
    <definedName name="z_VVZVFH0115_MO_VA_FCFYieldtoAverageEnterpriseValue">Model!$254:$254</definedName>
    <definedName name="z_VVZVFH0115_MO_VA_FCFYieldtoAverageMarketCap">Model!$253:$253</definedName>
    <definedName name="z_VVZVFH0115_MO_VA_MarketCapAverage">Model!$247:$247</definedName>
    <definedName name="z_VVZVFH0115_MO_VA_MarketCapAvg">"Deleted"</definedName>
    <definedName name="z_VVZVFH0115_MO_VA_MarketCapHigh">"Deleted"</definedName>
    <definedName name="z_VVZVFH0115_MO_VA_MarketCapLow">"Deleted"</definedName>
    <definedName name="z_VVZVFH0115_MO_VA_NoncontrollingInterest">Model!$263:$263</definedName>
    <definedName name="z_VVZVFH0115_MO_VA_OtherEVComponents">Model!$265:$265</definedName>
    <definedName name="z_VVZVFH0115_MO_VA_PCFAverage">Model!$252:$252</definedName>
    <definedName name="z_VVZVFH0115_MO_VA_PEAverage">Model!$250:$250</definedName>
    <definedName name="z_VVZVFH0115_MO_VA_PreferredShares">Model!$264:$264</definedName>
    <definedName name="z_VVZVFH0115_MO_VA_StockAvg">Model!$258:$258</definedName>
    <definedName name="z_VVZVFH0115_MO_VA_StockHigh">Model!$256:$256</definedName>
    <definedName name="z_VVZVFH0115_MO_VA_StockLow">Model!$257:$257</definedName>
    <definedName name="z_VVZVFH0115_MO_VA_StockPriceAverage">Model!$246:$246</definedName>
  </definedNames>
  <calcPr calcId="191029" iterate="1"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16" i="1" l="1"/>
  <c r="H8" i="5"/>
  <c r="H7" i="5"/>
  <c r="A111" i="3"/>
  <c r="A110" i="3"/>
  <c r="A109" i="3"/>
  <c r="A108" i="3"/>
  <c r="A107" i="3"/>
  <c r="E96" i="3"/>
  <c r="D96" i="3"/>
  <c r="C96" i="3"/>
  <c r="E90" i="3"/>
  <c r="D90" i="3"/>
  <c r="C90" i="3"/>
  <c r="AQ66" i="3"/>
  <c r="AP66" i="3"/>
  <c r="AO66" i="3"/>
  <c r="AN66" i="3"/>
  <c r="AF66" i="3"/>
  <c r="AE66" i="3"/>
  <c r="AD66" i="3"/>
  <c r="AC66" i="3"/>
  <c r="AB66" i="3"/>
  <c r="AA66" i="3"/>
  <c r="Z66" i="3"/>
  <c r="Y66" i="3"/>
  <c r="X66" i="3"/>
  <c r="W66" i="3"/>
  <c r="V66" i="3"/>
  <c r="U66" i="3"/>
  <c r="T66" i="3"/>
  <c r="S66" i="3"/>
  <c r="R66" i="3"/>
  <c r="Q66" i="3"/>
  <c r="P66" i="3"/>
  <c r="O66" i="3"/>
  <c r="N66" i="3"/>
  <c r="M66" i="3"/>
  <c r="L66" i="3"/>
  <c r="K66" i="3"/>
  <c r="J66" i="3"/>
  <c r="I66" i="3"/>
  <c r="H66" i="3"/>
  <c r="G66" i="3"/>
  <c r="F66" i="3"/>
  <c r="E66" i="3"/>
  <c r="D66" i="3"/>
  <c r="C66" i="3"/>
  <c r="BC61" i="3"/>
  <c r="BB61" i="3"/>
  <c r="BA61" i="3"/>
  <c r="AL61" i="3"/>
  <c r="AK61" i="3"/>
  <c r="AJ61" i="3"/>
  <c r="AI61" i="3"/>
  <c r="AH61" i="3"/>
  <c r="AG61" i="3"/>
  <c r="AF60" i="3"/>
  <c r="AF59" i="3"/>
  <c r="AF57" i="3"/>
  <c r="A57" i="3"/>
  <c r="AF56" i="3"/>
  <c r="A56" i="3"/>
  <c r="A54" i="3"/>
  <c r="AF52" i="3"/>
  <c r="A52" i="3"/>
  <c r="A51" i="3"/>
  <c r="A47" i="3"/>
  <c r="A46" i="3"/>
  <c r="A45" i="3"/>
  <c r="A42" i="3"/>
  <c r="A41" i="3"/>
  <c r="A36" i="3"/>
  <c r="BC35" i="3"/>
  <c r="BB35" i="3"/>
  <c r="BA35" i="3"/>
  <c r="AX35" i="3"/>
  <c r="AW35" i="3"/>
  <c r="AV35" i="3"/>
  <c r="AU35" i="3"/>
  <c r="AT35" i="3"/>
  <c r="AS35" i="3"/>
  <c r="AR35" i="3"/>
  <c r="AQ35" i="3"/>
  <c r="AP35" i="3"/>
  <c r="AO35" i="3"/>
  <c r="AN35" i="3"/>
  <c r="AL35" i="3"/>
  <c r="AK35" i="3"/>
  <c r="AJ35" i="3"/>
  <c r="AI35" i="3"/>
  <c r="AH35" i="3"/>
  <c r="AG35" i="3"/>
  <c r="AF35" i="3"/>
  <c r="AE35" i="3"/>
  <c r="AD35" i="3"/>
  <c r="AC35" i="3"/>
  <c r="AB35" i="3"/>
  <c r="AA35" i="3"/>
  <c r="Z35" i="3"/>
  <c r="Y35" i="3"/>
  <c r="X35" i="3"/>
  <c r="W35" i="3"/>
  <c r="V35" i="3"/>
  <c r="U35" i="3"/>
  <c r="T35" i="3"/>
  <c r="S35" i="3"/>
  <c r="R35" i="3"/>
  <c r="Q35" i="3"/>
  <c r="P35" i="3"/>
  <c r="O35" i="3"/>
  <c r="N35" i="3"/>
  <c r="M35" i="3"/>
  <c r="L35" i="3"/>
  <c r="K35" i="3"/>
  <c r="J35" i="3"/>
  <c r="I35" i="3"/>
  <c r="H35" i="3"/>
  <c r="G35" i="3"/>
  <c r="F35" i="3"/>
  <c r="E35" i="3"/>
  <c r="D35" i="3"/>
  <c r="C35" i="3"/>
  <c r="A35" i="3"/>
  <c r="BC34" i="3"/>
  <c r="BB34" i="3"/>
  <c r="BA34" i="3"/>
  <c r="AX34" i="3"/>
  <c r="AW34" i="3"/>
  <c r="AV34" i="3"/>
  <c r="AU34" i="3"/>
  <c r="AT34" i="3"/>
  <c r="AS34" i="3"/>
  <c r="AR34" i="3"/>
  <c r="AQ34" i="3"/>
  <c r="AP34" i="3"/>
  <c r="AO34" i="3"/>
  <c r="AN34" i="3"/>
  <c r="AL34" i="3"/>
  <c r="AK34" i="3"/>
  <c r="AJ34" i="3"/>
  <c r="AI34" i="3"/>
  <c r="AH34" i="3"/>
  <c r="AG34" i="3"/>
  <c r="AF34" i="3"/>
  <c r="AE34" i="3"/>
  <c r="AD34" i="3"/>
  <c r="AC34" i="3"/>
  <c r="AB34" i="3"/>
  <c r="AA34" i="3"/>
  <c r="Z34" i="3"/>
  <c r="Y34" i="3"/>
  <c r="X34" i="3"/>
  <c r="W34" i="3"/>
  <c r="V34" i="3"/>
  <c r="U34" i="3"/>
  <c r="T34" i="3"/>
  <c r="S34" i="3"/>
  <c r="R34" i="3"/>
  <c r="Q34" i="3"/>
  <c r="P34" i="3"/>
  <c r="O34" i="3"/>
  <c r="N34" i="3"/>
  <c r="M34" i="3"/>
  <c r="L34" i="3"/>
  <c r="K34" i="3"/>
  <c r="J34" i="3"/>
  <c r="I34" i="3"/>
  <c r="H34" i="3"/>
  <c r="G34" i="3"/>
  <c r="F34" i="3"/>
  <c r="E34" i="3"/>
  <c r="D34" i="3"/>
  <c r="C34" i="3"/>
  <c r="A34" i="3"/>
  <c r="BC33" i="3"/>
  <c r="BB33" i="3"/>
  <c r="BA33" i="3"/>
  <c r="AX33" i="3"/>
  <c r="AW33" i="3"/>
  <c r="AV33" i="3"/>
  <c r="AU33" i="3"/>
  <c r="AT33" i="3"/>
  <c r="AS33" i="3"/>
  <c r="AR33" i="3"/>
  <c r="AQ33" i="3"/>
  <c r="AP33" i="3"/>
  <c r="AO33" i="3"/>
  <c r="AN33" i="3"/>
  <c r="AL33" i="3"/>
  <c r="AK33" i="3"/>
  <c r="AJ33" i="3"/>
  <c r="AI33" i="3"/>
  <c r="AH33" i="3"/>
  <c r="AG33" i="3"/>
  <c r="AF33" i="3"/>
  <c r="AE33" i="3"/>
  <c r="AD33" i="3"/>
  <c r="AC33" i="3"/>
  <c r="AB33" i="3"/>
  <c r="AA33" i="3"/>
  <c r="Z33" i="3"/>
  <c r="Y33" i="3"/>
  <c r="X33" i="3"/>
  <c r="W33" i="3"/>
  <c r="V33" i="3"/>
  <c r="U33" i="3"/>
  <c r="T33" i="3"/>
  <c r="S33" i="3"/>
  <c r="R33" i="3"/>
  <c r="Q33" i="3"/>
  <c r="P33" i="3"/>
  <c r="O33" i="3"/>
  <c r="N33" i="3"/>
  <c r="M33" i="3"/>
  <c r="L33" i="3"/>
  <c r="K33" i="3"/>
  <c r="J33" i="3"/>
  <c r="I33" i="3"/>
  <c r="H33" i="3"/>
  <c r="G33" i="3"/>
  <c r="F33" i="3"/>
  <c r="E33" i="3"/>
  <c r="D33" i="3"/>
  <c r="C33" i="3"/>
  <c r="A33" i="3"/>
  <c r="A31" i="3"/>
  <c r="BC30" i="3"/>
  <c r="BB30" i="3"/>
  <c r="BA30" i="3"/>
  <c r="AL30" i="3"/>
  <c r="AK30" i="3"/>
  <c r="AJ30" i="3"/>
  <c r="AI30" i="3"/>
  <c r="AH30" i="3"/>
  <c r="AG30" i="3"/>
  <c r="A29" i="3"/>
  <c r="A28" i="3"/>
  <c r="A27" i="3"/>
  <c r="A26" i="3"/>
  <c r="A25" i="3"/>
  <c r="A24" i="3"/>
  <c r="A23" i="3"/>
  <c r="A20" i="3"/>
  <c r="AX19" i="3"/>
  <c r="AW19" i="3"/>
  <c r="AV19" i="3"/>
  <c r="AU19" i="3"/>
  <c r="AT19" i="3"/>
  <c r="AS19" i="3"/>
  <c r="AR19" i="3"/>
  <c r="AQ19" i="3"/>
  <c r="AP19" i="3"/>
  <c r="AO19" i="3"/>
  <c r="AN19" i="3"/>
  <c r="AF19" i="3"/>
  <c r="AE19" i="3"/>
  <c r="AC19" i="3"/>
  <c r="AB19" i="3"/>
  <c r="AA19" i="3"/>
  <c r="Y19" i="3"/>
  <c r="X19" i="3"/>
  <c r="W19" i="3"/>
  <c r="U19" i="3"/>
  <c r="T19" i="3"/>
  <c r="S19" i="3"/>
  <c r="R19" i="3"/>
  <c r="Q19" i="3"/>
  <c r="P19" i="3"/>
  <c r="O19" i="3"/>
  <c r="N19" i="3"/>
  <c r="M19" i="3"/>
  <c r="L19" i="3"/>
  <c r="K19" i="3"/>
  <c r="J19" i="3"/>
  <c r="I19" i="3"/>
  <c r="H19" i="3"/>
  <c r="G19" i="3"/>
  <c r="F19" i="3"/>
  <c r="E19" i="3"/>
  <c r="D19" i="3"/>
  <c r="C19" i="3"/>
  <c r="A19" i="3"/>
  <c r="AX18" i="3"/>
  <c r="AW18" i="3"/>
  <c r="AV18" i="3"/>
  <c r="AU18" i="3"/>
  <c r="AT18" i="3"/>
  <c r="AS18" i="3"/>
  <c r="AR18" i="3"/>
  <c r="AQ18" i="3"/>
  <c r="AP18" i="3"/>
  <c r="AO18" i="3"/>
  <c r="AN18" i="3"/>
  <c r="AF18" i="3"/>
  <c r="AE18" i="3"/>
  <c r="AC18" i="3"/>
  <c r="AB18" i="3"/>
  <c r="AA18" i="3"/>
  <c r="Y18" i="3"/>
  <c r="X18" i="3"/>
  <c r="W18" i="3"/>
  <c r="U18" i="3"/>
  <c r="T18" i="3"/>
  <c r="S18" i="3"/>
  <c r="R18" i="3"/>
  <c r="Q18" i="3"/>
  <c r="P18" i="3"/>
  <c r="O18" i="3"/>
  <c r="N18" i="3"/>
  <c r="M18" i="3"/>
  <c r="L18" i="3"/>
  <c r="K18" i="3"/>
  <c r="J18" i="3"/>
  <c r="I18" i="3"/>
  <c r="H18" i="3"/>
  <c r="G18" i="3"/>
  <c r="F18" i="3"/>
  <c r="E18" i="3"/>
  <c r="D18" i="3"/>
  <c r="C18" i="3"/>
  <c r="A18" i="3"/>
  <c r="AN16" i="3"/>
  <c r="F16" i="3"/>
  <c r="E16" i="3"/>
  <c r="D16" i="3"/>
  <c r="C16" i="3"/>
  <c r="A16" i="3"/>
  <c r="AY15" i="3"/>
  <c r="AV15" i="3"/>
  <c r="AU15" i="3"/>
  <c r="AT15" i="3"/>
  <c r="AS15" i="3"/>
  <c r="AR15" i="3"/>
  <c r="AQ15" i="3"/>
  <c r="AP15" i="3"/>
  <c r="AO15" i="3"/>
  <c r="AN15" i="3"/>
  <c r="AH15" i="3"/>
  <c r="AG15" i="3"/>
  <c r="V15" i="3"/>
  <c r="U15" i="3"/>
  <c r="T15" i="3"/>
  <c r="S15" i="3"/>
  <c r="R15" i="3"/>
  <c r="Q15" i="3"/>
  <c r="P15" i="3"/>
  <c r="O15" i="3"/>
  <c r="N15" i="3"/>
  <c r="M15" i="3"/>
  <c r="L15" i="3"/>
  <c r="K15" i="3"/>
  <c r="J15" i="3"/>
  <c r="I15" i="3"/>
  <c r="H15" i="3"/>
  <c r="G15" i="3"/>
  <c r="F15" i="3"/>
  <c r="E15" i="3"/>
  <c r="D15" i="3"/>
  <c r="C15" i="3"/>
  <c r="A15" i="3"/>
  <c r="AY14" i="3"/>
  <c r="AV14" i="3"/>
  <c r="AU14" i="3"/>
  <c r="AT14" i="3"/>
  <c r="AS14" i="3"/>
  <c r="AR14" i="3"/>
  <c r="AQ14" i="3"/>
  <c r="AP14" i="3"/>
  <c r="AO14" i="3"/>
  <c r="AN14" i="3"/>
  <c r="AH14" i="3"/>
  <c r="AG14" i="3"/>
  <c r="V14" i="3"/>
  <c r="U14" i="3"/>
  <c r="T14" i="3"/>
  <c r="S14" i="3"/>
  <c r="R14" i="3"/>
  <c r="Q14" i="3"/>
  <c r="P14" i="3"/>
  <c r="O14" i="3"/>
  <c r="N14" i="3"/>
  <c r="M14" i="3"/>
  <c r="L14" i="3"/>
  <c r="K14" i="3"/>
  <c r="J14" i="3"/>
  <c r="I14" i="3"/>
  <c r="H14" i="3"/>
  <c r="G14" i="3"/>
  <c r="F14" i="3"/>
  <c r="E14" i="3"/>
  <c r="D14" i="3"/>
  <c r="C14" i="3"/>
  <c r="A14" i="3"/>
  <c r="A11" i="3"/>
  <c r="A8" i="3"/>
  <c r="A7" i="3"/>
  <c r="A6" i="3"/>
  <c r="A5" i="3"/>
  <c r="A4" i="3"/>
  <c r="AN2" i="3"/>
  <c r="AN1" i="3"/>
  <c r="A1" i="3"/>
  <c r="J8" i="6"/>
  <c r="J6" i="6"/>
  <c r="F2" i="6"/>
  <c r="B1" i="6"/>
  <c r="B548" i="2"/>
  <c r="B547" i="2"/>
  <c r="B538" i="2"/>
  <c r="B537" i="2"/>
  <c r="B536" i="2"/>
  <c r="BC532" i="2"/>
  <c r="BB532" i="2"/>
  <c r="BA532" i="2"/>
  <c r="AZ532" i="2"/>
  <c r="AY532" i="2"/>
  <c r="AX532" i="2"/>
  <c r="AW532" i="2"/>
  <c r="AV532" i="2"/>
  <c r="AU532" i="2"/>
  <c r="AT532" i="2"/>
  <c r="AS532" i="2"/>
  <c r="AR532" i="2"/>
  <c r="AQ532" i="2"/>
  <c r="AP532" i="2"/>
  <c r="AO532" i="2"/>
  <c r="AN532" i="2"/>
  <c r="AL532" i="2"/>
  <c r="AK532" i="2"/>
  <c r="AJ532" i="2"/>
  <c r="AI532" i="2"/>
  <c r="AH532" i="2"/>
  <c r="AG532" i="2"/>
  <c r="AF532" i="2"/>
  <c r="AE532" i="2"/>
  <c r="AD532" i="2"/>
  <c r="AC532" i="2"/>
  <c r="AB532" i="2"/>
  <c r="AA532" i="2"/>
  <c r="Z532" i="2"/>
  <c r="Y532" i="2"/>
  <c r="X532" i="2"/>
  <c r="W532" i="2"/>
  <c r="V532" i="2"/>
  <c r="U532" i="2"/>
  <c r="T532" i="2"/>
  <c r="S532" i="2"/>
  <c r="R532" i="2"/>
  <c r="Q532" i="2"/>
  <c r="P532" i="2"/>
  <c r="O532" i="2"/>
  <c r="N532" i="2"/>
  <c r="M532" i="2"/>
  <c r="L532" i="2"/>
  <c r="K532" i="2"/>
  <c r="J532" i="2"/>
  <c r="I532" i="2"/>
  <c r="H532" i="2"/>
  <c r="G532" i="2"/>
  <c r="F532" i="2"/>
  <c r="E532" i="2"/>
  <c r="D532" i="2"/>
  <c r="C532" i="2"/>
  <c r="BC528" i="2"/>
  <c r="BB528" i="2"/>
  <c r="BA528" i="2"/>
  <c r="AZ528" i="2"/>
  <c r="AY528" i="2"/>
  <c r="AL528" i="2"/>
  <c r="AK528" i="2"/>
  <c r="AJ528" i="2"/>
  <c r="AI528" i="2"/>
  <c r="AH528" i="2"/>
  <c r="AG528" i="2"/>
  <c r="BC525" i="2"/>
  <c r="BB525" i="2"/>
  <c r="BA525" i="2"/>
  <c r="AZ525" i="2"/>
  <c r="AY525" i="2"/>
  <c r="AX525" i="2"/>
  <c r="AW525" i="2"/>
  <c r="AV525" i="2"/>
  <c r="AU525" i="2"/>
  <c r="AT525" i="2"/>
  <c r="AS525" i="2"/>
  <c r="AR525" i="2"/>
  <c r="AQ525" i="2"/>
  <c r="AP525" i="2"/>
  <c r="AO525" i="2"/>
  <c r="AN525" i="2"/>
  <c r="AL525" i="2"/>
  <c r="AK525" i="2"/>
  <c r="AJ525" i="2"/>
  <c r="AI525" i="2"/>
  <c r="AH525" i="2"/>
  <c r="AG525" i="2"/>
  <c r="AF525" i="2"/>
  <c r="AE525" i="2"/>
  <c r="AD525" i="2"/>
  <c r="AC525" i="2"/>
  <c r="AB525" i="2"/>
  <c r="AA525" i="2"/>
  <c r="Z525" i="2"/>
  <c r="Y525" i="2"/>
  <c r="X525" i="2"/>
  <c r="W525" i="2"/>
  <c r="V525" i="2"/>
  <c r="U525" i="2"/>
  <c r="T525" i="2"/>
  <c r="S525" i="2"/>
  <c r="R525" i="2"/>
  <c r="Q525" i="2"/>
  <c r="P525" i="2"/>
  <c r="O525" i="2"/>
  <c r="N525" i="2"/>
  <c r="M525" i="2"/>
  <c r="L525" i="2"/>
  <c r="K525" i="2"/>
  <c r="J525" i="2"/>
  <c r="I525" i="2"/>
  <c r="H525" i="2"/>
  <c r="G525" i="2"/>
  <c r="F525" i="2"/>
  <c r="E525" i="2"/>
  <c r="D525" i="2"/>
  <c r="C525" i="2"/>
  <c r="BC523" i="2"/>
  <c r="BB523" i="2"/>
  <c r="BA523" i="2"/>
  <c r="AZ523" i="2"/>
  <c r="AY523" i="2"/>
  <c r="AX523" i="2"/>
  <c r="AW523" i="2"/>
  <c r="AV523" i="2"/>
  <c r="AU523" i="2"/>
  <c r="AT523" i="2"/>
  <c r="AS523" i="2"/>
  <c r="AR523" i="2"/>
  <c r="AQ523" i="2"/>
  <c r="AP523" i="2"/>
  <c r="AO523" i="2"/>
  <c r="AN523" i="2"/>
  <c r="AL523" i="2"/>
  <c r="AK523" i="2"/>
  <c r="AJ523" i="2"/>
  <c r="AI523" i="2"/>
  <c r="AH523" i="2"/>
  <c r="AG523" i="2"/>
  <c r="AF523" i="2"/>
  <c r="AE523" i="2"/>
  <c r="AD523" i="2"/>
  <c r="AC523" i="2"/>
  <c r="AB523" i="2"/>
  <c r="AA523" i="2"/>
  <c r="Z523" i="2"/>
  <c r="Y523" i="2"/>
  <c r="X523" i="2"/>
  <c r="W523" i="2"/>
  <c r="V523" i="2"/>
  <c r="U523" i="2"/>
  <c r="T523" i="2"/>
  <c r="S523" i="2"/>
  <c r="R523" i="2"/>
  <c r="Q523" i="2"/>
  <c r="P523" i="2"/>
  <c r="O523" i="2"/>
  <c r="N523" i="2"/>
  <c r="M523" i="2"/>
  <c r="L523" i="2"/>
  <c r="K523" i="2"/>
  <c r="J523" i="2"/>
  <c r="I523" i="2"/>
  <c r="H523" i="2"/>
  <c r="G523" i="2"/>
  <c r="F523" i="2"/>
  <c r="E523" i="2"/>
  <c r="D523" i="2"/>
  <c r="C523" i="2"/>
  <c r="BC518" i="2"/>
  <c r="BB518" i="2"/>
  <c r="BA518" i="2"/>
  <c r="AZ518" i="2"/>
  <c r="AY518" i="2"/>
  <c r="AX518" i="2"/>
  <c r="AW518" i="2"/>
  <c r="AV518" i="2"/>
  <c r="AU518" i="2"/>
  <c r="AT518" i="2"/>
  <c r="AS518" i="2"/>
  <c r="AR518" i="2"/>
  <c r="AQ518" i="2"/>
  <c r="AP518" i="2"/>
  <c r="AO518" i="2"/>
  <c r="AN518" i="2"/>
  <c r="AL518" i="2"/>
  <c r="AK518" i="2"/>
  <c r="AJ518" i="2"/>
  <c r="AI518" i="2"/>
  <c r="AH518" i="2"/>
  <c r="AG518" i="2"/>
  <c r="AF518" i="2"/>
  <c r="AE518" i="2"/>
  <c r="AD518" i="2"/>
  <c r="AC518" i="2"/>
  <c r="AB518" i="2"/>
  <c r="AA518" i="2"/>
  <c r="Z518" i="2"/>
  <c r="Y518" i="2"/>
  <c r="X518" i="2"/>
  <c r="W518" i="2"/>
  <c r="V518" i="2"/>
  <c r="U518" i="2"/>
  <c r="T518" i="2"/>
  <c r="S518" i="2"/>
  <c r="R518" i="2"/>
  <c r="Q518" i="2"/>
  <c r="P518" i="2"/>
  <c r="O518" i="2"/>
  <c r="N518" i="2"/>
  <c r="M518" i="2"/>
  <c r="L518" i="2"/>
  <c r="K518" i="2"/>
  <c r="J518" i="2"/>
  <c r="I518" i="2"/>
  <c r="H518" i="2"/>
  <c r="G518" i="2"/>
  <c r="F518" i="2"/>
  <c r="E518" i="2"/>
  <c r="D518" i="2"/>
  <c r="C518" i="2"/>
  <c r="BC516" i="2"/>
  <c r="BB516" i="2"/>
  <c r="BA516" i="2"/>
  <c r="AZ516" i="2"/>
  <c r="AY516" i="2"/>
  <c r="AX516" i="2"/>
  <c r="AW516" i="2"/>
  <c r="AV516" i="2"/>
  <c r="AU516" i="2"/>
  <c r="AT516" i="2"/>
  <c r="AS516" i="2"/>
  <c r="AR516" i="2"/>
  <c r="AQ516" i="2"/>
  <c r="AP516" i="2"/>
  <c r="AO516" i="2"/>
  <c r="AN516" i="2"/>
  <c r="AL516" i="2"/>
  <c r="AK516" i="2"/>
  <c r="AJ516" i="2"/>
  <c r="AI516" i="2"/>
  <c r="AH516" i="2"/>
  <c r="AG516" i="2"/>
  <c r="AF516" i="2"/>
  <c r="AE516" i="2"/>
  <c r="AD516" i="2"/>
  <c r="AC516" i="2"/>
  <c r="AB516" i="2"/>
  <c r="AA516" i="2"/>
  <c r="Z516" i="2"/>
  <c r="Y516" i="2"/>
  <c r="X516" i="2"/>
  <c r="W516" i="2"/>
  <c r="V516" i="2"/>
  <c r="U516" i="2"/>
  <c r="T516" i="2"/>
  <c r="S516" i="2"/>
  <c r="R516" i="2"/>
  <c r="Q516" i="2"/>
  <c r="P516" i="2"/>
  <c r="O516" i="2"/>
  <c r="N516" i="2"/>
  <c r="M516" i="2"/>
  <c r="L516" i="2"/>
  <c r="K516" i="2"/>
  <c r="J516" i="2"/>
  <c r="I516" i="2"/>
  <c r="H516" i="2"/>
  <c r="G516" i="2"/>
  <c r="F516" i="2"/>
  <c r="E516" i="2"/>
  <c r="D516" i="2"/>
  <c r="C516" i="2"/>
  <c r="BC511" i="2"/>
  <c r="BB511" i="2"/>
  <c r="BA511" i="2"/>
  <c r="AZ511" i="2"/>
  <c r="AY511" i="2"/>
  <c r="AX511" i="2"/>
  <c r="AW511" i="2"/>
  <c r="AV511" i="2"/>
  <c r="AU511" i="2"/>
  <c r="AT511" i="2"/>
  <c r="AS511" i="2"/>
  <c r="AR511" i="2"/>
  <c r="AQ511" i="2"/>
  <c r="AP511" i="2"/>
  <c r="AO511" i="2"/>
  <c r="AN511" i="2"/>
  <c r="AL511" i="2"/>
  <c r="AK511" i="2"/>
  <c r="AJ511" i="2"/>
  <c r="AI511" i="2"/>
  <c r="AH511" i="2"/>
  <c r="AG511" i="2"/>
  <c r="AF511" i="2"/>
  <c r="AE511" i="2"/>
  <c r="AD511" i="2"/>
  <c r="AC511" i="2"/>
  <c r="AB511" i="2"/>
  <c r="AA511" i="2"/>
  <c r="Z511" i="2"/>
  <c r="Y511" i="2"/>
  <c r="X511" i="2"/>
  <c r="W511" i="2"/>
  <c r="V511" i="2"/>
  <c r="U511" i="2"/>
  <c r="T511" i="2"/>
  <c r="S511" i="2"/>
  <c r="R511" i="2"/>
  <c r="Q511" i="2"/>
  <c r="P511" i="2"/>
  <c r="O511" i="2"/>
  <c r="N511" i="2"/>
  <c r="M511" i="2"/>
  <c r="L511" i="2"/>
  <c r="K511" i="2"/>
  <c r="J511" i="2"/>
  <c r="I511" i="2"/>
  <c r="H511" i="2"/>
  <c r="G511" i="2"/>
  <c r="F511" i="2"/>
  <c r="E511" i="2"/>
  <c r="D511" i="2"/>
  <c r="C511" i="2"/>
  <c r="BC509" i="2"/>
  <c r="BB509" i="2"/>
  <c r="BA509" i="2"/>
  <c r="AZ509" i="2"/>
  <c r="AY509" i="2"/>
  <c r="AX509" i="2"/>
  <c r="AW509" i="2"/>
  <c r="AV509" i="2"/>
  <c r="AU509" i="2"/>
  <c r="AT509" i="2"/>
  <c r="AS509" i="2"/>
  <c r="AR509" i="2"/>
  <c r="AQ509" i="2"/>
  <c r="AP509" i="2"/>
  <c r="AO509" i="2"/>
  <c r="AN509" i="2"/>
  <c r="AL509" i="2"/>
  <c r="AK509" i="2"/>
  <c r="AJ509" i="2"/>
  <c r="AI509" i="2"/>
  <c r="AH509" i="2"/>
  <c r="AG509" i="2"/>
  <c r="AF509" i="2"/>
  <c r="AE509" i="2"/>
  <c r="AD509" i="2"/>
  <c r="AC509" i="2"/>
  <c r="AB509" i="2"/>
  <c r="AA509" i="2"/>
  <c r="Z509" i="2"/>
  <c r="Y509" i="2"/>
  <c r="X509" i="2"/>
  <c r="W509" i="2"/>
  <c r="V509" i="2"/>
  <c r="U509" i="2"/>
  <c r="T509" i="2"/>
  <c r="S509" i="2"/>
  <c r="R509" i="2"/>
  <c r="Q509" i="2"/>
  <c r="P509" i="2"/>
  <c r="O509" i="2"/>
  <c r="N509" i="2"/>
  <c r="M509" i="2"/>
  <c r="L509" i="2"/>
  <c r="K509" i="2"/>
  <c r="J509" i="2"/>
  <c r="I509" i="2"/>
  <c r="H509" i="2"/>
  <c r="G509" i="2"/>
  <c r="F509" i="2"/>
  <c r="E509" i="2"/>
  <c r="D509" i="2"/>
  <c r="C509" i="2"/>
  <c r="BC505" i="2"/>
  <c r="BB505" i="2"/>
  <c r="BA505" i="2"/>
  <c r="AZ505" i="2"/>
  <c r="AY505" i="2"/>
  <c r="AX505" i="2"/>
  <c r="AW505" i="2"/>
  <c r="AV505" i="2"/>
  <c r="AU505" i="2"/>
  <c r="AT505" i="2"/>
  <c r="AS505" i="2"/>
  <c r="AR505" i="2"/>
  <c r="AQ505" i="2"/>
  <c r="AP505" i="2"/>
  <c r="AO505" i="2"/>
  <c r="AN505" i="2"/>
  <c r="AL505" i="2"/>
  <c r="AK505" i="2"/>
  <c r="AJ505" i="2"/>
  <c r="AI505" i="2"/>
  <c r="AH505" i="2"/>
  <c r="AG505" i="2"/>
  <c r="AF505" i="2"/>
  <c r="AE505" i="2"/>
  <c r="AD505" i="2"/>
  <c r="AC505" i="2"/>
  <c r="AB505" i="2"/>
  <c r="AA505" i="2"/>
  <c r="Z505" i="2"/>
  <c r="Y505" i="2"/>
  <c r="X505" i="2"/>
  <c r="W505" i="2"/>
  <c r="V505" i="2"/>
  <c r="U505" i="2"/>
  <c r="T505" i="2"/>
  <c r="S505" i="2"/>
  <c r="R505" i="2"/>
  <c r="Q505" i="2"/>
  <c r="P505" i="2"/>
  <c r="O505" i="2"/>
  <c r="N505" i="2"/>
  <c r="M505" i="2"/>
  <c r="L505" i="2"/>
  <c r="K505" i="2"/>
  <c r="J505" i="2"/>
  <c r="I505" i="2"/>
  <c r="H505" i="2"/>
  <c r="G505" i="2"/>
  <c r="F505" i="2"/>
  <c r="E505" i="2"/>
  <c r="D505" i="2"/>
  <c r="C505" i="2"/>
  <c r="A495" i="2"/>
  <c r="A487" i="2"/>
  <c r="A485" i="2"/>
  <c r="BC460" i="2"/>
  <c r="BB460" i="2"/>
  <c r="BA460" i="2"/>
  <c r="AZ460" i="2"/>
  <c r="AY460" i="2"/>
  <c r="AX460" i="2"/>
  <c r="AW460" i="2"/>
  <c r="AV460" i="2"/>
  <c r="AU460" i="2"/>
  <c r="AT460" i="2"/>
  <c r="AS460" i="2"/>
  <c r="AR460" i="2"/>
  <c r="AQ460" i="2"/>
  <c r="AP460" i="2"/>
  <c r="AO460" i="2"/>
  <c r="AN460" i="2"/>
  <c r="AL460" i="2"/>
  <c r="AK460" i="2"/>
  <c r="AJ460" i="2"/>
  <c r="AI460" i="2"/>
  <c r="AH460" i="2"/>
  <c r="AG460" i="2"/>
  <c r="AF460" i="2"/>
  <c r="AE460" i="2"/>
  <c r="AC460" i="2"/>
  <c r="AB460" i="2"/>
  <c r="AA460" i="2"/>
  <c r="Y460" i="2"/>
  <c r="X460" i="2"/>
  <c r="W460" i="2"/>
  <c r="U460" i="2"/>
  <c r="T460" i="2"/>
  <c r="S460" i="2"/>
  <c r="Q460" i="2"/>
  <c r="P460" i="2"/>
  <c r="O460" i="2"/>
  <c r="M460" i="2"/>
  <c r="L460" i="2"/>
  <c r="K460" i="2"/>
  <c r="I460" i="2"/>
  <c r="H460" i="2"/>
  <c r="G460" i="2"/>
  <c r="E460" i="2"/>
  <c r="D460" i="2"/>
  <c r="C460" i="2"/>
  <c r="AZ459" i="2"/>
  <c r="AY459" i="2"/>
  <c r="BC458" i="2"/>
  <c r="BB458" i="2"/>
  <c r="BA458" i="2"/>
  <c r="AZ458" i="2"/>
  <c r="AY458" i="2"/>
  <c r="AL458" i="2"/>
  <c r="AK458" i="2"/>
  <c r="AJ458" i="2"/>
  <c r="AI458" i="2"/>
  <c r="AH458" i="2"/>
  <c r="AG458" i="2"/>
  <c r="BC456" i="2"/>
  <c r="BB456" i="2"/>
  <c r="BA456" i="2"/>
  <c r="AZ456" i="2"/>
  <c r="AY456" i="2"/>
  <c r="AL456" i="2"/>
  <c r="AK456" i="2"/>
  <c r="AJ456" i="2"/>
  <c r="AI456" i="2"/>
  <c r="AH456" i="2"/>
  <c r="AG456" i="2"/>
  <c r="AQ452" i="2"/>
  <c r="AP452" i="2"/>
  <c r="AO452" i="2"/>
  <c r="AN452" i="2"/>
  <c r="F452" i="2"/>
  <c r="E452" i="2"/>
  <c r="D452" i="2"/>
  <c r="C452" i="2"/>
  <c r="BC449" i="2"/>
  <c r="BB449" i="2"/>
  <c r="BA449" i="2"/>
  <c r="AZ449" i="2"/>
  <c r="AY449" i="2"/>
  <c r="AL449" i="2"/>
  <c r="AK449" i="2"/>
  <c r="AJ449" i="2"/>
  <c r="AI449" i="2"/>
  <c r="AH449" i="2"/>
  <c r="AG449" i="2"/>
  <c r="BC448" i="2"/>
  <c r="BB448" i="2"/>
  <c r="BA448" i="2"/>
  <c r="AZ448" i="2"/>
  <c r="AY448" i="2"/>
  <c r="AL448" i="2"/>
  <c r="AK448" i="2"/>
  <c r="AJ448" i="2"/>
  <c r="AI448" i="2"/>
  <c r="AH448" i="2"/>
  <c r="AG448" i="2"/>
  <c r="AN443" i="2"/>
  <c r="Q443" i="2"/>
  <c r="BA442" i="2"/>
  <c r="BB442" i="2" s="1"/>
  <c r="BC442" i="2" s="1"/>
  <c r="AG442" i="2"/>
  <c r="AH442" i="2" s="1"/>
  <c r="AY442" i="2" s="1"/>
  <c r="AI442" i="2" s="1"/>
  <c r="AJ442" i="2" s="1"/>
  <c r="AK442" i="2" s="1"/>
  <c r="AL442" i="2" s="1"/>
  <c r="AZ442" i="2" s="1"/>
  <c r="AD442" i="2"/>
  <c r="Z442" i="2"/>
  <c r="V442" i="2"/>
  <c r="AX441" i="2"/>
  <c r="AX80" i="3" s="1"/>
  <c r="AX81" i="3" s="1"/>
  <c r="AW441" i="2"/>
  <c r="AW80" i="3" s="1"/>
  <c r="AW81" i="3" s="1"/>
  <c r="AV441" i="2"/>
  <c r="AV80" i="3" s="1"/>
  <c r="AV81" i="3" s="1"/>
  <c r="AU441" i="2"/>
  <c r="AU80" i="3" s="1"/>
  <c r="AT441" i="2"/>
  <c r="AT80" i="3" s="1"/>
  <c r="AT81" i="3" s="1"/>
  <c r="AS441" i="2"/>
  <c r="AS80" i="3" s="1"/>
  <c r="AS81" i="3" s="1"/>
  <c r="AR441" i="2"/>
  <c r="AR80" i="3" s="1"/>
  <c r="AQ441" i="2"/>
  <c r="AP441" i="2"/>
  <c r="AP80" i="3" s="1"/>
  <c r="AP81" i="3" s="1"/>
  <c r="AO441" i="2"/>
  <c r="AO80" i="3" s="1"/>
  <c r="AO81" i="3" s="1"/>
  <c r="AN441" i="2"/>
  <c r="AN80" i="3" s="1"/>
  <c r="AN81" i="3" s="1"/>
  <c r="AE441" i="2"/>
  <c r="AE80" i="3" s="1"/>
  <c r="AC441" i="2"/>
  <c r="AB441" i="2"/>
  <c r="AB80" i="3" s="1"/>
  <c r="AA441" i="2"/>
  <c r="AA80" i="3" s="1"/>
  <c r="Y441" i="2"/>
  <c r="Y80" i="3" s="1"/>
  <c r="X441" i="2"/>
  <c r="X80" i="3" s="1"/>
  <c r="W441" i="2"/>
  <c r="W80" i="3" s="1"/>
  <c r="U441" i="2"/>
  <c r="T441" i="2"/>
  <c r="T80" i="3" s="1"/>
  <c r="S441" i="2"/>
  <c r="S80" i="3" s="1"/>
  <c r="Q441" i="2"/>
  <c r="Q80" i="3" s="1"/>
  <c r="P441" i="2"/>
  <c r="P80" i="3" s="1"/>
  <c r="O441" i="2"/>
  <c r="O80" i="3" s="1"/>
  <c r="M441" i="2"/>
  <c r="L441" i="2"/>
  <c r="L80" i="3" s="1"/>
  <c r="K441" i="2"/>
  <c r="K80" i="3" s="1"/>
  <c r="I441" i="2"/>
  <c r="I80" i="3" s="1"/>
  <c r="H441" i="2"/>
  <c r="H80" i="3" s="1"/>
  <c r="G441" i="2"/>
  <c r="G80" i="3" s="1"/>
  <c r="E441" i="2"/>
  <c r="D441" i="2"/>
  <c r="D80" i="3" s="1"/>
  <c r="C441" i="2"/>
  <c r="C80" i="3" s="1"/>
  <c r="AD440" i="2"/>
  <c r="Z440" i="2"/>
  <c r="V440" i="2"/>
  <c r="R440" i="2"/>
  <c r="N440" i="2"/>
  <c r="J440" i="2"/>
  <c r="F440" i="2"/>
  <c r="AD439" i="2"/>
  <c r="Z439" i="2"/>
  <c r="Z441" i="2" s="1"/>
  <c r="V439" i="2"/>
  <c r="R439" i="2"/>
  <c r="N439" i="2"/>
  <c r="J439" i="2"/>
  <c r="F439" i="2"/>
  <c r="AD438" i="2"/>
  <c r="Z438" i="2"/>
  <c r="V438" i="2"/>
  <c r="R438" i="2"/>
  <c r="R441" i="2" s="1"/>
  <c r="N438" i="2"/>
  <c r="J438" i="2"/>
  <c r="F438" i="2"/>
  <c r="AD437" i="2"/>
  <c r="Z437" i="2"/>
  <c r="V437" i="2"/>
  <c r="R437" i="2"/>
  <c r="N437" i="2"/>
  <c r="J437" i="2"/>
  <c r="F437" i="2"/>
  <c r="AH436" i="2"/>
  <c r="AG436" i="2"/>
  <c r="AF436" i="2"/>
  <c r="AD436" i="2"/>
  <c r="Z436" i="2"/>
  <c r="V436" i="2"/>
  <c r="R436" i="2"/>
  <c r="N436" i="2"/>
  <c r="J436" i="2"/>
  <c r="J441" i="2" s="1"/>
  <c r="F436" i="2"/>
  <c r="AH435" i="2"/>
  <c r="AY435" i="2" s="1"/>
  <c r="AI435" i="2" s="1"/>
  <c r="AG435" i="2"/>
  <c r="AD435" i="2"/>
  <c r="AD441" i="2" s="1"/>
  <c r="Z435" i="2"/>
  <c r="V435" i="2"/>
  <c r="V441" i="2" s="1"/>
  <c r="R435" i="2"/>
  <c r="N435" i="2"/>
  <c r="J435" i="2"/>
  <c r="F435" i="2"/>
  <c r="AX432" i="2"/>
  <c r="AV432" i="2"/>
  <c r="AV443" i="2" s="1"/>
  <c r="AP432" i="2"/>
  <c r="AN432" i="2"/>
  <c r="AE432" i="2"/>
  <c r="Y432" i="2"/>
  <c r="W432" i="2"/>
  <c r="Q432" i="2"/>
  <c r="O432" i="2"/>
  <c r="I432" i="2"/>
  <c r="G432" i="2"/>
  <c r="G443" i="2" s="1"/>
  <c r="AX431" i="2"/>
  <c r="AW431" i="2"/>
  <c r="AV431" i="2"/>
  <c r="AU431" i="2"/>
  <c r="AT431" i="2"/>
  <c r="AS431" i="2"/>
  <c r="AR431" i="2"/>
  <c r="AQ431" i="2"/>
  <c r="AP431" i="2"/>
  <c r="AO431" i="2"/>
  <c r="AN431" i="2"/>
  <c r="AF431" i="2"/>
  <c r="AE431" i="2"/>
  <c r="AD431" i="2"/>
  <c r="AC431" i="2"/>
  <c r="AB431" i="2"/>
  <c r="AA431" i="2"/>
  <c r="Y431" i="2"/>
  <c r="X431" i="2"/>
  <c r="W431" i="2"/>
  <c r="V431" i="2"/>
  <c r="U431" i="2"/>
  <c r="T431" i="2"/>
  <c r="S431" i="2"/>
  <c r="Q431" i="2"/>
  <c r="P431" i="2"/>
  <c r="O431" i="2"/>
  <c r="N431" i="2"/>
  <c r="M431" i="2"/>
  <c r="L431" i="2"/>
  <c r="K431" i="2"/>
  <c r="J431" i="2"/>
  <c r="I431" i="2"/>
  <c r="H431" i="2"/>
  <c r="G431" i="2"/>
  <c r="E431" i="2"/>
  <c r="D431" i="2"/>
  <c r="C431" i="2"/>
  <c r="AF430" i="2"/>
  <c r="AD430" i="2"/>
  <c r="Z430" i="2"/>
  <c r="V430" i="2"/>
  <c r="R430" i="2"/>
  <c r="N430" i="2"/>
  <c r="J430" i="2"/>
  <c r="F430" i="2"/>
  <c r="AH429" i="2"/>
  <c r="AY429" i="2" s="1"/>
  <c r="AI429" i="2" s="1"/>
  <c r="AJ429" i="2" s="1"/>
  <c r="AK429" i="2" s="1"/>
  <c r="AL429" i="2" s="1"/>
  <c r="AZ429" i="2" s="1"/>
  <c r="BA429" i="2" s="1"/>
  <c r="BB429" i="2" s="1"/>
  <c r="BC429" i="2" s="1"/>
  <c r="AG429" i="2"/>
  <c r="AD429" i="2"/>
  <c r="Z429" i="2"/>
  <c r="Z431" i="2" s="1"/>
  <c r="V429" i="2"/>
  <c r="R429" i="2"/>
  <c r="N429" i="2"/>
  <c r="J429" i="2"/>
  <c r="F429" i="2"/>
  <c r="F431" i="2" s="1"/>
  <c r="BA428" i="2"/>
  <c r="BB428" i="2" s="1"/>
  <c r="BC428" i="2" s="1"/>
  <c r="AG428" i="2"/>
  <c r="AH428" i="2" s="1"/>
  <c r="AY428" i="2" s="1"/>
  <c r="AI428" i="2" s="1"/>
  <c r="AJ428" i="2" s="1"/>
  <c r="AK428" i="2" s="1"/>
  <c r="AL428" i="2" s="1"/>
  <c r="AZ428" i="2" s="1"/>
  <c r="AD428" i="2"/>
  <c r="Z428" i="2"/>
  <c r="AD427" i="2"/>
  <c r="Z427" i="2"/>
  <c r="V427" i="2"/>
  <c r="R427" i="2"/>
  <c r="R431" i="2" s="1"/>
  <c r="N427" i="2"/>
  <c r="J427" i="2"/>
  <c r="F427" i="2"/>
  <c r="AX424" i="2"/>
  <c r="AX94" i="3" s="1"/>
  <c r="AW424" i="2"/>
  <c r="AW94" i="3" s="1"/>
  <c r="AW95" i="3" s="1"/>
  <c r="AV424" i="2"/>
  <c r="AV94" i="3" s="1"/>
  <c r="AU424" i="2"/>
  <c r="AT424" i="2"/>
  <c r="AT94" i="3" s="1"/>
  <c r="AT95" i="3" s="1"/>
  <c r="AS424" i="2"/>
  <c r="AS94" i="3" s="1"/>
  <c r="AR424" i="2"/>
  <c r="AQ424" i="2"/>
  <c r="AP424" i="2"/>
  <c r="AP94" i="3" s="1"/>
  <c r="AO424" i="2"/>
  <c r="AO94" i="3" s="1"/>
  <c r="AO95" i="3" s="1"/>
  <c r="AN424" i="2"/>
  <c r="AN94" i="3" s="1"/>
  <c r="AN95" i="3" s="1"/>
  <c r="AF424" i="2"/>
  <c r="AF94" i="3" s="1"/>
  <c r="AE424" i="2"/>
  <c r="AE94" i="3" s="1"/>
  <c r="AC424" i="2"/>
  <c r="AC94" i="3" s="1"/>
  <c r="AB424" i="2"/>
  <c r="AB94" i="3" s="1"/>
  <c r="AA424" i="2"/>
  <c r="Y424" i="2"/>
  <c r="Y94" i="3" s="1"/>
  <c r="X424" i="2"/>
  <c r="X94" i="3" s="1"/>
  <c r="W424" i="2"/>
  <c r="W94" i="3" s="1"/>
  <c r="U424" i="2"/>
  <c r="T424" i="2"/>
  <c r="T94" i="3" s="1"/>
  <c r="S424" i="2"/>
  <c r="R424" i="2"/>
  <c r="Q424" i="2"/>
  <c r="Q94" i="3" s="1"/>
  <c r="P424" i="2"/>
  <c r="P94" i="3" s="1"/>
  <c r="O424" i="2"/>
  <c r="O94" i="3" s="1"/>
  <c r="M424" i="2"/>
  <c r="L424" i="2"/>
  <c r="L94" i="3" s="1"/>
  <c r="K424" i="2"/>
  <c r="I424" i="2"/>
  <c r="I94" i="3" s="1"/>
  <c r="H424" i="2"/>
  <c r="H94" i="3" s="1"/>
  <c r="G424" i="2"/>
  <c r="G94" i="3" s="1"/>
  <c r="F424" i="2"/>
  <c r="E424" i="2"/>
  <c r="D424" i="2"/>
  <c r="D94" i="3" s="1"/>
  <c r="C424" i="2"/>
  <c r="AG423" i="2"/>
  <c r="AH423" i="2" s="1"/>
  <c r="AY423" i="2" s="1"/>
  <c r="AI423" i="2" s="1"/>
  <c r="AJ423" i="2" s="1"/>
  <c r="AK423" i="2" s="1"/>
  <c r="AL423" i="2" s="1"/>
  <c r="AZ423" i="2" s="1"/>
  <c r="BA423" i="2" s="1"/>
  <c r="BB423" i="2" s="1"/>
  <c r="BC423" i="2" s="1"/>
  <c r="AD423" i="2"/>
  <c r="Z423" i="2"/>
  <c r="V423" i="2"/>
  <c r="R423" i="2"/>
  <c r="N423" i="2"/>
  <c r="J423" i="2"/>
  <c r="J424" i="2" s="1"/>
  <c r="F423" i="2"/>
  <c r="AD422" i="2"/>
  <c r="Z422" i="2"/>
  <c r="V422" i="2"/>
  <c r="R422" i="2"/>
  <c r="N422" i="2"/>
  <c r="J422" i="2"/>
  <c r="F422" i="2"/>
  <c r="AZ421" i="2"/>
  <c r="BA421" i="2" s="1"/>
  <c r="BB421" i="2" s="1"/>
  <c r="BC421" i="2" s="1"/>
  <c r="AY421" i="2"/>
  <c r="AI421" i="2"/>
  <c r="AJ421" i="2" s="1"/>
  <c r="AK421" i="2" s="1"/>
  <c r="AL421" i="2" s="1"/>
  <c r="AH421" i="2"/>
  <c r="AG421" i="2"/>
  <c r="AD421" i="2"/>
  <c r="Z421" i="2"/>
  <c r="AD420" i="2"/>
  <c r="Z420" i="2"/>
  <c r="V420" i="2"/>
  <c r="R420" i="2"/>
  <c r="N420" i="2"/>
  <c r="J420" i="2"/>
  <c r="F420" i="2"/>
  <c r="AD419" i="2"/>
  <c r="Z419" i="2"/>
  <c r="Z424" i="2" s="1"/>
  <c r="V419" i="2"/>
  <c r="V424" i="2" s="1"/>
  <c r="R419" i="2"/>
  <c r="N419" i="2"/>
  <c r="N424" i="2" s="1"/>
  <c r="J419" i="2"/>
  <c r="F419" i="2"/>
  <c r="AU416" i="2"/>
  <c r="T416" i="2"/>
  <c r="Q416" i="2"/>
  <c r="L416" i="2"/>
  <c r="D416" i="2"/>
  <c r="AV415" i="2"/>
  <c r="AT415" i="2"/>
  <c r="AS415" i="2"/>
  <c r="AR415" i="2"/>
  <c r="AQ415" i="2"/>
  <c r="AP415" i="2"/>
  <c r="AO415" i="2"/>
  <c r="AN415" i="2"/>
  <c r="AC415" i="2"/>
  <c r="X415" i="2"/>
  <c r="U415" i="2"/>
  <c r="T415" i="2"/>
  <c r="M415" i="2"/>
  <c r="L415" i="2"/>
  <c r="K415" i="2"/>
  <c r="I415" i="2"/>
  <c r="H415" i="2"/>
  <c r="G415" i="2"/>
  <c r="E415" i="2"/>
  <c r="D415" i="2"/>
  <c r="C415" i="2"/>
  <c r="AH414" i="2"/>
  <c r="AY414" i="2" s="1"/>
  <c r="AI414" i="2" s="1"/>
  <c r="AJ414" i="2" s="1"/>
  <c r="AK414" i="2" s="1"/>
  <c r="AL414" i="2" s="1"/>
  <c r="AZ414" i="2" s="1"/>
  <c r="BA414" i="2" s="1"/>
  <c r="BB414" i="2" s="1"/>
  <c r="BC414" i="2" s="1"/>
  <c r="AG414" i="2"/>
  <c r="AD414" i="2"/>
  <c r="Z414" i="2"/>
  <c r="V414" i="2"/>
  <c r="R414" i="2"/>
  <c r="N414" i="2"/>
  <c r="J414" i="2"/>
  <c r="F414" i="2"/>
  <c r="AK413" i="2"/>
  <c r="AL413" i="2" s="1"/>
  <c r="AZ413" i="2" s="1"/>
  <c r="BA413" i="2" s="1"/>
  <c r="BB413" i="2" s="1"/>
  <c r="BC413" i="2" s="1"/>
  <c r="AH413" i="2"/>
  <c r="AY413" i="2" s="1"/>
  <c r="AI413" i="2" s="1"/>
  <c r="AJ413" i="2" s="1"/>
  <c r="AG413" i="2"/>
  <c r="AD413" i="2"/>
  <c r="Z413" i="2"/>
  <c r="V413" i="2"/>
  <c r="R413" i="2"/>
  <c r="BA412" i="2"/>
  <c r="BB412" i="2" s="1"/>
  <c r="BC412" i="2" s="1"/>
  <c r="AH412" i="2"/>
  <c r="AY412" i="2" s="1"/>
  <c r="AI412" i="2" s="1"/>
  <c r="AJ412" i="2" s="1"/>
  <c r="AK412" i="2" s="1"/>
  <c r="AL412" i="2" s="1"/>
  <c r="AZ412" i="2" s="1"/>
  <c r="AG412" i="2"/>
  <c r="AF412" i="2"/>
  <c r="AD412" i="2"/>
  <c r="Z412" i="2"/>
  <c r="V412" i="2"/>
  <c r="R412" i="2"/>
  <c r="N412" i="2"/>
  <c r="J412" i="2"/>
  <c r="F412" i="2"/>
  <c r="BB411" i="2"/>
  <c r="BC411" i="2" s="1"/>
  <c r="AK411" i="2"/>
  <c r="AL411" i="2" s="1"/>
  <c r="AZ411" i="2" s="1"/>
  <c r="BA411" i="2" s="1"/>
  <c r="AH411" i="2"/>
  <c r="AY411" i="2" s="1"/>
  <c r="AI411" i="2" s="1"/>
  <c r="AJ411" i="2" s="1"/>
  <c r="AG411" i="2"/>
  <c r="AD411" i="2"/>
  <c r="Z411" i="2"/>
  <c r="AH410" i="2"/>
  <c r="AY410" i="2" s="1"/>
  <c r="AI410" i="2" s="1"/>
  <c r="AJ410" i="2" s="1"/>
  <c r="AK410" i="2" s="1"/>
  <c r="AL410" i="2" s="1"/>
  <c r="AZ410" i="2" s="1"/>
  <c r="BA410" i="2" s="1"/>
  <c r="BB410" i="2" s="1"/>
  <c r="BC410" i="2" s="1"/>
  <c r="AF410" i="2"/>
  <c r="AG410" i="2" s="1"/>
  <c r="AD410" i="2"/>
  <c r="Z410" i="2"/>
  <c r="V410" i="2"/>
  <c r="R410" i="2"/>
  <c r="N410" i="2"/>
  <c r="J410" i="2"/>
  <c r="F410" i="2"/>
  <c r="AX409" i="2"/>
  <c r="AX415" i="2" s="1"/>
  <c r="AW409" i="2"/>
  <c r="AW415" i="2" s="1"/>
  <c r="AV409" i="2"/>
  <c r="AU409" i="2"/>
  <c r="AU415" i="2" s="1"/>
  <c r="AE409" i="2"/>
  <c r="AE415" i="2" s="1"/>
  <c r="AD409" i="2"/>
  <c r="AC409" i="2"/>
  <c r="AB409" i="2"/>
  <c r="AB415" i="2" s="1"/>
  <c r="AA409" i="2"/>
  <c r="AA415" i="2" s="1"/>
  <c r="Y409" i="2"/>
  <c r="Y415" i="2" s="1"/>
  <c r="Y416" i="2" s="1"/>
  <c r="X409" i="2"/>
  <c r="W409" i="2"/>
  <c r="W415" i="2" s="1"/>
  <c r="V409" i="2"/>
  <c r="U409" i="2"/>
  <c r="S409" i="2"/>
  <c r="S415" i="2" s="1"/>
  <c r="Q409" i="2"/>
  <c r="Q415" i="2" s="1"/>
  <c r="P409" i="2"/>
  <c r="P415" i="2" s="1"/>
  <c r="O409" i="2"/>
  <c r="O415" i="2" s="1"/>
  <c r="N409" i="2"/>
  <c r="J409" i="2"/>
  <c r="F409" i="2"/>
  <c r="AD408" i="2"/>
  <c r="Z408" i="2"/>
  <c r="V408" i="2"/>
  <c r="R408" i="2"/>
  <c r="N408" i="2"/>
  <c r="J408" i="2"/>
  <c r="F408" i="2"/>
  <c r="AD407" i="2"/>
  <c r="Z407" i="2"/>
  <c r="Z409" i="2" s="1"/>
  <c r="Z415" i="2" s="1"/>
  <c r="V407" i="2"/>
  <c r="R407" i="2"/>
  <c r="R409" i="2" s="1"/>
  <c r="N407" i="2"/>
  <c r="J407" i="2"/>
  <c r="F407" i="2"/>
  <c r="AG406" i="2"/>
  <c r="AD406" i="2"/>
  <c r="Z406" i="2"/>
  <c r="V406" i="2"/>
  <c r="R406" i="2"/>
  <c r="R415" i="2" s="1"/>
  <c r="N406" i="2"/>
  <c r="N415" i="2" s="1"/>
  <c r="J406" i="2"/>
  <c r="F406" i="2"/>
  <c r="AX403" i="2"/>
  <c r="AX416" i="2" s="1"/>
  <c r="AW403" i="2"/>
  <c r="AW416" i="2" s="1"/>
  <c r="AV403" i="2"/>
  <c r="AU403" i="2"/>
  <c r="AT403" i="2"/>
  <c r="AS403" i="2"/>
  <c r="AS416" i="2" s="1"/>
  <c r="AR403" i="2"/>
  <c r="AR416" i="2" s="1"/>
  <c r="AQ403" i="2"/>
  <c r="AQ416" i="2" s="1"/>
  <c r="AP403" i="2"/>
  <c r="AP416" i="2" s="1"/>
  <c r="AO403" i="2"/>
  <c r="AO416" i="2" s="1"/>
  <c r="AN403" i="2"/>
  <c r="AF403" i="2"/>
  <c r="AE403" i="2"/>
  <c r="AC403" i="2"/>
  <c r="AB403" i="2"/>
  <c r="AB416" i="2" s="1"/>
  <c r="AA403" i="2"/>
  <c r="AA416" i="2" s="1"/>
  <c r="Y403" i="2"/>
  <c r="X403" i="2"/>
  <c r="X416" i="2" s="1"/>
  <c r="W403" i="2"/>
  <c r="U403" i="2"/>
  <c r="T403" i="2"/>
  <c r="S403" i="2"/>
  <c r="S416" i="2" s="1"/>
  <c r="Q403" i="2"/>
  <c r="P403" i="2"/>
  <c r="O403" i="2"/>
  <c r="M403" i="2"/>
  <c r="L403" i="2"/>
  <c r="K403" i="2"/>
  <c r="K416" i="2" s="1"/>
  <c r="I403" i="2"/>
  <c r="I416" i="2" s="1"/>
  <c r="H403" i="2"/>
  <c r="H416" i="2" s="1"/>
  <c r="G403" i="2"/>
  <c r="E403" i="2"/>
  <c r="D403" i="2"/>
  <c r="C403" i="2"/>
  <c r="C416" i="2" s="1"/>
  <c r="AD402" i="2"/>
  <c r="Z402" i="2"/>
  <c r="V402" i="2"/>
  <c r="R402" i="2"/>
  <c r="N402" i="2"/>
  <c r="J402" i="2"/>
  <c r="F402" i="2"/>
  <c r="AL401" i="2"/>
  <c r="AZ401" i="2" s="1"/>
  <c r="BA401" i="2" s="1"/>
  <c r="BB401" i="2" s="1"/>
  <c r="BC401" i="2" s="1"/>
  <c r="AI401" i="2"/>
  <c r="AJ401" i="2" s="1"/>
  <c r="AK401" i="2" s="1"/>
  <c r="AG401" i="2"/>
  <c r="AH401" i="2" s="1"/>
  <c r="AY401" i="2" s="1"/>
  <c r="AD401" i="2"/>
  <c r="Z401" i="2"/>
  <c r="V401" i="2"/>
  <c r="V403" i="2" s="1"/>
  <c r="R401" i="2"/>
  <c r="N401" i="2"/>
  <c r="J401" i="2"/>
  <c r="F401" i="2"/>
  <c r="AD400" i="2"/>
  <c r="Z400" i="2"/>
  <c r="V400" i="2"/>
  <c r="R400" i="2"/>
  <c r="N400" i="2"/>
  <c r="J400" i="2"/>
  <c r="F400" i="2"/>
  <c r="AD399" i="2"/>
  <c r="Z399" i="2"/>
  <c r="V399" i="2"/>
  <c r="R399" i="2"/>
  <c r="N399" i="2"/>
  <c r="J399" i="2"/>
  <c r="F399" i="2"/>
  <c r="F403" i="2" s="1"/>
  <c r="AD398" i="2"/>
  <c r="Z398" i="2"/>
  <c r="Z403" i="2" s="1"/>
  <c r="V398" i="2"/>
  <c r="R398" i="2"/>
  <c r="R403" i="2" s="1"/>
  <c r="N398" i="2"/>
  <c r="N403" i="2" s="1"/>
  <c r="N416" i="2" s="1"/>
  <c r="J398" i="2"/>
  <c r="J403" i="2" s="1"/>
  <c r="F398" i="2"/>
  <c r="BC394" i="2"/>
  <c r="BB394" i="2"/>
  <c r="BA394" i="2"/>
  <c r="AL394" i="2"/>
  <c r="AK394" i="2"/>
  <c r="AJ394" i="2"/>
  <c r="AI394" i="2"/>
  <c r="AH394" i="2"/>
  <c r="AG394" i="2"/>
  <c r="BC393" i="2"/>
  <c r="BB393" i="2"/>
  <c r="BA393" i="2"/>
  <c r="AL393" i="2"/>
  <c r="AK393" i="2"/>
  <c r="AJ393" i="2"/>
  <c r="AI393" i="2"/>
  <c r="AH393" i="2"/>
  <c r="AG393" i="2"/>
  <c r="BC392" i="2"/>
  <c r="BB392" i="2"/>
  <c r="BA392" i="2"/>
  <c r="AL392" i="2"/>
  <c r="AK392" i="2"/>
  <c r="AJ392" i="2"/>
  <c r="AI392" i="2"/>
  <c r="AH392" i="2"/>
  <c r="AG392" i="2"/>
  <c r="BC391" i="2"/>
  <c r="BB391" i="2"/>
  <c r="BA391" i="2"/>
  <c r="AL391" i="2"/>
  <c r="AK391" i="2"/>
  <c r="AJ391" i="2"/>
  <c r="AI391" i="2"/>
  <c r="AH391" i="2"/>
  <c r="AG391" i="2"/>
  <c r="AF381" i="2"/>
  <c r="A381" i="2"/>
  <c r="AN380" i="2"/>
  <c r="A380" i="2"/>
  <c r="A378" i="2"/>
  <c r="AZ377" i="2"/>
  <c r="AY377" i="2"/>
  <c r="AX377" i="2"/>
  <c r="AW377" i="2"/>
  <c r="AV377" i="2"/>
  <c r="AU377" i="2"/>
  <c r="AT377" i="2"/>
  <c r="AS377" i="2"/>
  <c r="AR377" i="2"/>
  <c r="AQ377" i="2"/>
  <c r="AP377" i="2"/>
  <c r="AO377" i="2"/>
  <c r="AN377" i="2"/>
  <c r="AE377" i="2"/>
  <c r="AC377" i="2"/>
  <c r="AB377" i="2"/>
  <c r="AA377" i="2"/>
  <c r="Y377" i="2"/>
  <c r="X377" i="2"/>
  <c r="W377" i="2"/>
  <c r="V377" i="2"/>
  <c r="U377" i="2"/>
  <c r="T377" i="2"/>
  <c r="S377" i="2"/>
  <c r="Q377" i="2"/>
  <c r="P377" i="2"/>
  <c r="O377" i="2"/>
  <c r="M377" i="2"/>
  <c r="M61" i="3" s="1"/>
  <c r="L377" i="2"/>
  <c r="K377" i="2"/>
  <c r="I377" i="2"/>
  <c r="H377" i="2"/>
  <c r="G377" i="2"/>
  <c r="E377" i="2"/>
  <c r="D377" i="2"/>
  <c r="C377" i="2"/>
  <c r="A377" i="2"/>
  <c r="AO375" i="2"/>
  <c r="A375" i="2"/>
  <c r="AX374" i="2"/>
  <c r="AW374" i="2"/>
  <c r="AV374" i="2"/>
  <c r="AU374" i="2"/>
  <c r="AT374" i="2"/>
  <c r="AS374" i="2"/>
  <c r="AR374" i="2"/>
  <c r="AQ374" i="2"/>
  <c r="AP374" i="2"/>
  <c r="AO374" i="2"/>
  <c r="AN374" i="2"/>
  <c r="AE374" i="2"/>
  <c r="AC374" i="2"/>
  <c r="AB374" i="2"/>
  <c r="AA374" i="2"/>
  <c r="Y374" i="2"/>
  <c r="X374" i="2"/>
  <c r="W374" i="2"/>
  <c r="U374" i="2"/>
  <c r="T374" i="2"/>
  <c r="S374" i="2"/>
  <c r="Q374" i="2"/>
  <c r="P374" i="2"/>
  <c r="P214" i="2" s="1"/>
  <c r="P54" i="3" s="1"/>
  <c r="O374" i="2"/>
  <c r="M374" i="2"/>
  <c r="L374" i="2"/>
  <c r="K374" i="2"/>
  <c r="I374" i="2"/>
  <c r="H374" i="2"/>
  <c r="G374" i="2"/>
  <c r="E374" i="2"/>
  <c r="E214" i="2" s="1"/>
  <c r="E54" i="3" s="1"/>
  <c r="D374" i="2"/>
  <c r="C374" i="2"/>
  <c r="A374" i="2"/>
  <c r="AZ373" i="2"/>
  <c r="AX373" i="2"/>
  <c r="AW373" i="2"/>
  <c r="AV373" i="2"/>
  <c r="AU373" i="2"/>
  <c r="AT373" i="2"/>
  <c r="AS373" i="2"/>
  <c r="AR373" i="2"/>
  <c r="AQ373" i="2"/>
  <c r="AP373" i="2"/>
  <c r="AO373" i="2"/>
  <c r="AN373" i="2"/>
  <c r="AE373" i="2"/>
  <c r="AC373" i="2"/>
  <c r="AB373" i="2"/>
  <c r="AA373" i="2"/>
  <c r="Y373" i="2"/>
  <c r="X373" i="2"/>
  <c r="W373" i="2"/>
  <c r="U373" i="2"/>
  <c r="T373" i="2"/>
  <c r="S373" i="2"/>
  <c r="Q373" i="2"/>
  <c r="P373" i="2"/>
  <c r="O373" i="2"/>
  <c r="M373" i="2"/>
  <c r="L373" i="2"/>
  <c r="K373" i="2"/>
  <c r="I373" i="2"/>
  <c r="H373" i="2"/>
  <c r="G373" i="2"/>
  <c r="E373" i="2"/>
  <c r="D373" i="2"/>
  <c r="C373" i="2"/>
  <c r="A373" i="2"/>
  <c r="AZ372" i="2"/>
  <c r="AX372" i="2"/>
  <c r="AW372" i="2"/>
  <c r="AV372" i="2"/>
  <c r="AU372" i="2"/>
  <c r="AT372" i="2"/>
  <c r="AS372" i="2"/>
  <c r="AR372" i="2"/>
  <c r="AQ372" i="2"/>
  <c r="AP372" i="2"/>
  <c r="AO372" i="2"/>
  <c r="AN372" i="2"/>
  <c r="AE372" i="2"/>
  <c r="AY372" i="2" s="1"/>
  <c r="AC372" i="2"/>
  <c r="AB372" i="2"/>
  <c r="AA372" i="2"/>
  <c r="Y372" i="2"/>
  <c r="X372" i="2"/>
  <c r="W372" i="2"/>
  <c r="U372" i="2"/>
  <c r="T372" i="2"/>
  <c r="S372" i="2"/>
  <c r="Q372" i="2"/>
  <c r="P372" i="2"/>
  <c r="O372" i="2"/>
  <c r="M372" i="2"/>
  <c r="L372" i="2"/>
  <c r="K372" i="2"/>
  <c r="I372" i="2"/>
  <c r="H372" i="2"/>
  <c r="G372" i="2"/>
  <c r="E372" i="2"/>
  <c r="D372" i="2"/>
  <c r="C372" i="2"/>
  <c r="A372" i="2"/>
  <c r="AZ371" i="2"/>
  <c r="AX371" i="2"/>
  <c r="AW371" i="2"/>
  <c r="AV371" i="2"/>
  <c r="AU371" i="2"/>
  <c r="AT371" i="2"/>
  <c r="AS371" i="2"/>
  <c r="AR371" i="2"/>
  <c r="AQ371" i="2"/>
  <c r="AP371" i="2"/>
  <c r="AO371" i="2"/>
  <c r="AN371" i="2"/>
  <c r="AE371" i="2"/>
  <c r="AY371" i="2" s="1"/>
  <c r="AC371" i="2"/>
  <c r="AB371" i="2"/>
  <c r="AA371" i="2"/>
  <c r="Y371" i="2"/>
  <c r="X371" i="2"/>
  <c r="W371" i="2"/>
  <c r="U371" i="2"/>
  <c r="T371" i="2"/>
  <c r="S371" i="2"/>
  <c r="Q371" i="2"/>
  <c r="P371" i="2"/>
  <c r="O371" i="2"/>
  <c r="M371" i="2"/>
  <c r="L371" i="2"/>
  <c r="K371" i="2"/>
  <c r="I371" i="2"/>
  <c r="H371" i="2"/>
  <c r="G371" i="2"/>
  <c r="G218" i="2" s="1"/>
  <c r="G59" i="3" s="1"/>
  <c r="E371" i="2"/>
  <c r="D371" i="2"/>
  <c r="C371" i="2"/>
  <c r="A371" i="2"/>
  <c r="AZ370" i="2"/>
  <c r="AY370" i="2"/>
  <c r="AX370" i="2"/>
  <c r="AW370" i="2"/>
  <c r="AV370" i="2"/>
  <c r="AU370" i="2"/>
  <c r="AT370" i="2"/>
  <c r="AS370" i="2"/>
  <c r="AR370" i="2"/>
  <c r="AQ370" i="2"/>
  <c r="AP370" i="2"/>
  <c r="AO370" i="2"/>
  <c r="AN370" i="2"/>
  <c r="AE370" i="2"/>
  <c r="AC370" i="2"/>
  <c r="AB370" i="2"/>
  <c r="AA370" i="2"/>
  <c r="Y370" i="2"/>
  <c r="X370" i="2"/>
  <c r="W370" i="2"/>
  <c r="U370" i="2"/>
  <c r="T370" i="2"/>
  <c r="S370" i="2"/>
  <c r="Q370" i="2"/>
  <c r="P370" i="2"/>
  <c r="O370" i="2"/>
  <c r="M370" i="2"/>
  <c r="L370" i="2"/>
  <c r="K370" i="2"/>
  <c r="I370" i="2"/>
  <c r="H370" i="2"/>
  <c r="G370" i="2"/>
  <c r="E370" i="2"/>
  <c r="D370" i="2"/>
  <c r="C370" i="2"/>
  <c r="A370" i="2"/>
  <c r="AZ369" i="2"/>
  <c r="AX369" i="2"/>
  <c r="AW369" i="2"/>
  <c r="AV369" i="2"/>
  <c r="AU369" i="2"/>
  <c r="AT369" i="2"/>
  <c r="AS369" i="2"/>
  <c r="AR369" i="2"/>
  <c r="AQ369" i="2"/>
  <c r="AP369" i="2"/>
  <c r="AO369" i="2"/>
  <c r="AN369" i="2"/>
  <c r="AE369" i="2"/>
  <c r="AY369" i="2" s="1"/>
  <c r="AC369" i="2"/>
  <c r="AB369" i="2"/>
  <c r="AA369" i="2"/>
  <c r="Y369" i="2"/>
  <c r="X369" i="2"/>
  <c r="W369" i="2"/>
  <c r="U369" i="2"/>
  <c r="T369" i="2"/>
  <c r="S369" i="2"/>
  <c r="R369" i="2"/>
  <c r="Q369" i="2"/>
  <c r="P369" i="2"/>
  <c r="O369" i="2"/>
  <c r="N369" i="2"/>
  <c r="M369" i="2"/>
  <c r="L369" i="2"/>
  <c r="K369" i="2"/>
  <c r="J369" i="2"/>
  <c r="I369" i="2"/>
  <c r="H369" i="2"/>
  <c r="G369" i="2"/>
  <c r="F369" i="2"/>
  <c r="E369" i="2"/>
  <c r="D369" i="2"/>
  <c r="C369" i="2"/>
  <c r="A369" i="2"/>
  <c r="AZ368" i="2"/>
  <c r="AY368" i="2"/>
  <c r="AX368" i="2"/>
  <c r="AW368" i="2"/>
  <c r="AV368" i="2"/>
  <c r="AU368" i="2"/>
  <c r="AT368" i="2"/>
  <c r="AS368" i="2"/>
  <c r="AR368" i="2"/>
  <c r="AQ368" i="2"/>
  <c r="AP368" i="2"/>
  <c r="AO368" i="2"/>
  <c r="AN368" i="2"/>
  <c r="AE368" i="2"/>
  <c r="AC368" i="2"/>
  <c r="AB368" i="2"/>
  <c r="AA368" i="2"/>
  <c r="Z368" i="2"/>
  <c r="Y368" i="2"/>
  <c r="X368" i="2"/>
  <c r="W368" i="2"/>
  <c r="U368" i="2"/>
  <c r="T368" i="2"/>
  <c r="S368" i="2"/>
  <c r="R368" i="2"/>
  <c r="Q368" i="2"/>
  <c r="P368" i="2"/>
  <c r="O368" i="2"/>
  <c r="N368" i="2"/>
  <c r="M368" i="2"/>
  <c r="L368" i="2"/>
  <c r="K368" i="2"/>
  <c r="J368" i="2"/>
  <c r="I368" i="2"/>
  <c r="H368" i="2"/>
  <c r="G368" i="2"/>
  <c r="F368" i="2"/>
  <c r="E368" i="2"/>
  <c r="D368" i="2"/>
  <c r="C368" i="2"/>
  <c r="A368" i="2"/>
  <c r="AZ367" i="2"/>
  <c r="AY367" i="2"/>
  <c r="AX367" i="2"/>
  <c r="AW367" i="2"/>
  <c r="AV367" i="2"/>
  <c r="AU367" i="2"/>
  <c r="AT367" i="2"/>
  <c r="AS367" i="2"/>
  <c r="AS217" i="2" s="1"/>
  <c r="AS60" i="3" s="1"/>
  <c r="AR367" i="2"/>
  <c r="AQ367" i="2"/>
  <c r="AP367" i="2"/>
  <c r="AO367" i="2"/>
  <c r="AN367" i="2"/>
  <c r="AE367" i="2"/>
  <c r="AC367" i="2"/>
  <c r="AB367" i="2"/>
  <c r="AA367" i="2"/>
  <c r="Y367" i="2"/>
  <c r="X367" i="2"/>
  <c r="W367" i="2"/>
  <c r="U367" i="2"/>
  <c r="T367" i="2"/>
  <c r="S367" i="2"/>
  <c r="R367" i="2"/>
  <c r="Q367" i="2"/>
  <c r="P367" i="2"/>
  <c r="O367" i="2"/>
  <c r="N367" i="2"/>
  <c r="M367" i="2"/>
  <c r="L367" i="2"/>
  <c r="K367" i="2"/>
  <c r="J367" i="2"/>
  <c r="I367" i="2"/>
  <c r="H367" i="2"/>
  <c r="G367" i="2"/>
  <c r="F367" i="2"/>
  <c r="E367" i="2"/>
  <c r="D367" i="2"/>
  <c r="C367" i="2"/>
  <c r="A367" i="2"/>
  <c r="AX366" i="2"/>
  <c r="AW366" i="2"/>
  <c r="AV366" i="2"/>
  <c r="AU366" i="2"/>
  <c r="AT366" i="2"/>
  <c r="AS366" i="2"/>
  <c r="AR366" i="2"/>
  <c r="AQ366" i="2"/>
  <c r="AP366" i="2"/>
  <c r="AO366" i="2"/>
  <c r="AN366" i="2"/>
  <c r="AF366" i="2"/>
  <c r="AF439" i="2" s="1"/>
  <c r="AE366" i="2"/>
  <c r="AC366" i="2"/>
  <c r="AB366" i="2"/>
  <c r="AA366" i="2"/>
  <c r="Y366" i="2"/>
  <c r="X366" i="2"/>
  <c r="W366" i="2"/>
  <c r="U366" i="2"/>
  <c r="T366" i="2"/>
  <c r="S366" i="2"/>
  <c r="Q366" i="2"/>
  <c r="P366" i="2"/>
  <c r="O366" i="2"/>
  <c r="M366" i="2"/>
  <c r="L366" i="2"/>
  <c r="K366" i="2"/>
  <c r="I366" i="2"/>
  <c r="H366" i="2"/>
  <c r="G366" i="2"/>
  <c r="E366" i="2"/>
  <c r="D366" i="2"/>
  <c r="C366" i="2"/>
  <c r="A366" i="2"/>
  <c r="AZ365" i="2"/>
  <c r="AY365" i="2"/>
  <c r="AX365" i="2"/>
  <c r="AW365" i="2"/>
  <c r="AV365" i="2"/>
  <c r="AU365" i="2"/>
  <c r="AT365" i="2"/>
  <c r="AS365" i="2"/>
  <c r="AR365" i="2"/>
  <c r="AQ365" i="2"/>
  <c r="AP365" i="2"/>
  <c r="AO365" i="2"/>
  <c r="AN365" i="2"/>
  <c r="AE365" i="2"/>
  <c r="AC365" i="2"/>
  <c r="AB365" i="2"/>
  <c r="AA365" i="2"/>
  <c r="Y365" i="2"/>
  <c r="X365" i="2"/>
  <c r="W365" i="2"/>
  <c r="U365" i="2"/>
  <c r="T365" i="2"/>
  <c r="S365" i="2"/>
  <c r="Q365" i="2"/>
  <c r="P365" i="2"/>
  <c r="O365" i="2"/>
  <c r="N365" i="2"/>
  <c r="M365" i="2"/>
  <c r="L365" i="2"/>
  <c r="K365" i="2"/>
  <c r="I365" i="2"/>
  <c r="H365" i="2"/>
  <c r="G365" i="2"/>
  <c r="E365" i="2"/>
  <c r="D365" i="2"/>
  <c r="C365" i="2"/>
  <c r="A365" i="2"/>
  <c r="AZ364" i="2"/>
  <c r="AX364" i="2"/>
  <c r="AW364" i="2"/>
  <c r="AV364" i="2"/>
  <c r="AU364" i="2"/>
  <c r="AT364" i="2"/>
  <c r="AS364" i="2"/>
  <c r="AR364" i="2"/>
  <c r="AQ364" i="2"/>
  <c r="AP364" i="2"/>
  <c r="AO364" i="2"/>
  <c r="AN364" i="2"/>
  <c r="AE364" i="2"/>
  <c r="AY364" i="2" s="1"/>
  <c r="AC364" i="2"/>
  <c r="AB364" i="2"/>
  <c r="AA364" i="2"/>
  <c r="Y364" i="2"/>
  <c r="X364" i="2"/>
  <c r="W364" i="2"/>
  <c r="U364" i="2"/>
  <c r="T364" i="2"/>
  <c r="S364" i="2"/>
  <c r="Q364" i="2"/>
  <c r="P364" i="2"/>
  <c r="O364" i="2"/>
  <c r="M364" i="2"/>
  <c r="L364" i="2"/>
  <c r="K364" i="2"/>
  <c r="I364" i="2"/>
  <c r="H364" i="2"/>
  <c r="G364" i="2"/>
  <c r="E364" i="2"/>
  <c r="D364" i="2"/>
  <c r="C364" i="2"/>
  <c r="A364" i="2"/>
  <c r="AZ363" i="2"/>
  <c r="AX363" i="2"/>
  <c r="AW363" i="2"/>
  <c r="AV363" i="2"/>
  <c r="AU363" i="2"/>
  <c r="AT363" i="2"/>
  <c r="AS363" i="2"/>
  <c r="AR363" i="2"/>
  <c r="AQ363" i="2"/>
  <c r="AP363" i="2"/>
  <c r="AO363" i="2"/>
  <c r="AN363" i="2"/>
  <c r="AE363" i="2"/>
  <c r="AY363" i="2" s="1"/>
  <c r="AC363" i="2"/>
  <c r="AB363" i="2"/>
  <c r="AA363" i="2"/>
  <c r="Y363" i="2"/>
  <c r="X363" i="2"/>
  <c r="W363" i="2"/>
  <c r="U363" i="2"/>
  <c r="T363" i="2"/>
  <c r="S363" i="2"/>
  <c r="R363" i="2"/>
  <c r="Q363" i="2"/>
  <c r="P363" i="2"/>
  <c r="O363" i="2"/>
  <c r="N363" i="2"/>
  <c r="M363" i="2"/>
  <c r="L363" i="2"/>
  <c r="K363" i="2"/>
  <c r="J363" i="2"/>
  <c r="I363" i="2"/>
  <c r="H363" i="2"/>
  <c r="G363" i="2"/>
  <c r="F363" i="2"/>
  <c r="E363" i="2"/>
  <c r="D363" i="2"/>
  <c r="C363" i="2"/>
  <c r="A363" i="2"/>
  <c r="AX362" i="2"/>
  <c r="AW362" i="2"/>
  <c r="AV362" i="2"/>
  <c r="AU362" i="2"/>
  <c r="AT362" i="2"/>
  <c r="AS362" i="2"/>
  <c r="AR362" i="2"/>
  <c r="AQ362" i="2"/>
  <c r="AP362" i="2"/>
  <c r="AO362" i="2"/>
  <c r="AN362" i="2"/>
  <c r="AF362" i="2"/>
  <c r="AE362" i="2"/>
  <c r="AC362" i="2"/>
  <c r="AB362" i="2"/>
  <c r="AA362" i="2"/>
  <c r="Y362" i="2"/>
  <c r="X362" i="2"/>
  <c r="X375" i="2" s="1"/>
  <c r="W362" i="2"/>
  <c r="U362" i="2"/>
  <c r="T362" i="2"/>
  <c r="S362" i="2"/>
  <c r="Q362" i="2"/>
  <c r="P362" i="2"/>
  <c r="O362" i="2"/>
  <c r="M362" i="2"/>
  <c r="L362" i="2"/>
  <c r="K362" i="2"/>
  <c r="I362" i="2"/>
  <c r="I217" i="2" s="1"/>
  <c r="I60" i="3" s="1"/>
  <c r="H362" i="2"/>
  <c r="H375" i="2" s="1"/>
  <c r="G362" i="2"/>
  <c r="E362" i="2"/>
  <c r="D362" i="2"/>
  <c r="C362" i="2"/>
  <c r="A362" i="2"/>
  <c r="AZ361" i="2"/>
  <c r="AY361" i="2"/>
  <c r="AX361" i="2"/>
  <c r="AW361" i="2"/>
  <c r="AW375" i="2" s="1"/>
  <c r="AV361" i="2"/>
  <c r="AU361" i="2"/>
  <c r="AT361" i="2"/>
  <c r="AS361" i="2"/>
  <c r="AR361" i="2"/>
  <c r="AQ361" i="2"/>
  <c r="AQ375" i="2" s="1"/>
  <c r="AP361" i="2"/>
  <c r="AO361" i="2"/>
  <c r="AN361" i="2"/>
  <c r="AE361" i="2"/>
  <c r="AC361" i="2"/>
  <c r="AB361" i="2"/>
  <c r="AA361" i="2"/>
  <c r="AA375" i="2" s="1"/>
  <c r="Y361" i="2"/>
  <c r="X361" i="2"/>
  <c r="W361" i="2"/>
  <c r="U361" i="2"/>
  <c r="T361" i="2"/>
  <c r="S361" i="2"/>
  <c r="S375" i="2" s="1"/>
  <c r="Q361" i="2"/>
  <c r="P361" i="2"/>
  <c r="O361" i="2"/>
  <c r="M361" i="2"/>
  <c r="L361" i="2"/>
  <c r="K361" i="2"/>
  <c r="I361" i="2"/>
  <c r="H361" i="2"/>
  <c r="G361" i="2"/>
  <c r="F361" i="2"/>
  <c r="E361" i="2"/>
  <c r="D361" i="2"/>
  <c r="C361" i="2"/>
  <c r="C375" i="2" s="1"/>
  <c r="A361" i="2"/>
  <c r="AZ360" i="2"/>
  <c r="AX360" i="2"/>
  <c r="AW360" i="2"/>
  <c r="AV360" i="2"/>
  <c r="AU360" i="2"/>
  <c r="AT360" i="2"/>
  <c r="AT375" i="2" s="1"/>
  <c r="AS360" i="2"/>
  <c r="AR360" i="2"/>
  <c r="AQ360" i="2"/>
  <c r="AP360" i="2"/>
  <c r="AO360" i="2"/>
  <c r="AN360" i="2"/>
  <c r="AE360" i="2"/>
  <c r="AC360" i="2"/>
  <c r="AB360" i="2"/>
  <c r="AA360" i="2"/>
  <c r="Y360" i="2"/>
  <c r="X360" i="2"/>
  <c r="W360" i="2"/>
  <c r="U360" i="2"/>
  <c r="T360" i="2"/>
  <c r="S360" i="2"/>
  <c r="Q360" i="2"/>
  <c r="P360" i="2"/>
  <c r="O360" i="2"/>
  <c r="M360" i="2"/>
  <c r="M375" i="2" s="1"/>
  <c r="L360" i="2"/>
  <c r="K360" i="2"/>
  <c r="I360" i="2"/>
  <c r="H360" i="2"/>
  <c r="G360" i="2"/>
  <c r="E360" i="2"/>
  <c r="D360" i="2"/>
  <c r="C360" i="2"/>
  <c r="A360" i="2"/>
  <c r="A359" i="2"/>
  <c r="D357" i="2"/>
  <c r="A357" i="2"/>
  <c r="AZ356" i="2"/>
  <c r="AX356" i="2"/>
  <c r="AW356" i="2"/>
  <c r="AV356" i="2"/>
  <c r="AU356" i="2"/>
  <c r="AT356" i="2"/>
  <c r="AS356" i="2"/>
  <c r="AR356" i="2"/>
  <c r="AQ356" i="2"/>
  <c r="AP356" i="2"/>
  <c r="AO356" i="2"/>
  <c r="AN356" i="2"/>
  <c r="AE356" i="2"/>
  <c r="AY356" i="2" s="1"/>
  <c r="AC356" i="2"/>
  <c r="AB356" i="2"/>
  <c r="AA356" i="2"/>
  <c r="Y356" i="2"/>
  <c r="X356" i="2"/>
  <c r="W356" i="2"/>
  <c r="U356" i="2"/>
  <c r="T356" i="2"/>
  <c r="S356" i="2"/>
  <c r="Q356" i="2"/>
  <c r="P356" i="2"/>
  <c r="O356" i="2"/>
  <c r="M356" i="2"/>
  <c r="L356" i="2"/>
  <c r="K356" i="2"/>
  <c r="I356" i="2"/>
  <c r="H356" i="2"/>
  <c r="G356" i="2"/>
  <c r="E356" i="2"/>
  <c r="D356" i="2"/>
  <c r="C356" i="2"/>
  <c r="A356" i="2"/>
  <c r="AZ355" i="2"/>
  <c r="AX355" i="2"/>
  <c r="AW355" i="2"/>
  <c r="AV355" i="2"/>
  <c r="AU355" i="2"/>
  <c r="AT355" i="2"/>
  <c r="AS355" i="2"/>
  <c r="AR355" i="2"/>
  <c r="AQ355" i="2"/>
  <c r="AP355" i="2"/>
  <c r="AO355" i="2"/>
  <c r="AN355" i="2"/>
  <c r="AE355" i="2"/>
  <c r="AY355" i="2" s="1"/>
  <c r="AC355" i="2"/>
  <c r="AB355" i="2"/>
  <c r="AA355" i="2"/>
  <c r="Z355" i="2"/>
  <c r="Y355" i="2"/>
  <c r="X355" i="2"/>
  <c r="W355" i="2"/>
  <c r="U355" i="2"/>
  <c r="T355" i="2"/>
  <c r="S355" i="2"/>
  <c r="R355" i="2"/>
  <c r="Q355" i="2"/>
  <c r="P355" i="2"/>
  <c r="O355" i="2"/>
  <c r="M355" i="2"/>
  <c r="L355" i="2"/>
  <c r="K355" i="2"/>
  <c r="J355" i="2"/>
  <c r="I355" i="2"/>
  <c r="H355" i="2"/>
  <c r="G355" i="2"/>
  <c r="E355" i="2"/>
  <c r="D355" i="2"/>
  <c r="C355" i="2"/>
  <c r="A355" i="2"/>
  <c r="AZ354" i="2"/>
  <c r="AX354" i="2"/>
  <c r="AW354" i="2"/>
  <c r="AV354" i="2"/>
  <c r="AU354" i="2"/>
  <c r="AT354" i="2"/>
  <c r="AS354" i="2"/>
  <c r="AR354" i="2"/>
  <c r="AQ354" i="2"/>
  <c r="AP354" i="2"/>
  <c r="AO354" i="2"/>
  <c r="AN354" i="2"/>
  <c r="AE354" i="2"/>
  <c r="AY354" i="2" s="1"/>
  <c r="AC354" i="2"/>
  <c r="AB354" i="2"/>
  <c r="AA354" i="2"/>
  <c r="Y354" i="2"/>
  <c r="X354" i="2"/>
  <c r="W354" i="2"/>
  <c r="U354" i="2"/>
  <c r="T354" i="2"/>
  <c r="S354" i="2"/>
  <c r="Q354" i="2"/>
  <c r="P354" i="2"/>
  <c r="O354" i="2"/>
  <c r="N354" i="2"/>
  <c r="M354" i="2"/>
  <c r="L354" i="2"/>
  <c r="K354" i="2"/>
  <c r="J354" i="2"/>
  <c r="I354" i="2"/>
  <c r="H354" i="2"/>
  <c r="G354" i="2"/>
  <c r="F354" i="2"/>
  <c r="E354" i="2"/>
  <c r="D354" i="2"/>
  <c r="C354" i="2"/>
  <c r="A354" i="2"/>
  <c r="AZ353" i="2"/>
  <c r="AX353" i="2"/>
  <c r="AW353" i="2"/>
  <c r="AV353" i="2"/>
  <c r="AU353" i="2"/>
  <c r="AT353" i="2"/>
  <c r="AS353" i="2"/>
  <c r="AR353" i="2"/>
  <c r="AQ353" i="2"/>
  <c r="AP353" i="2"/>
  <c r="AO353" i="2"/>
  <c r="AN353" i="2"/>
  <c r="AE353" i="2"/>
  <c r="AY353" i="2" s="1"/>
  <c r="AC353" i="2"/>
  <c r="AB353" i="2"/>
  <c r="AA353" i="2"/>
  <c r="Y353" i="2"/>
  <c r="X353" i="2"/>
  <c r="W353" i="2"/>
  <c r="U353" i="2"/>
  <c r="T353" i="2"/>
  <c r="S353" i="2"/>
  <c r="Q353" i="2"/>
  <c r="P353" i="2"/>
  <c r="O353" i="2"/>
  <c r="N353" i="2"/>
  <c r="M353" i="2"/>
  <c r="L353" i="2"/>
  <c r="K353" i="2"/>
  <c r="J353" i="2"/>
  <c r="I353" i="2"/>
  <c r="H353" i="2"/>
  <c r="G353" i="2"/>
  <c r="F353" i="2"/>
  <c r="E353" i="2"/>
  <c r="D353" i="2"/>
  <c r="C353" i="2"/>
  <c r="A353" i="2"/>
  <c r="AX352" i="2"/>
  <c r="AW352" i="2"/>
  <c r="AV352" i="2"/>
  <c r="AU352" i="2"/>
  <c r="AT352" i="2"/>
  <c r="AS352" i="2"/>
  <c r="AR352" i="2"/>
  <c r="AQ352" i="2"/>
  <c r="AP352" i="2"/>
  <c r="AO352" i="2"/>
  <c r="AN352" i="2"/>
  <c r="AK352" i="2"/>
  <c r="AF352" i="2"/>
  <c r="AF407" i="2" s="1"/>
  <c r="AE352" i="2"/>
  <c r="AC352" i="2"/>
  <c r="AB352" i="2"/>
  <c r="AA352" i="2"/>
  <c r="Y352" i="2"/>
  <c r="X352" i="2"/>
  <c r="W352" i="2"/>
  <c r="U352" i="2"/>
  <c r="T352" i="2"/>
  <c r="S352" i="2"/>
  <c r="Q352" i="2"/>
  <c r="P352" i="2"/>
  <c r="O352" i="2"/>
  <c r="M352" i="2"/>
  <c r="L352" i="2"/>
  <c r="K352" i="2"/>
  <c r="I352" i="2"/>
  <c r="H352" i="2"/>
  <c r="G352" i="2"/>
  <c r="E352" i="2"/>
  <c r="D352" i="2"/>
  <c r="C352" i="2"/>
  <c r="A352" i="2"/>
  <c r="AZ351" i="2"/>
  <c r="AX351" i="2"/>
  <c r="AW351" i="2"/>
  <c r="AV351" i="2"/>
  <c r="AU351" i="2"/>
  <c r="AT351" i="2"/>
  <c r="AS351" i="2"/>
  <c r="AR351" i="2"/>
  <c r="AQ351" i="2"/>
  <c r="AP351" i="2"/>
  <c r="AO351" i="2"/>
  <c r="AN351" i="2"/>
  <c r="AE351" i="2"/>
  <c r="AY351" i="2" s="1"/>
  <c r="AC351" i="2"/>
  <c r="AB351" i="2"/>
  <c r="AA351" i="2"/>
  <c r="Z351" i="2"/>
  <c r="Y351" i="2"/>
  <c r="X351" i="2"/>
  <c r="X357" i="2" s="1"/>
  <c r="W351" i="2"/>
  <c r="V351" i="2"/>
  <c r="U351" i="2"/>
  <c r="T351" i="2"/>
  <c r="S351" i="2"/>
  <c r="R351" i="2"/>
  <c r="Q351" i="2"/>
  <c r="P351" i="2"/>
  <c r="O351" i="2"/>
  <c r="N351" i="2"/>
  <c r="M351" i="2"/>
  <c r="L351" i="2"/>
  <c r="K351" i="2"/>
  <c r="J351" i="2"/>
  <c r="I351" i="2"/>
  <c r="H351" i="2"/>
  <c r="G351" i="2"/>
  <c r="F351" i="2"/>
  <c r="E351" i="2"/>
  <c r="D351" i="2"/>
  <c r="C351" i="2"/>
  <c r="A351" i="2"/>
  <c r="AX350" i="2"/>
  <c r="AW350" i="2"/>
  <c r="AV350" i="2"/>
  <c r="AU350" i="2"/>
  <c r="AT350" i="2"/>
  <c r="AT357" i="2" s="1"/>
  <c r="AS350" i="2"/>
  <c r="AR350" i="2"/>
  <c r="AQ350" i="2"/>
  <c r="AP350" i="2"/>
  <c r="AO350" i="2"/>
  <c r="AN350" i="2"/>
  <c r="AF350" i="2"/>
  <c r="AE350" i="2"/>
  <c r="AC350" i="2"/>
  <c r="AB350" i="2"/>
  <c r="AA350" i="2"/>
  <c r="Y350" i="2"/>
  <c r="X350" i="2"/>
  <c r="W350" i="2"/>
  <c r="U350" i="2"/>
  <c r="T350" i="2"/>
  <c r="S350" i="2"/>
  <c r="Q350" i="2"/>
  <c r="P350" i="2"/>
  <c r="O350" i="2"/>
  <c r="M350" i="2"/>
  <c r="M357" i="2" s="1"/>
  <c r="L350" i="2"/>
  <c r="K350" i="2"/>
  <c r="I350" i="2"/>
  <c r="H350" i="2"/>
  <c r="G350" i="2"/>
  <c r="E350" i="2"/>
  <c r="D350" i="2"/>
  <c r="C350" i="2"/>
  <c r="A350" i="2"/>
  <c r="AX349" i="2"/>
  <c r="AW349" i="2"/>
  <c r="AW357" i="2" s="1"/>
  <c r="AV349" i="2"/>
  <c r="AU349" i="2"/>
  <c r="AT349" i="2"/>
  <c r="AS349" i="2"/>
  <c r="AR349" i="2"/>
  <c r="AQ349" i="2"/>
  <c r="AP349" i="2"/>
  <c r="AO349" i="2"/>
  <c r="AO357" i="2" s="1"/>
  <c r="AN349" i="2"/>
  <c r="AF349" i="2"/>
  <c r="AF457" i="2" s="1"/>
  <c r="AE349" i="2"/>
  <c r="AC349" i="2"/>
  <c r="AB349" i="2"/>
  <c r="AB357" i="2" s="1"/>
  <c r="AA349" i="2"/>
  <c r="Z349" i="2"/>
  <c r="Y349" i="2"/>
  <c r="X349" i="2"/>
  <c r="W349" i="2"/>
  <c r="U349" i="2"/>
  <c r="T349" i="2"/>
  <c r="S349" i="2"/>
  <c r="R349" i="2"/>
  <c r="Q349" i="2"/>
  <c r="P349" i="2"/>
  <c r="O349" i="2"/>
  <c r="M349" i="2"/>
  <c r="L349" i="2"/>
  <c r="K349" i="2"/>
  <c r="J349" i="2"/>
  <c r="I349" i="2"/>
  <c r="H349" i="2"/>
  <c r="G349" i="2"/>
  <c r="E349" i="2"/>
  <c r="D349" i="2"/>
  <c r="C349" i="2"/>
  <c r="A349" i="2"/>
  <c r="A348" i="2"/>
  <c r="A346" i="2"/>
  <c r="AZ345" i="2"/>
  <c r="AX345" i="2"/>
  <c r="AW345" i="2"/>
  <c r="AV345" i="2"/>
  <c r="AU345" i="2"/>
  <c r="AT345" i="2"/>
  <c r="AS345" i="2"/>
  <c r="AR345" i="2"/>
  <c r="AQ345" i="2"/>
  <c r="AP345" i="2"/>
  <c r="AO345" i="2"/>
  <c r="AN345" i="2"/>
  <c r="AE345" i="2"/>
  <c r="AC345" i="2"/>
  <c r="AB345" i="2"/>
  <c r="AA345" i="2"/>
  <c r="Y345" i="2"/>
  <c r="X345" i="2"/>
  <c r="W345" i="2"/>
  <c r="U345" i="2"/>
  <c r="T345" i="2"/>
  <c r="S345" i="2"/>
  <c r="Q345" i="2"/>
  <c r="P345" i="2"/>
  <c r="O345" i="2"/>
  <c r="M345" i="2"/>
  <c r="L345" i="2"/>
  <c r="K345" i="2"/>
  <c r="I345" i="2"/>
  <c r="H345" i="2"/>
  <c r="G345" i="2"/>
  <c r="E345" i="2"/>
  <c r="D345" i="2"/>
  <c r="C345" i="2"/>
  <c r="A345" i="2"/>
  <c r="AZ344" i="2"/>
  <c r="AX344" i="2"/>
  <c r="AW344" i="2"/>
  <c r="AV344" i="2"/>
  <c r="AU344" i="2"/>
  <c r="AT344" i="2"/>
  <c r="AS344" i="2"/>
  <c r="AR344" i="2"/>
  <c r="AQ344" i="2"/>
  <c r="AP344" i="2"/>
  <c r="AO344" i="2"/>
  <c r="AN344" i="2"/>
  <c r="AE344" i="2"/>
  <c r="AY344" i="2" s="1"/>
  <c r="AC344" i="2"/>
  <c r="AB344" i="2"/>
  <c r="AA344" i="2"/>
  <c r="Y344" i="2"/>
  <c r="X344" i="2"/>
  <c r="W344" i="2"/>
  <c r="U344" i="2"/>
  <c r="T344" i="2"/>
  <c r="S344" i="2"/>
  <c r="Q344" i="2"/>
  <c r="P344" i="2"/>
  <c r="O344" i="2"/>
  <c r="M344" i="2"/>
  <c r="L344" i="2"/>
  <c r="K344" i="2"/>
  <c r="I344" i="2"/>
  <c r="H344" i="2"/>
  <c r="G344" i="2"/>
  <c r="E344" i="2"/>
  <c r="D344" i="2"/>
  <c r="C344" i="2"/>
  <c r="A344" i="2"/>
  <c r="AZ343" i="2"/>
  <c r="AX343" i="2"/>
  <c r="AW343" i="2"/>
  <c r="AV343" i="2"/>
  <c r="AU343" i="2"/>
  <c r="AT343" i="2"/>
  <c r="AS343" i="2"/>
  <c r="AR343" i="2"/>
  <c r="AQ343" i="2"/>
  <c r="AP343" i="2"/>
  <c r="AO343" i="2"/>
  <c r="AN343" i="2"/>
  <c r="AE343" i="2"/>
  <c r="AY343" i="2" s="1"/>
  <c r="AC343" i="2"/>
  <c r="AB343" i="2"/>
  <c r="AA343" i="2"/>
  <c r="Z343" i="2"/>
  <c r="Y343" i="2"/>
  <c r="X343" i="2"/>
  <c r="W343" i="2"/>
  <c r="U343" i="2"/>
  <c r="T343" i="2"/>
  <c r="S343" i="2"/>
  <c r="R343" i="2"/>
  <c r="Q343" i="2"/>
  <c r="P343" i="2"/>
  <c r="O343" i="2"/>
  <c r="M343" i="2"/>
  <c r="L343" i="2"/>
  <c r="K343" i="2"/>
  <c r="J343" i="2"/>
  <c r="I343" i="2"/>
  <c r="H343" i="2"/>
  <c r="G343" i="2"/>
  <c r="E343" i="2"/>
  <c r="D343" i="2"/>
  <c r="C343" i="2"/>
  <c r="A343" i="2"/>
  <c r="AZ342" i="2"/>
  <c r="AY342" i="2"/>
  <c r="AX342" i="2"/>
  <c r="AW342" i="2"/>
  <c r="AV342" i="2"/>
  <c r="AU342" i="2"/>
  <c r="AT342" i="2"/>
  <c r="AS342" i="2"/>
  <c r="AR342" i="2"/>
  <c r="AQ342" i="2"/>
  <c r="AP342" i="2"/>
  <c r="AO342" i="2"/>
  <c r="AN342" i="2"/>
  <c r="AE342" i="2"/>
  <c r="AC342" i="2"/>
  <c r="AB342" i="2"/>
  <c r="AA342" i="2"/>
  <c r="Y342" i="2"/>
  <c r="X342" i="2"/>
  <c r="W342" i="2"/>
  <c r="U342" i="2"/>
  <c r="T342" i="2"/>
  <c r="S342" i="2"/>
  <c r="Q342" i="2"/>
  <c r="P342" i="2"/>
  <c r="O342" i="2"/>
  <c r="M342" i="2"/>
  <c r="L342" i="2"/>
  <c r="K342" i="2"/>
  <c r="I342" i="2"/>
  <c r="H342" i="2"/>
  <c r="G342" i="2"/>
  <c r="E342" i="2"/>
  <c r="D342" i="2"/>
  <c r="C342" i="2"/>
  <c r="A342" i="2"/>
  <c r="AX341" i="2"/>
  <c r="AW341" i="2"/>
  <c r="AV341" i="2"/>
  <c r="AU341" i="2"/>
  <c r="AT341" i="2"/>
  <c r="AS341" i="2"/>
  <c r="AR341" i="2"/>
  <c r="AQ341" i="2"/>
  <c r="AP341" i="2"/>
  <c r="AO341" i="2"/>
  <c r="AN341" i="2"/>
  <c r="AF341" i="2"/>
  <c r="AE341" i="2"/>
  <c r="AC341" i="2"/>
  <c r="AB341" i="2"/>
  <c r="AA341" i="2"/>
  <c r="Z341" i="2"/>
  <c r="Y341" i="2"/>
  <c r="X341" i="2"/>
  <c r="W341" i="2"/>
  <c r="U341" i="2"/>
  <c r="T341" i="2"/>
  <c r="S341" i="2"/>
  <c r="R341" i="2"/>
  <c r="Q341" i="2"/>
  <c r="P341" i="2"/>
  <c r="O341" i="2"/>
  <c r="M341" i="2"/>
  <c r="L341" i="2"/>
  <c r="K341" i="2"/>
  <c r="J341" i="2"/>
  <c r="I341" i="2"/>
  <c r="H341" i="2"/>
  <c r="G341" i="2"/>
  <c r="E341" i="2"/>
  <c r="D341" i="2"/>
  <c r="C341" i="2"/>
  <c r="A341" i="2"/>
  <c r="AX340" i="2"/>
  <c r="AW340" i="2"/>
  <c r="AV340" i="2"/>
  <c r="AU340" i="2"/>
  <c r="AT340" i="2"/>
  <c r="AS340" i="2"/>
  <c r="AR340" i="2"/>
  <c r="AQ340" i="2"/>
  <c r="AP340" i="2"/>
  <c r="AO340" i="2"/>
  <c r="AN340" i="2"/>
  <c r="AF340" i="2"/>
  <c r="AE340" i="2"/>
  <c r="AC340" i="2"/>
  <c r="AB340" i="2"/>
  <c r="AA340" i="2"/>
  <c r="Y340" i="2"/>
  <c r="X340" i="2"/>
  <c r="W340" i="2"/>
  <c r="U340" i="2"/>
  <c r="T340" i="2"/>
  <c r="S340" i="2"/>
  <c r="Q340" i="2"/>
  <c r="P340" i="2"/>
  <c r="O340" i="2"/>
  <c r="M340" i="2"/>
  <c r="L340" i="2"/>
  <c r="K340" i="2"/>
  <c r="I340" i="2"/>
  <c r="H340" i="2"/>
  <c r="G340" i="2"/>
  <c r="E340" i="2"/>
  <c r="D340" i="2"/>
  <c r="C340" i="2"/>
  <c r="A340" i="2"/>
  <c r="AX339" i="2"/>
  <c r="AW339" i="2"/>
  <c r="AV339" i="2"/>
  <c r="AU339" i="2"/>
  <c r="AT339" i="2"/>
  <c r="AS339" i="2"/>
  <c r="AR339" i="2"/>
  <c r="AQ339" i="2"/>
  <c r="AP339" i="2"/>
  <c r="AO339" i="2"/>
  <c r="AN339" i="2"/>
  <c r="AF339" i="2"/>
  <c r="AE339" i="2"/>
  <c r="AC339" i="2"/>
  <c r="AB339" i="2"/>
  <c r="AA339" i="2"/>
  <c r="Y339" i="2"/>
  <c r="X339" i="2"/>
  <c r="W339" i="2"/>
  <c r="U339" i="2"/>
  <c r="T339" i="2"/>
  <c r="S339" i="2"/>
  <c r="Q339" i="2"/>
  <c r="P339" i="2"/>
  <c r="O339" i="2"/>
  <c r="M339" i="2"/>
  <c r="L339" i="2"/>
  <c r="K339" i="2"/>
  <c r="I339" i="2"/>
  <c r="H339" i="2"/>
  <c r="G339" i="2"/>
  <c r="E339" i="2"/>
  <c r="D339" i="2"/>
  <c r="C339" i="2"/>
  <c r="A339" i="2"/>
  <c r="AZ338" i="2"/>
  <c r="AX338" i="2"/>
  <c r="AW338" i="2"/>
  <c r="AV338" i="2"/>
  <c r="AU338" i="2"/>
  <c r="AT338" i="2"/>
  <c r="AS338" i="2"/>
  <c r="AR338" i="2"/>
  <c r="AQ338" i="2"/>
  <c r="AP338" i="2"/>
  <c r="AO338" i="2"/>
  <c r="AN338" i="2"/>
  <c r="AE338" i="2"/>
  <c r="AY338" i="2" s="1"/>
  <c r="AC338" i="2"/>
  <c r="AB338" i="2"/>
  <c r="AA338" i="2"/>
  <c r="Y338" i="2"/>
  <c r="X338" i="2"/>
  <c r="W338" i="2"/>
  <c r="U338" i="2"/>
  <c r="T338" i="2"/>
  <c r="S338" i="2"/>
  <c r="R338" i="2"/>
  <c r="Q338" i="2"/>
  <c r="P338" i="2"/>
  <c r="O338" i="2"/>
  <c r="N338" i="2"/>
  <c r="M338" i="2"/>
  <c r="L338" i="2"/>
  <c r="K338" i="2"/>
  <c r="J338" i="2"/>
  <c r="I338" i="2"/>
  <c r="H338" i="2"/>
  <c r="G338" i="2"/>
  <c r="F338" i="2"/>
  <c r="E338" i="2"/>
  <c r="D338" i="2"/>
  <c r="C338" i="2"/>
  <c r="A338" i="2"/>
  <c r="AX337" i="2"/>
  <c r="AW337" i="2"/>
  <c r="AW58" i="3" s="1"/>
  <c r="AV337" i="2"/>
  <c r="AU337" i="2"/>
  <c r="AT337" i="2"/>
  <c r="AT58" i="3" s="1"/>
  <c r="AS337" i="2"/>
  <c r="AS58" i="3" s="1"/>
  <c r="AR337" i="2"/>
  <c r="AQ337" i="2"/>
  <c r="AP337" i="2"/>
  <c r="AO337" i="2"/>
  <c r="AO58" i="3" s="1"/>
  <c r="AN337" i="2"/>
  <c r="AF337" i="2"/>
  <c r="AE337" i="2"/>
  <c r="AC337" i="2"/>
  <c r="AB337" i="2"/>
  <c r="AB58" i="3" s="1"/>
  <c r="AA337" i="2"/>
  <c r="AA58" i="3" s="1"/>
  <c r="Y337" i="2"/>
  <c r="Y58" i="3" s="1"/>
  <c r="X337" i="2"/>
  <c r="X58" i="3" s="1"/>
  <c r="W337" i="2"/>
  <c r="U337" i="2"/>
  <c r="T337" i="2"/>
  <c r="T58" i="3" s="1"/>
  <c r="S337" i="2"/>
  <c r="S58" i="3" s="1"/>
  <c r="Q337" i="2"/>
  <c r="Q58" i="3" s="1"/>
  <c r="P337" i="2"/>
  <c r="P58" i="3" s="1"/>
  <c r="O337" i="2"/>
  <c r="M337" i="2"/>
  <c r="L337" i="2"/>
  <c r="K337" i="2"/>
  <c r="K58" i="3" s="1"/>
  <c r="I337" i="2"/>
  <c r="I58" i="3" s="1"/>
  <c r="H337" i="2"/>
  <c r="H58" i="3" s="1"/>
  <c r="G337" i="2"/>
  <c r="E337" i="2"/>
  <c r="D337" i="2"/>
  <c r="C337" i="2"/>
  <c r="C58" i="3" s="1"/>
  <c r="A337" i="2"/>
  <c r="AX336" i="2"/>
  <c r="AP336" i="2"/>
  <c r="AP346" i="2" s="1"/>
  <c r="Y336" i="2"/>
  <c r="Y346" i="2" s="1"/>
  <c r="Q336" i="2"/>
  <c r="Q346" i="2" s="1"/>
  <c r="A336" i="2"/>
  <c r="AX335" i="2"/>
  <c r="AW335" i="2"/>
  <c r="AV335" i="2"/>
  <c r="AU335" i="2"/>
  <c r="AT335" i="2"/>
  <c r="AS335" i="2"/>
  <c r="AR335" i="2"/>
  <c r="AQ335" i="2"/>
  <c r="AP335" i="2"/>
  <c r="AO335" i="2"/>
  <c r="AN335" i="2"/>
  <c r="AE335" i="2"/>
  <c r="AD335" i="2"/>
  <c r="AC335" i="2"/>
  <c r="AB335" i="2"/>
  <c r="AA335" i="2"/>
  <c r="Y335" i="2"/>
  <c r="X335" i="2"/>
  <c r="W335" i="2"/>
  <c r="V335" i="2"/>
  <c r="U335" i="2"/>
  <c r="T335" i="2"/>
  <c r="S335" i="2"/>
  <c r="Q335" i="2"/>
  <c r="P335" i="2"/>
  <c r="O335" i="2"/>
  <c r="N335" i="2"/>
  <c r="M335" i="2"/>
  <c r="L335" i="2"/>
  <c r="K335" i="2"/>
  <c r="I335" i="2"/>
  <c r="H335" i="2"/>
  <c r="G335" i="2"/>
  <c r="F335" i="2"/>
  <c r="E335" i="2"/>
  <c r="D335" i="2"/>
  <c r="C335" i="2"/>
  <c r="A335" i="2"/>
  <c r="AX334" i="2"/>
  <c r="AW334" i="2"/>
  <c r="AV334" i="2"/>
  <c r="AU334" i="2"/>
  <c r="AT334" i="2"/>
  <c r="AS334" i="2"/>
  <c r="AR334" i="2"/>
  <c r="AQ334" i="2"/>
  <c r="AP334" i="2"/>
  <c r="AO334" i="2"/>
  <c r="AN334" i="2"/>
  <c r="AE334" i="2"/>
  <c r="AC334" i="2"/>
  <c r="AB334" i="2"/>
  <c r="AA334" i="2"/>
  <c r="Y334" i="2"/>
  <c r="X334" i="2"/>
  <c r="W334" i="2"/>
  <c r="U334" i="2"/>
  <c r="T334" i="2"/>
  <c r="S334" i="2"/>
  <c r="Q334" i="2"/>
  <c r="P334" i="2"/>
  <c r="O334" i="2"/>
  <c r="M334" i="2"/>
  <c r="L334" i="2"/>
  <c r="K334" i="2"/>
  <c r="I334" i="2"/>
  <c r="H334" i="2"/>
  <c r="G334" i="2"/>
  <c r="E334" i="2"/>
  <c r="D334" i="2"/>
  <c r="C334" i="2"/>
  <c r="A334" i="2"/>
  <c r="AX333" i="2"/>
  <c r="AW333" i="2"/>
  <c r="AV333" i="2"/>
  <c r="AU333" i="2"/>
  <c r="AT333" i="2"/>
  <c r="AS333" i="2"/>
  <c r="AR333" i="2"/>
  <c r="AQ333" i="2"/>
  <c r="AP333" i="2"/>
  <c r="AO333" i="2"/>
  <c r="AN333" i="2"/>
  <c r="AE333" i="2"/>
  <c r="AC333" i="2"/>
  <c r="AB333" i="2"/>
  <c r="AA333" i="2"/>
  <c r="Y333" i="2"/>
  <c r="X333" i="2"/>
  <c r="W333" i="2"/>
  <c r="U333" i="2"/>
  <c r="T333" i="2"/>
  <c r="S333" i="2"/>
  <c r="Q333" i="2"/>
  <c r="P333" i="2"/>
  <c r="O333" i="2"/>
  <c r="M333" i="2"/>
  <c r="L333" i="2"/>
  <c r="K333" i="2"/>
  <c r="I333" i="2"/>
  <c r="H333" i="2"/>
  <c r="G333" i="2"/>
  <c r="E333" i="2"/>
  <c r="D333" i="2"/>
  <c r="C333" i="2"/>
  <c r="A333" i="2"/>
  <c r="AZ332" i="2"/>
  <c r="AY332" i="2"/>
  <c r="AX332" i="2"/>
  <c r="AW332" i="2"/>
  <c r="AV332" i="2"/>
  <c r="AU332" i="2"/>
  <c r="AT332" i="2"/>
  <c r="AS332" i="2"/>
  <c r="AR332" i="2"/>
  <c r="AQ332" i="2"/>
  <c r="AP332" i="2"/>
  <c r="AO332" i="2"/>
  <c r="AN332" i="2"/>
  <c r="AE332" i="2"/>
  <c r="AC332" i="2"/>
  <c r="AB332" i="2"/>
  <c r="AA332" i="2"/>
  <c r="Z332" i="2"/>
  <c r="Y332" i="2"/>
  <c r="X332" i="2"/>
  <c r="W332" i="2"/>
  <c r="V332" i="2"/>
  <c r="U332" i="2"/>
  <c r="T332" i="2"/>
  <c r="S332" i="2"/>
  <c r="R332" i="2"/>
  <c r="Q332" i="2"/>
  <c r="P332" i="2"/>
  <c r="O332" i="2"/>
  <c r="N332" i="2"/>
  <c r="M332" i="2"/>
  <c r="L332" i="2"/>
  <c r="K332" i="2"/>
  <c r="J332" i="2"/>
  <c r="I332" i="2"/>
  <c r="H332" i="2"/>
  <c r="G332" i="2"/>
  <c r="F332" i="2"/>
  <c r="E332" i="2"/>
  <c r="D332" i="2"/>
  <c r="C332" i="2"/>
  <c r="A332" i="2"/>
  <c r="AZ331" i="2"/>
  <c r="AY331" i="2"/>
  <c r="AX331" i="2"/>
  <c r="AW331" i="2"/>
  <c r="AV331" i="2"/>
  <c r="AU331" i="2"/>
  <c r="AT331" i="2"/>
  <c r="AS331" i="2"/>
  <c r="AR331" i="2"/>
  <c r="AQ331" i="2"/>
  <c r="AP331" i="2"/>
  <c r="AO331" i="2"/>
  <c r="AN331" i="2"/>
  <c r="AE331" i="2"/>
  <c r="AD331" i="2"/>
  <c r="AC331" i="2"/>
  <c r="AB331" i="2"/>
  <c r="AA331" i="2"/>
  <c r="Y331" i="2"/>
  <c r="X331" i="2"/>
  <c r="W331" i="2"/>
  <c r="V331" i="2"/>
  <c r="U331" i="2"/>
  <c r="T331" i="2"/>
  <c r="S331" i="2"/>
  <c r="Q331" i="2"/>
  <c r="P331" i="2"/>
  <c r="O331" i="2"/>
  <c r="N331" i="2"/>
  <c r="M331" i="2"/>
  <c r="L331" i="2"/>
  <c r="K331" i="2"/>
  <c r="I331" i="2"/>
  <c r="H331" i="2"/>
  <c r="G331" i="2"/>
  <c r="F331" i="2"/>
  <c r="E331" i="2"/>
  <c r="D331" i="2"/>
  <c r="C331" i="2"/>
  <c r="A331" i="2"/>
  <c r="AZ330" i="2"/>
  <c r="AX330" i="2"/>
  <c r="AW330" i="2"/>
  <c r="AV330" i="2"/>
  <c r="AU330" i="2"/>
  <c r="AT330" i="2"/>
  <c r="AS330" i="2"/>
  <c r="AR330" i="2"/>
  <c r="AQ330" i="2"/>
  <c r="AP330" i="2"/>
  <c r="AO330" i="2"/>
  <c r="AN330" i="2"/>
  <c r="AE330" i="2"/>
  <c r="AY330" i="2" s="1"/>
  <c r="AC330" i="2"/>
  <c r="AB330" i="2"/>
  <c r="AA330" i="2"/>
  <c r="Y330" i="2"/>
  <c r="X330" i="2"/>
  <c r="W330" i="2"/>
  <c r="U330" i="2"/>
  <c r="T330" i="2"/>
  <c r="S330" i="2"/>
  <c r="Q330" i="2"/>
  <c r="P330" i="2"/>
  <c r="O330" i="2"/>
  <c r="M330" i="2"/>
  <c r="L330" i="2"/>
  <c r="K330" i="2"/>
  <c r="I330" i="2"/>
  <c r="I336" i="2" s="1"/>
  <c r="H330" i="2"/>
  <c r="G330" i="2"/>
  <c r="E330" i="2"/>
  <c r="D330" i="2"/>
  <c r="C330" i="2"/>
  <c r="A330" i="2"/>
  <c r="AZ329" i="2"/>
  <c r="AY329" i="2"/>
  <c r="AX329" i="2"/>
  <c r="AW329" i="2"/>
  <c r="AV329" i="2"/>
  <c r="AU329" i="2"/>
  <c r="AT329" i="2"/>
  <c r="AS329" i="2"/>
  <c r="AR329" i="2"/>
  <c r="AQ329" i="2"/>
  <c r="AP329" i="2"/>
  <c r="AO329" i="2"/>
  <c r="AN329" i="2"/>
  <c r="AE329" i="2"/>
  <c r="AC329" i="2"/>
  <c r="AB329" i="2"/>
  <c r="AA329" i="2"/>
  <c r="Y329" i="2"/>
  <c r="X329" i="2"/>
  <c r="W329" i="2"/>
  <c r="U329" i="2"/>
  <c r="T329" i="2"/>
  <c r="S329" i="2"/>
  <c r="Q329" i="2"/>
  <c r="P329" i="2"/>
  <c r="O329" i="2"/>
  <c r="M329" i="2"/>
  <c r="L329" i="2"/>
  <c r="K329" i="2"/>
  <c r="I329" i="2"/>
  <c r="H329" i="2"/>
  <c r="G329" i="2"/>
  <c r="E329" i="2"/>
  <c r="D329" i="2"/>
  <c r="C329" i="2"/>
  <c r="A329" i="2"/>
  <c r="AZ328" i="2"/>
  <c r="AX328" i="2"/>
  <c r="AW328" i="2"/>
  <c r="AV328" i="2"/>
  <c r="AU328" i="2"/>
  <c r="AT328" i="2"/>
  <c r="AS328" i="2"/>
  <c r="AR328" i="2"/>
  <c r="AQ328" i="2"/>
  <c r="AP328" i="2"/>
  <c r="AO328" i="2"/>
  <c r="AN328" i="2"/>
  <c r="AE328" i="2"/>
  <c r="AY328" i="2" s="1"/>
  <c r="AC328" i="2"/>
  <c r="AB328" i="2"/>
  <c r="AA328" i="2"/>
  <c r="Y328" i="2"/>
  <c r="X328" i="2"/>
  <c r="W328" i="2"/>
  <c r="U328" i="2"/>
  <c r="T328" i="2"/>
  <c r="S328" i="2"/>
  <c r="R328" i="2"/>
  <c r="Q328" i="2"/>
  <c r="P328" i="2"/>
  <c r="O328" i="2"/>
  <c r="N328" i="2"/>
  <c r="M328" i="2"/>
  <c r="L328" i="2"/>
  <c r="K328" i="2"/>
  <c r="J328" i="2"/>
  <c r="I328" i="2"/>
  <c r="H328" i="2"/>
  <c r="G328" i="2"/>
  <c r="F328" i="2"/>
  <c r="E328" i="2"/>
  <c r="D328" i="2"/>
  <c r="C328" i="2"/>
  <c r="A328" i="2"/>
  <c r="AX327" i="2"/>
  <c r="AW327" i="2"/>
  <c r="AV327" i="2"/>
  <c r="AU327" i="2"/>
  <c r="AT327" i="2"/>
  <c r="AS327" i="2"/>
  <c r="AR327" i="2"/>
  <c r="AQ327" i="2"/>
  <c r="AP327" i="2"/>
  <c r="AO327" i="2"/>
  <c r="AN327" i="2"/>
  <c r="AE327" i="2"/>
  <c r="AC327" i="2"/>
  <c r="AB327" i="2"/>
  <c r="AA327" i="2"/>
  <c r="Y327" i="2"/>
  <c r="X327" i="2"/>
  <c r="W327" i="2"/>
  <c r="U327" i="2"/>
  <c r="T327" i="2"/>
  <c r="S327" i="2"/>
  <c r="S336" i="2" s="1"/>
  <c r="Q327" i="2"/>
  <c r="P327" i="2"/>
  <c r="O327" i="2"/>
  <c r="M327" i="2"/>
  <c r="L327" i="2"/>
  <c r="K327" i="2"/>
  <c r="I327" i="2"/>
  <c r="H327" i="2"/>
  <c r="G327" i="2"/>
  <c r="E327" i="2"/>
  <c r="D327" i="2"/>
  <c r="C327" i="2"/>
  <c r="A327" i="2"/>
  <c r="A326" i="2"/>
  <c r="AF323" i="2"/>
  <c r="C320" i="2"/>
  <c r="AL319" i="2"/>
  <c r="AH319" i="2"/>
  <c r="AD319" i="2"/>
  <c r="AD377" i="2" s="1"/>
  <c r="Z319" i="2"/>
  <c r="Z377" i="2" s="1"/>
  <c r="V319" i="2"/>
  <c r="R319" i="2"/>
  <c r="R377" i="2" s="1"/>
  <c r="N319" i="2"/>
  <c r="N377" i="2" s="1"/>
  <c r="J319" i="2"/>
  <c r="J377" i="2" s="1"/>
  <c r="J61" i="3" s="1"/>
  <c r="F319" i="2"/>
  <c r="F377" i="2" s="1"/>
  <c r="BC317" i="2"/>
  <c r="BB317" i="2"/>
  <c r="BB320" i="2" s="1"/>
  <c r="BA317" i="2"/>
  <c r="AZ317" i="2"/>
  <c r="AY317" i="2"/>
  <c r="AX317" i="2"/>
  <c r="AX320" i="2" s="1"/>
  <c r="AW317" i="2"/>
  <c r="AW320" i="2" s="1"/>
  <c r="AV317" i="2"/>
  <c r="AU317" i="2"/>
  <c r="AT317" i="2"/>
  <c r="AT320" i="2" s="1"/>
  <c r="AS317" i="2"/>
  <c r="AR317" i="2"/>
  <c r="AQ317" i="2"/>
  <c r="AP317" i="2"/>
  <c r="AP320" i="2" s="1"/>
  <c r="AO317" i="2"/>
  <c r="AO320" i="2" s="1"/>
  <c r="AN317" i="2"/>
  <c r="AK317" i="2"/>
  <c r="AK320" i="2" s="1"/>
  <c r="AJ317" i="2"/>
  <c r="AI317" i="2"/>
  <c r="AG317" i="2"/>
  <c r="AG320" i="2" s="1"/>
  <c r="AF317" i="2"/>
  <c r="AE317" i="2"/>
  <c r="AC317" i="2"/>
  <c r="AC320" i="2" s="1"/>
  <c r="AB317" i="2"/>
  <c r="AA317" i="2"/>
  <c r="Y317" i="2"/>
  <c r="Y320" i="2" s="1"/>
  <c r="X317" i="2"/>
  <c r="W317" i="2"/>
  <c r="U317" i="2"/>
  <c r="U320" i="2" s="1"/>
  <c r="T317" i="2"/>
  <c r="S317" i="2"/>
  <c r="Q317" i="2"/>
  <c r="Q320" i="2" s="1"/>
  <c r="P317" i="2"/>
  <c r="O317" i="2"/>
  <c r="M317" i="2"/>
  <c r="M320" i="2" s="1"/>
  <c r="L317" i="2"/>
  <c r="K317" i="2"/>
  <c r="I317" i="2"/>
  <c r="I320" i="2" s="1"/>
  <c r="H317" i="2"/>
  <c r="H320" i="2" s="1"/>
  <c r="G317" i="2"/>
  <c r="E317" i="2"/>
  <c r="E320" i="2" s="1"/>
  <c r="D317" i="2"/>
  <c r="C317" i="2"/>
  <c r="AL316" i="2"/>
  <c r="AH316" i="2"/>
  <c r="AD316" i="2"/>
  <c r="AD374" i="2" s="1"/>
  <c r="Z316" i="2"/>
  <c r="Z374" i="2" s="1"/>
  <c r="V316" i="2"/>
  <c r="V374" i="2" s="1"/>
  <c r="R316" i="2"/>
  <c r="R374" i="2" s="1"/>
  <c r="N316" i="2"/>
  <c r="N374" i="2" s="1"/>
  <c r="J316" i="2"/>
  <c r="J374" i="2" s="1"/>
  <c r="F316" i="2"/>
  <c r="F374" i="2" s="1"/>
  <c r="AL315" i="2"/>
  <c r="AH315" i="2"/>
  <c r="AD315" i="2"/>
  <c r="AD373" i="2" s="1"/>
  <c r="Z315" i="2"/>
  <c r="Z373" i="2" s="1"/>
  <c r="V315" i="2"/>
  <c r="V373" i="2" s="1"/>
  <c r="R315" i="2"/>
  <c r="R373" i="2" s="1"/>
  <c r="N315" i="2"/>
  <c r="N373" i="2" s="1"/>
  <c r="J315" i="2"/>
  <c r="J373" i="2" s="1"/>
  <c r="F315" i="2"/>
  <c r="F373" i="2" s="1"/>
  <c r="AL314" i="2"/>
  <c r="AH314" i="2"/>
  <c r="AD314" i="2"/>
  <c r="AD372" i="2" s="1"/>
  <c r="Z314" i="2"/>
  <c r="Z372" i="2" s="1"/>
  <c r="V314" i="2"/>
  <c r="V372" i="2" s="1"/>
  <c r="R314" i="2"/>
  <c r="R372" i="2" s="1"/>
  <c r="N314" i="2"/>
  <c r="N372" i="2" s="1"/>
  <c r="J314" i="2"/>
  <c r="J372" i="2" s="1"/>
  <c r="F314" i="2"/>
  <c r="F372" i="2" s="1"/>
  <c r="AL313" i="2"/>
  <c r="AH313" i="2"/>
  <c r="AD313" i="2"/>
  <c r="AD371" i="2" s="1"/>
  <c r="Z313" i="2"/>
  <c r="Z371" i="2" s="1"/>
  <c r="V313" i="2"/>
  <c r="V371" i="2" s="1"/>
  <c r="R313" i="2"/>
  <c r="R371" i="2" s="1"/>
  <c r="N313" i="2"/>
  <c r="N371" i="2" s="1"/>
  <c r="J313" i="2"/>
  <c r="J371" i="2" s="1"/>
  <c r="F313" i="2"/>
  <c r="F371" i="2" s="1"/>
  <c r="AL312" i="2"/>
  <c r="AH312" i="2"/>
  <c r="AD312" i="2"/>
  <c r="AD370" i="2" s="1"/>
  <c r="Z312" i="2"/>
  <c r="Z370" i="2" s="1"/>
  <c r="V312" i="2"/>
  <c r="V370" i="2" s="1"/>
  <c r="R312" i="2"/>
  <c r="R370" i="2" s="1"/>
  <c r="N312" i="2"/>
  <c r="N370" i="2" s="1"/>
  <c r="J312" i="2"/>
  <c r="J370" i="2" s="1"/>
  <c r="F312" i="2"/>
  <c r="F370" i="2" s="1"/>
  <c r="AL311" i="2"/>
  <c r="AH311" i="2"/>
  <c r="AD311" i="2"/>
  <c r="AD369" i="2" s="1"/>
  <c r="Z311" i="2"/>
  <c r="Z369" i="2" s="1"/>
  <c r="V311" i="2"/>
  <c r="V369" i="2" s="1"/>
  <c r="AL310" i="2"/>
  <c r="AH310" i="2"/>
  <c r="AD310" i="2"/>
  <c r="AD368" i="2" s="1"/>
  <c r="Z310" i="2"/>
  <c r="V310" i="2"/>
  <c r="V368" i="2" s="1"/>
  <c r="AL309" i="2"/>
  <c r="AH309" i="2"/>
  <c r="AD309" i="2"/>
  <c r="AD367" i="2" s="1"/>
  <c r="Z309" i="2"/>
  <c r="Z367" i="2" s="1"/>
  <c r="V309" i="2"/>
  <c r="V367" i="2" s="1"/>
  <c r="AL308" i="2"/>
  <c r="AH308" i="2"/>
  <c r="AD308" i="2"/>
  <c r="AD366" i="2" s="1"/>
  <c r="Z308" i="2"/>
  <c r="Z366" i="2" s="1"/>
  <c r="V308" i="2"/>
  <c r="V366" i="2" s="1"/>
  <c r="R308" i="2"/>
  <c r="R366" i="2" s="1"/>
  <c r="N308" i="2"/>
  <c r="N366" i="2" s="1"/>
  <c r="J308" i="2"/>
  <c r="J366" i="2" s="1"/>
  <c r="F308" i="2"/>
  <c r="F366" i="2" s="1"/>
  <c r="AL307" i="2"/>
  <c r="AH307" i="2"/>
  <c r="AD307" i="2"/>
  <c r="AD365" i="2" s="1"/>
  <c r="Z307" i="2"/>
  <c r="Z365" i="2" s="1"/>
  <c r="V307" i="2"/>
  <c r="V365" i="2" s="1"/>
  <c r="R307" i="2"/>
  <c r="R365" i="2" s="1"/>
  <c r="N307" i="2"/>
  <c r="J307" i="2"/>
  <c r="J365" i="2" s="1"/>
  <c r="F307" i="2"/>
  <c r="F365" i="2" s="1"/>
  <c r="AL306" i="2"/>
  <c r="AH306" i="2"/>
  <c r="AD306" i="2"/>
  <c r="AD364" i="2" s="1"/>
  <c r="Z306" i="2"/>
  <c r="Z364" i="2" s="1"/>
  <c r="V306" i="2"/>
  <c r="V364" i="2" s="1"/>
  <c r="R306" i="2"/>
  <c r="R364" i="2" s="1"/>
  <c r="N306" i="2"/>
  <c r="N364" i="2" s="1"/>
  <c r="J306" i="2"/>
  <c r="J364" i="2" s="1"/>
  <c r="F306" i="2"/>
  <c r="F364" i="2" s="1"/>
  <c r="AL305" i="2"/>
  <c r="AH305" i="2"/>
  <c r="AD305" i="2"/>
  <c r="AD363" i="2" s="1"/>
  <c r="Z305" i="2"/>
  <c r="Z363" i="2" s="1"/>
  <c r="V305" i="2"/>
  <c r="V363" i="2" s="1"/>
  <c r="AL304" i="2"/>
  <c r="AH304" i="2"/>
  <c r="AD304" i="2"/>
  <c r="AD362" i="2" s="1"/>
  <c r="Z304" i="2"/>
  <c r="Z362" i="2" s="1"/>
  <c r="V304" i="2"/>
  <c r="V362" i="2" s="1"/>
  <c r="R304" i="2"/>
  <c r="R362" i="2" s="1"/>
  <c r="N304" i="2"/>
  <c r="N362" i="2" s="1"/>
  <c r="J304" i="2"/>
  <c r="J362" i="2" s="1"/>
  <c r="F304" i="2"/>
  <c r="F362" i="2" s="1"/>
  <c r="AL303" i="2"/>
  <c r="AH303" i="2"/>
  <c r="AD303" i="2"/>
  <c r="AD361" i="2" s="1"/>
  <c r="Z303" i="2"/>
  <c r="Z361" i="2" s="1"/>
  <c r="V303" i="2"/>
  <c r="V361" i="2" s="1"/>
  <c r="R303" i="2"/>
  <c r="R361" i="2" s="1"/>
  <c r="N303" i="2"/>
  <c r="N361" i="2" s="1"/>
  <c r="J303" i="2"/>
  <c r="J361" i="2" s="1"/>
  <c r="AL302" i="2"/>
  <c r="AH302" i="2"/>
  <c r="AD302" i="2"/>
  <c r="Z302" i="2"/>
  <c r="Z360" i="2" s="1"/>
  <c r="V302" i="2"/>
  <c r="V317" i="2" s="1"/>
  <c r="R302" i="2"/>
  <c r="N302" i="2"/>
  <c r="N317" i="2" s="1"/>
  <c r="J302" i="2"/>
  <c r="J360" i="2" s="1"/>
  <c r="F302" i="2"/>
  <c r="BC299" i="2"/>
  <c r="BB299" i="2"/>
  <c r="BA299" i="2"/>
  <c r="AZ299" i="2"/>
  <c r="AY299" i="2"/>
  <c r="AX299" i="2"/>
  <c r="AW299" i="2"/>
  <c r="AV299" i="2"/>
  <c r="AU299" i="2"/>
  <c r="AT299" i="2"/>
  <c r="AS299" i="2"/>
  <c r="AR299" i="2"/>
  <c r="AQ299" i="2"/>
  <c r="AQ320" i="2" s="1"/>
  <c r="AP299" i="2"/>
  <c r="AO299" i="2"/>
  <c r="AN299" i="2"/>
  <c r="AK299" i="2"/>
  <c r="AJ299" i="2"/>
  <c r="AI299" i="2"/>
  <c r="AH299" i="2"/>
  <c r="AG299" i="2"/>
  <c r="AF299" i="2"/>
  <c r="AE299" i="2"/>
  <c r="AC299" i="2"/>
  <c r="AB299" i="2"/>
  <c r="AA299" i="2"/>
  <c r="Z299" i="2"/>
  <c r="Y299" i="2"/>
  <c r="X299" i="2"/>
  <c r="W299" i="2"/>
  <c r="U299" i="2"/>
  <c r="T299" i="2"/>
  <c r="S299" i="2"/>
  <c r="Q299" i="2"/>
  <c r="P299" i="2"/>
  <c r="O299" i="2"/>
  <c r="M299" i="2"/>
  <c r="L299" i="2"/>
  <c r="K299" i="2"/>
  <c r="J299" i="2"/>
  <c r="I299" i="2"/>
  <c r="H299" i="2"/>
  <c r="G299" i="2"/>
  <c r="E299" i="2"/>
  <c r="D299" i="2"/>
  <c r="C299" i="2"/>
  <c r="AL298" i="2"/>
  <c r="AH298" i="2"/>
  <c r="AD298" i="2"/>
  <c r="AD356" i="2" s="1"/>
  <c r="Z298" i="2"/>
  <c r="Z356" i="2" s="1"/>
  <c r="V298" i="2"/>
  <c r="V356" i="2" s="1"/>
  <c r="R298" i="2"/>
  <c r="R356" i="2" s="1"/>
  <c r="N298" i="2"/>
  <c r="N356" i="2" s="1"/>
  <c r="J298" i="2"/>
  <c r="J356" i="2" s="1"/>
  <c r="F298" i="2"/>
  <c r="F356" i="2" s="1"/>
  <c r="AL297" i="2"/>
  <c r="AH297" i="2"/>
  <c r="AD297" i="2"/>
  <c r="AD355" i="2" s="1"/>
  <c r="Z297" i="2"/>
  <c r="V297" i="2"/>
  <c r="V355" i="2" s="1"/>
  <c r="R297" i="2"/>
  <c r="N297" i="2"/>
  <c r="N355" i="2" s="1"/>
  <c r="J297" i="2"/>
  <c r="F297" i="2"/>
  <c r="F355" i="2" s="1"/>
  <c r="AL296" i="2"/>
  <c r="AH296" i="2"/>
  <c r="AD296" i="2"/>
  <c r="AD354" i="2" s="1"/>
  <c r="Z296" i="2"/>
  <c r="Z354" i="2" s="1"/>
  <c r="V296" i="2"/>
  <c r="V354" i="2" s="1"/>
  <c r="R296" i="2"/>
  <c r="R354" i="2" s="1"/>
  <c r="AL295" i="2"/>
  <c r="AH295" i="2"/>
  <c r="AD295" i="2"/>
  <c r="AD353" i="2" s="1"/>
  <c r="Z295" i="2"/>
  <c r="Z353" i="2" s="1"/>
  <c r="V295" i="2"/>
  <c r="V353" i="2" s="1"/>
  <c r="R295" i="2"/>
  <c r="R353" i="2" s="1"/>
  <c r="AL294" i="2"/>
  <c r="AH294" i="2"/>
  <c r="AD294" i="2"/>
  <c r="AD352" i="2" s="1"/>
  <c r="Z294" i="2"/>
  <c r="Z352" i="2" s="1"/>
  <c r="V294" i="2"/>
  <c r="V352" i="2" s="1"/>
  <c r="R294" i="2"/>
  <c r="R352" i="2" s="1"/>
  <c r="N294" i="2"/>
  <c r="N352" i="2" s="1"/>
  <c r="J294" i="2"/>
  <c r="J352" i="2" s="1"/>
  <c r="F294" i="2"/>
  <c r="F352" i="2" s="1"/>
  <c r="AL293" i="2"/>
  <c r="AH293" i="2"/>
  <c r="AD293" i="2"/>
  <c r="AD351" i="2" s="1"/>
  <c r="AL292" i="2"/>
  <c r="AH292" i="2"/>
  <c r="AD292" i="2"/>
  <c r="AD350" i="2" s="1"/>
  <c r="Z292" i="2"/>
  <c r="Z350" i="2" s="1"/>
  <c r="V292" i="2"/>
  <c r="V350" i="2" s="1"/>
  <c r="V212" i="2" s="1"/>
  <c r="R292" i="2"/>
  <c r="R350" i="2" s="1"/>
  <c r="N292" i="2"/>
  <c r="N350" i="2" s="1"/>
  <c r="J292" i="2"/>
  <c r="J350" i="2" s="1"/>
  <c r="F292" i="2"/>
  <c r="F350" i="2" s="1"/>
  <c r="AL291" i="2"/>
  <c r="AL299" i="2" s="1"/>
  <c r="AH291" i="2"/>
  <c r="AD291" i="2"/>
  <c r="AD349" i="2" s="1"/>
  <c r="Z291" i="2"/>
  <c r="V291" i="2"/>
  <c r="V349" i="2" s="1"/>
  <c r="R291" i="2"/>
  <c r="R299" i="2" s="1"/>
  <c r="N291" i="2"/>
  <c r="N349" i="2" s="1"/>
  <c r="J291" i="2"/>
  <c r="F291" i="2"/>
  <c r="F349" i="2" s="1"/>
  <c r="BB288" i="2"/>
  <c r="AY288" i="2"/>
  <c r="AX288" i="2"/>
  <c r="AT288" i="2"/>
  <c r="AQ288" i="2"/>
  <c r="AP288" i="2"/>
  <c r="AK288" i="2"/>
  <c r="AG288" i="2"/>
  <c r="AC288" i="2"/>
  <c r="Z288" i="2"/>
  <c r="Y288" i="2"/>
  <c r="U288" i="2"/>
  <c r="Q288" i="2"/>
  <c r="M288" i="2"/>
  <c r="I288" i="2"/>
  <c r="E288" i="2"/>
  <c r="AL287" i="2"/>
  <c r="AH287" i="2"/>
  <c r="AD287" i="2"/>
  <c r="AD345" i="2" s="1"/>
  <c r="Z287" i="2"/>
  <c r="Z345" i="2" s="1"/>
  <c r="V287" i="2"/>
  <c r="V345" i="2" s="1"/>
  <c r="R287" i="2"/>
  <c r="R345" i="2" s="1"/>
  <c r="N287" i="2"/>
  <c r="N345" i="2" s="1"/>
  <c r="J287" i="2"/>
  <c r="J345" i="2" s="1"/>
  <c r="F287" i="2"/>
  <c r="F345" i="2" s="1"/>
  <c r="AL286" i="2"/>
  <c r="AH286" i="2"/>
  <c r="AD286" i="2"/>
  <c r="AD344" i="2" s="1"/>
  <c r="Z286" i="2"/>
  <c r="Z344" i="2" s="1"/>
  <c r="V286" i="2"/>
  <c r="V344" i="2" s="1"/>
  <c r="R286" i="2"/>
  <c r="R344" i="2" s="1"/>
  <c r="N286" i="2"/>
  <c r="N344" i="2" s="1"/>
  <c r="J286" i="2"/>
  <c r="J344" i="2" s="1"/>
  <c r="F286" i="2"/>
  <c r="F344" i="2" s="1"/>
  <c r="AL285" i="2"/>
  <c r="AH285" i="2"/>
  <c r="AD285" i="2"/>
  <c r="AD343" i="2" s="1"/>
  <c r="Z285" i="2"/>
  <c r="V285" i="2"/>
  <c r="V343" i="2" s="1"/>
  <c r="R285" i="2"/>
  <c r="N285" i="2"/>
  <c r="N343" i="2" s="1"/>
  <c r="J285" i="2"/>
  <c r="F285" i="2"/>
  <c r="F343" i="2" s="1"/>
  <c r="AL284" i="2"/>
  <c r="AH284" i="2"/>
  <c r="AD284" i="2"/>
  <c r="AD342" i="2" s="1"/>
  <c r="Z284" i="2"/>
  <c r="Z342" i="2" s="1"/>
  <c r="V284" i="2"/>
  <c r="V342" i="2" s="1"/>
  <c r="R284" i="2"/>
  <c r="R342" i="2" s="1"/>
  <c r="N284" i="2"/>
  <c r="N342" i="2" s="1"/>
  <c r="J284" i="2"/>
  <c r="J342" i="2" s="1"/>
  <c r="F284" i="2"/>
  <c r="F342" i="2" s="1"/>
  <c r="AL283" i="2"/>
  <c r="AH283" i="2"/>
  <c r="AD283" i="2"/>
  <c r="AD341" i="2" s="1"/>
  <c r="Z283" i="2"/>
  <c r="V283" i="2"/>
  <c r="V341" i="2" s="1"/>
  <c r="R283" i="2"/>
  <c r="N283" i="2"/>
  <c r="N341" i="2" s="1"/>
  <c r="J283" i="2"/>
  <c r="F283" i="2"/>
  <c r="F341" i="2" s="1"/>
  <c r="AL282" i="2"/>
  <c r="AH282" i="2"/>
  <c r="AD282" i="2"/>
  <c r="AD340" i="2" s="1"/>
  <c r="Z282" i="2"/>
  <c r="Z340" i="2" s="1"/>
  <c r="V282" i="2"/>
  <c r="V340" i="2" s="1"/>
  <c r="R282" i="2"/>
  <c r="R340" i="2" s="1"/>
  <c r="N282" i="2"/>
  <c r="N340" i="2" s="1"/>
  <c r="J282" i="2"/>
  <c r="J340" i="2" s="1"/>
  <c r="F282" i="2"/>
  <c r="F340" i="2" s="1"/>
  <c r="AL281" i="2"/>
  <c r="AH281" i="2"/>
  <c r="AD281" i="2"/>
  <c r="AD339" i="2" s="1"/>
  <c r="Z281" i="2"/>
  <c r="Z339" i="2" s="1"/>
  <c r="V281" i="2"/>
  <c r="V339" i="2" s="1"/>
  <c r="R281" i="2"/>
  <c r="R339" i="2" s="1"/>
  <c r="N281" i="2"/>
  <c r="N339" i="2" s="1"/>
  <c r="J281" i="2"/>
  <c r="J339" i="2" s="1"/>
  <c r="F281" i="2"/>
  <c r="F339" i="2" s="1"/>
  <c r="AL280" i="2"/>
  <c r="AH280" i="2"/>
  <c r="AD280" i="2"/>
  <c r="AD338" i="2" s="1"/>
  <c r="Z280" i="2"/>
  <c r="Z338" i="2" s="1"/>
  <c r="V280" i="2"/>
  <c r="V338" i="2" s="1"/>
  <c r="AL279" i="2"/>
  <c r="AH279" i="2"/>
  <c r="AD279" i="2"/>
  <c r="AD337" i="2" s="1"/>
  <c r="Z279" i="2"/>
  <c r="Z337" i="2" s="1"/>
  <c r="Z58" i="3" s="1"/>
  <c r="V279" i="2"/>
  <c r="V337" i="2" s="1"/>
  <c r="R279" i="2"/>
  <c r="R337" i="2" s="1"/>
  <c r="N279" i="2"/>
  <c r="N337" i="2" s="1"/>
  <c r="J279" i="2"/>
  <c r="J337" i="2" s="1"/>
  <c r="F279" i="2"/>
  <c r="F337" i="2" s="1"/>
  <c r="BC278" i="2"/>
  <c r="BC288" i="2" s="1"/>
  <c r="BB278" i="2"/>
  <c r="BA278" i="2"/>
  <c r="BA288" i="2" s="1"/>
  <c r="AZ278" i="2"/>
  <c r="AZ288" i="2" s="1"/>
  <c r="AZ320" i="2" s="1"/>
  <c r="AY278" i="2"/>
  <c r="AX278" i="2"/>
  <c r="AW278" i="2"/>
  <c r="AW288" i="2" s="1"/>
  <c r="AV278" i="2"/>
  <c r="AV288" i="2" s="1"/>
  <c r="AU278" i="2"/>
  <c r="AU288" i="2" s="1"/>
  <c r="AT278" i="2"/>
  <c r="AS278" i="2"/>
  <c r="AS288" i="2" s="1"/>
  <c r="AR278" i="2"/>
  <c r="AR288" i="2" s="1"/>
  <c r="AR320" i="2" s="1"/>
  <c r="AQ278" i="2"/>
  <c r="AP278" i="2"/>
  <c r="AO278" i="2"/>
  <c r="AO288" i="2" s="1"/>
  <c r="AN278" i="2"/>
  <c r="AN288" i="2" s="1"/>
  <c r="AK278" i="2"/>
  <c r="AJ278" i="2"/>
  <c r="AJ288" i="2" s="1"/>
  <c r="AI278" i="2"/>
  <c r="AI288" i="2" s="1"/>
  <c r="AI320" i="2" s="1"/>
  <c r="AG278" i="2"/>
  <c r="AF278" i="2"/>
  <c r="AF288" i="2" s="1"/>
  <c r="AE278" i="2"/>
  <c r="AE288" i="2" s="1"/>
  <c r="AC278" i="2"/>
  <c r="AB278" i="2"/>
  <c r="AB288" i="2" s="1"/>
  <c r="AA278" i="2"/>
  <c r="AA288" i="2" s="1"/>
  <c r="AA320" i="2" s="1"/>
  <c r="Z278" i="2"/>
  <c r="Y278" i="2"/>
  <c r="X278" i="2"/>
  <c r="X288" i="2" s="1"/>
  <c r="W278" i="2"/>
  <c r="W288" i="2" s="1"/>
  <c r="U278" i="2"/>
  <c r="T278" i="2"/>
  <c r="T288" i="2" s="1"/>
  <c r="S278" i="2"/>
  <c r="S288" i="2" s="1"/>
  <c r="S320" i="2" s="1"/>
  <c r="Q278" i="2"/>
  <c r="P278" i="2"/>
  <c r="P288" i="2" s="1"/>
  <c r="O278" i="2"/>
  <c r="O288" i="2" s="1"/>
  <c r="M278" i="2"/>
  <c r="L278" i="2"/>
  <c r="L288" i="2" s="1"/>
  <c r="K278" i="2"/>
  <c r="K288" i="2" s="1"/>
  <c r="K320" i="2" s="1"/>
  <c r="I278" i="2"/>
  <c r="H278" i="2"/>
  <c r="H288" i="2" s="1"/>
  <c r="G278" i="2"/>
  <c r="G288" i="2" s="1"/>
  <c r="E278" i="2"/>
  <c r="D278" i="2"/>
  <c r="D288" i="2" s="1"/>
  <c r="C278" i="2"/>
  <c r="C288" i="2" s="1"/>
  <c r="AL277" i="2"/>
  <c r="AH277" i="2"/>
  <c r="AD277" i="2"/>
  <c r="Z277" i="2"/>
  <c r="Z335" i="2" s="1"/>
  <c r="V277" i="2"/>
  <c r="R277" i="2"/>
  <c r="R335" i="2" s="1"/>
  <c r="N277" i="2"/>
  <c r="J277" i="2"/>
  <c r="J335" i="2" s="1"/>
  <c r="F277" i="2"/>
  <c r="AL276" i="2"/>
  <c r="AH276" i="2"/>
  <c r="AD276" i="2"/>
  <c r="AD334" i="2" s="1"/>
  <c r="Z276" i="2"/>
  <c r="Z334" i="2" s="1"/>
  <c r="V276" i="2"/>
  <c r="V334" i="2" s="1"/>
  <c r="R276" i="2"/>
  <c r="R334" i="2" s="1"/>
  <c r="N276" i="2"/>
  <c r="N334" i="2" s="1"/>
  <c r="J276" i="2"/>
  <c r="J334" i="2" s="1"/>
  <c r="F276" i="2"/>
  <c r="F334" i="2" s="1"/>
  <c r="AL275" i="2"/>
  <c r="AH275" i="2"/>
  <c r="AD275" i="2"/>
  <c r="AD333" i="2" s="1"/>
  <c r="Z275" i="2"/>
  <c r="Z333" i="2" s="1"/>
  <c r="V275" i="2"/>
  <c r="V333" i="2" s="1"/>
  <c r="R275" i="2"/>
  <c r="N275" i="2"/>
  <c r="N333" i="2" s="1"/>
  <c r="J275" i="2"/>
  <c r="J333" i="2" s="1"/>
  <c r="F275" i="2"/>
  <c r="F333" i="2" s="1"/>
  <c r="AL274" i="2"/>
  <c r="AH274" i="2"/>
  <c r="AD274" i="2"/>
  <c r="AD332" i="2" s="1"/>
  <c r="AL273" i="2"/>
  <c r="AH273" i="2"/>
  <c r="AD273" i="2"/>
  <c r="Z273" i="2"/>
  <c r="Z331" i="2" s="1"/>
  <c r="V273" i="2"/>
  <c r="R273" i="2"/>
  <c r="R331" i="2" s="1"/>
  <c r="N273" i="2"/>
  <c r="J273" i="2"/>
  <c r="J331" i="2" s="1"/>
  <c r="F273" i="2"/>
  <c r="AL272" i="2"/>
  <c r="AH272" i="2"/>
  <c r="AD272" i="2"/>
  <c r="AD330" i="2" s="1"/>
  <c r="Z272" i="2"/>
  <c r="Z330" i="2" s="1"/>
  <c r="V272" i="2"/>
  <c r="V330" i="2" s="1"/>
  <c r="R272" i="2"/>
  <c r="R330" i="2" s="1"/>
  <c r="N272" i="2"/>
  <c r="N330" i="2" s="1"/>
  <c r="J272" i="2"/>
  <c r="J330" i="2" s="1"/>
  <c r="F272" i="2"/>
  <c r="F330" i="2" s="1"/>
  <c r="AL271" i="2"/>
  <c r="AH271" i="2"/>
  <c r="AD271" i="2"/>
  <c r="AD329" i="2" s="1"/>
  <c r="Z271" i="2"/>
  <c r="Z329" i="2" s="1"/>
  <c r="V271" i="2"/>
  <c r="V329" i="2" s="1"/>
  <c r="R271" i="2"/>
  <c r="R329" i="2" s="1"/>
  <c r="N271" i="2"/>
  <c r="N329" i="2" s="1"/>
  <c r="J271" i="2"/>
  <c r="F271" i="2"/>
  <c r="F329" i="2" s="1"/>
  <c r="AL270" i="2"/>
  <c r="AH270" i="2"/>
  <c r="AD270" i="2"/>
  <c r="AD328" i="2" s="1"/>
  <c r="Z270" i="2"/>
  <c r="Z328" i="2" s="1"/>
  <c r="V270" i="2"/>
  <c r="V328" i="2" s="1"/>
  <c r="AL269" i="2"/>
  <c r="AL278" i="2" s="1"/>
  <c r="AL288" i="2" s="1"/>
  <c r="AH269" i="2"/>
  <c r="AH278" i="2" s="1"/>
  <c r="AH288" i="2" s="1"/>
  <c r="AD269" i="2"/>
  <c r="AD278" i="2" s="1"/>
  <c r="AD288" i="2" s="1"/>
  <c r="Z269" i="2"/>
  <c r="Z327" i="2" s="1"/>
  <c r="V269" i="2"/>
  <c r="V278" i="2" s="1"/>
  <c r="R269" i="2"/>
  <c r="R327" i="2" s="1"/>
  <c r="N269" i="2"/>
  <c r="N278" i="2" s="1"/>
  <c r="N288" i="2" s="1"/>
  <c r="J269" i="2"/>
  <c r="J327" i="2" s="1"/>
  <c r="F269" i="2"/>
  <c r="F278" i="2" s="1"/>
  <c r="F288" i="2" s="1"/>
  <c r="AY264" i="2"/>
  <c r="AX264" i="2"/>
  <c r="AW264" i="2"/>
  <c r="AV264" i="2"/>
  <c r="AU264" i="2"/>
  <c r="AT264" i="2"/>
  <c r="AS264" i="2"/>
  <c r="AR264" i="2"/>
  <c r="AQ264" i="2"/>
  <c r="AP264" i="2"/>
  <c r="AO264" i="2"/>
  <c r="AN264" i="2"/>
  <c r="AI264" i="2"/>
  <c r="AH264" i="2"/>
  <c r="AG264" i="2"/>
  <c r="AF264" i="2"/>
  <c r="AE264" i="2"/>
  <c r="AD264" i="2"/>
  <c r="AC264" i="2"/>
  <c r="AB264" i="2"/>
  <c r="AA264" i="2"/>
  <c r="Z264" i="2"/>
  <c r="Y264" i="2"/>
  <c r="X264" i="2"/>
  <c r="W264" i="2"/>
  <c r="V264" i="2"/>
  <c r="U264" i="2"/>
  <c r="T264" i="2"/>
  <c r="S264" i="2"/>
  <c r="R264" i="2"/>
  <c r="Q264" i="2"/>
  <c r="P264" i="2"/>
  <c r="O264" i="2"/>
  <c r="N264" i="2"/>
  <c r="M264" i="2"/>
  <c r="L264" i="2"/>
  <c r="K264" i="2"/>
  <c r="J264" i="2"/>
  <c r="I264" i="2"/>
  <c r="H264" i="2"/>
  <c r="G264" i="2"/>
  <c r="F264" i="2"/>
  <c r="E264" i="2"/>
  <c r="D264" i="2"/>
  <c r="C264" i="2"/>
  <c r="BC263" i="2"/>
  <c r="BB263" i="2"/>
  <c r="BA263" i="2"/>
  <c r="AZ263" i="2"/>
  <c r="AY263" i="2"/>
  <c r="AY10" i="3" s="1"/>
  <c r="AX263" i="2"/>
  <c r="AX10" i="3" s="1"/>
  <c r="AW263" i="2"/>
  <c r="AW10" i="3" s="1"/>
  <c r="AV263" i="2"/>
  <c r="AV10" i="3" s="1"/>
  <c r="AU263" i="2"/>
  <c r="AT263" i="2"/>
  <c r="AS263" i="2"/>
  <c r="AS10" i="3" s="1"/>
  <c r="AR263" i="2"/>
  <c r="AR10" i="3" s="1"/>
  <c r="AQ263" i="2"/>
  <c r="AQ10" i="3" s="1"/>
  <c r="AP263" i="2"/>
  <c r="AP10" i="3" s="1"/>
  <c r="AO263" i="2"/>
  <c r="AO10" i="3" s="1"/>
  <c r="AN263" i="2"/>
  <c r="AN10" i="3" s="1"/>
  <c r="AL263" i="2"/>
  <c r="AK263" i="2"/>
  <c r="AJ263" i="2"/>
  <c r="AI263" i="2"/>
  <c r="AI10" i="3" s="1"/>
  <c r="AH263" i="2"/>
  <c r="AH10" i="3" s="1"/>
  <c r="AG263" i="2"/>
  <c r="AG10" i="3" s="1"/>
  <c r="AF263" i="2"/>
  <c r="AF10" i="3" s="1"/>
  <c r="AE263" i="2"/>
  <c r="AE10" i="3" s="1"/>
  <c r="AD263" i="2"/>
  <c r="AC263" i="2"/>
  <c r="AC10" i="3" s="1"/>
  <c r="AB263" i="2"/>
  <c r="AB10" i="3" s="1"/>
  <c r="AA263" i="2"/>
  <c r="AA10" i="3" s="1"/>
  <c r="Z263" i="2"/>
  <c r="Z10" i="3" s="1"/>
  <c r="Y263" i="2"/>
  <c r="Y10" i="3" s="1"/>
  <c r="X263" i="2"/>
  <c r="X10" i="3" s="1"/>
  <c r="W263" i="2"/>
  <c r="W10" i="3" s="1"/>
  <c r="V263" i="2"/>
  <c r="U263" i="2"/>
  <c r="U10" i="3" s="1"/>
  <c r="T263" i="2"/>
  <c r="T10" i="3" s="1"/>
  <c r="S263" i="2"/>
  <c r="S10" i="3" s="1"/>
  <c r="R263" i="2"/>
  <c r="R10" i="3" s="1"/>
  <c r="Q263" i="2"/>
  <c r="Q10" i="3" s="1"/>
  <c r="P263" i="2"/>
  <c r="P10" i="3" s="1"/>
  <c r="O263" i="2"/>
  <c r="O10" i="3" s="1"/>
  <c r="N263" i="2"/>
  <c r="M263" i="2"/>
  <c r="M10" i="3" s="1"/>
  <c r="L263" i="2"/>
  <c r="L10" i="3" s="1"/>
  <c r="K263" i="2"/>
  <c r="K10" i="3" s="1"/>
  <c r="J263" i="2"/>
  <c r="J10" i="3" s="1"/>
  <c r="I263" i="2"/>
  <c r="I10" i="3" s="1"/>
  <c r="H263" i="2"/>
  <c r="H10" i="3" s="1"/>
  <c r="G263" i="2"/>
  <c r="G10" i="3" s="1"/>
  <c r="F263" i="2"/>
  <c r="E263" i="2"/>
  <c r="E10" i="3" s="1"/>
  <c r="D263" i="2"/>
  <c r="D10" i="3" s="1"/>
  <c r="C263" i="2"/>
  <c r="C10" i="3" s="1"/>
  <c r="BC258" i="2"/>
  <c r="BB258" i="2"/>
  <c r="BA258" i="2"/>
  <c r="AZ258" i="2"/>
  <c r="AY258" i="2"/>
  <c r="AL258" i="2"/>
  <c r="AK258" i="2"/>
  <c r="AJ258" i="2"/>
  <c r="AI258" i="2"/>
  <c r="AH258" i="2"/>
  <c r="AG258" i="2"/>
  <c r="BC257" i="2"/>
  <c r="BB257" i="2"/>
  <c r="BA257" i="2"/>
  <c r="AZ257" i="2"/>
  <c r="AY257" i="2"/>
  <c r="AL257" i="2"/>
  <c r="AK257" i="2"/>
  <c r="AJ257" i="2"/>
  <c r="AI257" i="2"/>
  <c r="AH257" i="2"/>
  <c r="AG257" i="2"/>
  <c r="BC256" i="2"/>
  <c r="BB256" i="2"/>
  <c r="BA256" i="2"/>
  <c r="AZ256" i="2"/>
  <c r="AY256" i="2"/>
  <c r="AL256" i="2"/>
  <c r="AK256" i="2"/>
  <c r="AJ256" i="2"/>
  <c r="AI256" i="2"/>
  <c r="AH256" i="2"/>
  <c r="AG256" i="2"/>
  <c r="A254" i="2"/>
  <c r="A253" i="2"/>
  <c r="A252" i="2"/>
  <c r="A251" i="2"/>
  <c r="A488" i="2" s="1"/>
  <c r="A250" i="2"/>
  <c r="A489" i="2" s="1"/>
  <c r="A248" i="2"/>
  <c r="A247" i="2"/>
  <c r="BC237" i="2"/>
  <c r="BB237" i="2"/>
  <c r="BA237" i="2"/>
  <c r="AV237" i="2"/>
  <c r="AU237" i="2"/>
  <c r="AL237" i="2"/>
  <c r="AK237" i="2"/>
  <c r="AJ237" i="2"/>
  <c r="AI237" i="2"/>
  <c r="AH237" i="2"/>
  <c r="AG237" i="2"/>
  <c r="AX236" i="2"/>
  <c r="AW236" i="2"/>
  <c r="AV236" i="2"/>
  <c r="AU236" i="2"/>
  <c r="AT236" i="2"/>
  <c r="AS236" i="2"/>
  <c r="AS237" i="2" s="1"/>
  <c r="AR236" i="2"/>
  <c r="AQ236" i="2"/>
  <c r="AQ237" i="2" s="1"/>
  <c r="AP236" i="2"/>
  <c r="AP237" i="2" s="1"/>
  <c r="AO236" i="2"/>
  <c r="AN236" i="2"/>
  <c r="BC235" i="2"/>
  <c r="BB235" i="2"/>
  <c r="BA235" i="2"/>
  <c r="AL235" i="2"/>
  <c r="AK235" i="2"/>
  <c r="AJ235" i="2"/>
  <c r="AI235" i="2"/>
  <c r="AH235" i="2"/>
  <c r="AG235" i="2"/>
  <c r="AR234" i="2"/>
  <c r="T234" i="2"/>
  <c r="AX232" i="2"/>
  <c r="AF232" i="2"/>
  <c r="AE232" i="2"/>
  <c r="I232" i="2"/>
  <c r="H232" i="2"/>
  <c r="BC231" i="2"/>
  <c r="BC9" i="3" s="1"/>
  <c r="BB231" i="2"/>
  <c r="BB9" i="3" s="1"/>
  <c r="BA231" i="2"/>
  <c r="BA9" i="3" s="1"/>
  <c r="AZ231" i="2"/>
  <c r="AZ9" i="3" s="1"/>
  <c r="AY231" i="2"/>
  <c r="AY9" i="3" s="1"/>
  <c r="AX231" i="2"/>
  <c r="AX9" i="3" s="1"/>
  <c r="AW231" i="2"/>
  <c r="AW9" i="3" s="1"/>
  <c r="AV231" i="2"/>
  <c r="AV9" i="3" s="1"/>
  <c r="AU231" i="2"/>
  <c r="AU9" i="3" s="1"/>
  <c r="AT231" i="2"/>
  <c r="AT9" i="3" s="1"/>
  <c r="AS231" i="2"/>
  <c r="AS9" i="3" s="1"/>
  <c r="AR231" i="2"/>
  <c r="AR9" i="3" s="1"/>
  <c r="AQ231" i="2"/>
  <c r="AQ9" i="3" s="1"/>
  <c r="AP231" i="2"/>
  <c r="AP9" i="3" s="1"/>
  <c r="AO231" i="2"/>
  <c r="AO9" i="3" s="1"/>
  <c r="AN231" i="2"/>
  <c r="AN9" i="3" s="1"/>
  <c r="AL231" i="2"/>
  <c r="AL9" i="3" s="1"/>
  <c r="AK231" i="2"/>
  <c r="AK9" i="3" s="1"/>
  <c r="AJ231" i="2"/>
  <c r="AJ9" i="3" s="1"/>
  <c r="AI231" i="2"/>
  <c r="AI9" i="3" s="1"/>
  <c r="AH231" i="2"/>
  <c r="AH9" i="3" s="1"/>
  <c r="AG231" i="2"/>
  <c r="AG9" i="3" s="1"/>
  <c r="AF231" i="2"/>
  <c r="AF9" i="3" s="1"/>
  <c r="AE231" i="2"/>
  <c r="AE9" i="3" s="1"/>
  <c r="AD231" i="2"/>
  <c r="AD9" i="3" s="1"/>
  <c r="AC231" i="2"/>
  <c r="AC9" i="3" s="1"/>
  <c r="AB231" i="2"/>
  <c r="AB9" i="3" s="1"/>
  <c r="AA231" i="2"/>
  <c r="AA9" i="3" s="1"/>
  <c r="Z231" i="2"/>
  <c r="Z9" i="3" s="1"/>
  <c r="Y231" i="2"/>
  <c r="Y9" i="3" s="1"/>
  <c r="X231" i="2"/>
  <c r="X9" i="3" s="1"/>
  <c r="W231" i="2"/>
  <c r="W9" i="3" s="1"/>
  <c r="V231" i="2"/>
  <c r="V9" i="3" s="1"/>
  <c r="U231" i="2"/>
  <c r="U9" i="3" s="1"/>
  <c r="T231" i="2"/>
  <c r="T9" i="3" s="1"/>
  <c r="S231" i="2"/>
  <c r="S9" i="3" s="1"/>
  <c r="R231" i="2"/>
  <c r="R9" i="3" s="1"/>
  <c r="Q231" i="2"/>
  <c r="Q9" i="3" s="1"/>
  <c r="P231" i="2"/>
  <c r="P9" i="3" s="1"/>
  <c r="O231" i="2"/>
  <c r="O9" i="3" s="1"/>
  <c r="N231" i="2"/>
  <c r="N9" i="3" s="1"/>
  <c r="M231" i="2"/>
  <c r="M9" i="3" s="1"/>
  <c r="L231" i="2"/>
  <c r="L9" i="3" s="1"/>
  <c r="K231" i="2"/>
  <c r="K9" i="3" s="1"/>
  <c r="J231" i="2"/>
  <c r="J9" i="3" s="1"/>
  <c r="I231" i="2"/>
  <c r="I9" i="3" s="1"/>
  <c r="H231" i="2"/>
  <c r="H9" i="3" s="1"/>
  <c r="G231" i="2"/>
  <c r="G9" i="3" s="1"/>
  <c r="F231" i="2"/>
  <c r="F9" i="3" s="1"/>
  <c r="E231" i="2"/>
  <c r="E9" i="3" s="1"/>
  <c r="D231" i="2"/>
  <c r="D9" i="3" s="1"/>
  <c r="C231" i="2"/>
  <c r="C9" i="3" s="1"/>
  <c r="AX230" i="2"/>
  <c r="AW230" i="2"/>
  <c r="AV230" i="2"/>
  <c r="AU230" i="2"/>
  <c r="AT230" i="2"/>
  <c r="AS230" i="2"/>
  <c r="AR230" i="2"/>
  <c r="AQ230" i="2"/>
  <c r="AP230" i="2"/>
  <c r="AO230" i="2"/>
  <c r="AN230" i="2"/>
  <c r="AF230" i="2"/>
  <c r="AE230" i="2"/>
  <c r="AD230" i="2"/>
  <c r="AC230" i="2"/>
  <c r="AB230" i="2"/>
  <c r="AA230" i="2"/>
  <c r="Z230" i="2"/>
  <c r="Y230" i="2"/>
  <c r="X230" i="2"/>
  <c r="W230" i="2"/>
  <c r="V230" i="2"/>
  <c r="U230" i="2"/>
  <c r="T230" i="2"/>
  <c r="S230" i="2"/>
  <c r="R230" i="2"/>
  <c r="Q230" i="2"/>
  <c r="Q232" i="2" s="1"/>
  <c r="P230" i="2"/>
  <c r="P232" i="2" s="1"/>
  <c r="O230" i="2"/>
  <c r="O232" i="2" s="1"/>
  <c r="N230" i="2"/>
  <c r="M230" i="2"/>
  <c r="L230" i="2"/>
  <c r="K230" i="2"/>
  <c r="J230" i="2"/>
  <c r="I230" i="2"/>
  <c r="H230" i="2"/>
  <c r="G230" i="2"/>
  <c r="F230" i="2"/>
  <c r="E230" i="2"/>
  <c r="D230" i="2"/>
  <c r="C230" i="2"/>
  <c r="AX229" i="2"/>
  <c r="AW229" i="2"/>
  <c r="AV229" i="2"/>
  <c r="AU229" i="2"/>
  <c r="AT229" i="2"/>
  <c r="AS229" i="2"/>
  <c r="AR229" i="2"/>
  <c r="AQ229" i="2"/>
  <c r="AP229" i="2"/>
  <c r="AO229" i="2"/>
  <c r="AN229" i="2"/>
  <c r="AF229" i="2"/>
  <c r="AG229" i="2" s="1"/>
  <c r="AE229" i="2"/>
  <c r="AD229" i="2"/>
  <c r="AC229" i="2"/>
  <c r="AB229" i="2"/>
  <c r="AA229" i="2"/>
  <c r="Z229" i="2"/>
  <c r="Y229" i="2"/>
  <c r="X229" i="2"/>
  <c r="W229" i="2"/>
  <c r="V229" i="2"/>
  <c r="U229" i="2"/>
  <c r="T229" i="2"/>
  <c r="S229" i="2"/>
  <c r="R229" i="2"/>
  <c r="Q229" i="2"/>
  <c r="P229" i="2"/>
  <c r="O229" i="2"/>
  <c r="N229" i="2"/>
  <c r="M229" i="2"/>
  <c r="L229" i="2"/>
  <c r="K229" i="2"/>
  <c r="J229" i="2"/>
  <c r="I229" i="2"/>
  <c r="H229" i="2"/>
  <c r="G229" i="2"/>
  <c r="F229" i="2"/>
  <c r="E229" i="2"/>
  <c r="D229" i="2"/>
  <c r="C229" i="2"/>
  <c r="AX228" i="2"/>
  <c r="AW228" i="2"/>
  <c r="AV228" i="2"/>
  <c r="AU228" i="2"/>
  <c r="AT228" i="2"/>
  <c r="AS228" i="2"/>
  <c r="AR228" i="2"/>
  <c r="AQ228" i="2"/>
  <c r="AP228" i="2"/>
  <c r="AO228" i="2"/>
  <c r="AN228" i="2"/>
  <c r="AF228" i="2"/>
  <c r="AE228" i="2"/>
  <c r="AD228" i="2"/>
  <c r="AC228" i="2"/>
  <c r="AB228" i="2"/>
  <c r="AA228" i="2"/>
  <c r="Z228" i="2"/>
  <c r="Y228" i="2"/>
  <c r="X228" i="2"/>
  <c r="W228" i="2"/>
  <c r="V228" i="2"/>
  <c r="U228" i="2"/>
  <c r="T228" i="2"/>
  <c r="S228" i="2"/>
  <c r="R228" i="2"/>
  <c r="Q228" i="2"/>
  <c r="P228" i="2"/>
  <c r="O228" i="2"/>
  <c r="N228" i="2"/>
  <c r="M228" i="2"/>
  <c r="L228" i="2"/>
  <c r="K228" i="2"/>
  <c r="J228" i="2"/>
  <c r="I228" i="2"/>
  <c r="H228" i="2"/>
  <c r="G228" i="2"/>
  <c r="F228" i="2"/>
  <c r="E228" i="2"/>
  <c r="D228" i="2"/>
  <c r="C228" i="2"/>
  <c r="AX227" i="2"/>
  <c r="AW227" i="2"/>
  <c r="AV227" i="2"/>
  <c r="AU227" i="2"/>
  <c r="AT227" i="2"/>
  <c r="AS227" i="2"/>
  <c r="AR227" i="2"/>
  <c r="AQ227" i="2"/>
  <c r="AP227" i="2"/>
  <c r="AO227" i="2"/>
  <c r="AN227" i="2"/>
  <c r="AO237" i="2" s="1"/>
  <c r="AF227" i="2"/>
  <c r="AE227" i="2"/>
  <c r="AD227" i="2"/>
  <c r="AC227" i="2"/>
  <c r="AB227" i="2"/>
  <c r="AA227" i="2"/>
  <c r="Z227" i="2"/>
  <c r="Y227" i="2"/>
  <c r="X227" i="2"/>
  <c r="W227" i="2"/>
  <c r="AW237" i="2" s="1"/>
  <c r="V227" i="2"/>
  <c r="U227" i="2"/>
  <c r="T227" i="2"/>
  <c r="S227" i="2"/>
  <c r="R227" i="2"/>
  <c r="Q227" i="2"/>
  <c r="P227" i="2"/>
  <c r="O227" i="2"/>
  <c r="N227" i="2"/>
  <c r="M227" i="2"/>
  <c r="L227" i="2"/>
  <c r="K227" i="2"/>
  <c r="J227" i="2"/>
  <c r="I227" i="2"/>
  <c r="H227" i="2"/>
  <c r="G227" i="2"/>
  <c r="F227" i="2"/>
  <c r="E227" i="2"/>
  <c r="D227" i="2"/>
  <c r="C227" i="2"/>
  <c r="S221" i="2"/>
  <c r="BC219" i="2"/>
  <c r="BB219" i="2"/>
  <c r="BA219" i="2"/>
  <c r="AY219" i="2"/>
  <c r="AL219" i="2"/>
  <c r="AK219" i="2"/>
  <c r="AJ219" i="2"/>
  <c r="AI219" i="2"/>
  <c r="AH219" i="2"/>
  <c r="AG219" i="2"/>
  <c r="BC218" i="2"/>
  <c r="BB218" i="2"/>
  <c r="BA218" i="2"/>
  <c r="AX218" i="2"/>
  <c r="AX59" i="3" s="1"/>
  <c r="AW218" i="2"/>
  <c r="AW59" i="3" s="1"/>
  <c r="AV218" i="2"/>
  <c r="AV59" i="3" s="1"/>
  <c r="AU218" i="2"/>
  <c r="AU59" i="3" s="1"/>
  <c r="AT218" i="2"/>
  <c r="AT59" i="3" s="1"/>
  <c r="AS218" i="2"/>
  <c r="AS59" i="3" s="1"/>
  <c r="AR218" i="2"/>
  <c r="AR59" i="3" s="1"/>
  <c r="AQ218" i="2"/>
  <c r="AQ59" i="3" s="1"/>
  <c r="AP218" i="2"/>
  <c r="AP59" i="3" s="1"/>
  <c r="AO218" i="2"/>
  <c r="AO59" i="3" s="1"/>
  <c r="AN218" i="2"/>
  <c r="AN59" i="3" s="1"/>
  <c r="AL218" i="2"/>
  <c r="AK218" i="2"/>
  <c r="AJ218" i="2"/>
  <c r="AI218" i="2"/>
  <c r="AH218" i="2"/>
  <c r="AG218" i="2"/>
  <c r="AE218" i="2"/>
  <c r="AE59" i="3" s="1"/>
  <c r="AD218" i="2"/>
  <c r="AD59" i="3" s="1"/>
  <c r="AC218" i="2"/>
  <c r="AC59" i="3" s="1"/>
  <c r="AB218" i="2"/>
  <c r="AB59" i="3" s="1"/>
  <c r="AA218" i="2"/>
  <c r="AA59" i="3" s="1"/>
  <c r="Z218" i="2"/>
  <c r="Z59" i="3" s="1"/>
  <c r="Y218" i="2"/>
  <c r="Y59" i="3" s="1"/>
  <c r="X218" i="2"/>
  <c r="X59" i="3" s="1"/>
  <c r="W218" i="2"/>
  <c r="W59" i="3" s="1"/>
  <c r="V218" i="2"/>
  <c r="V59" i="3" s="1"/>
  <c r="U218" i="2"/>
  <c r="U59" i="3" s="1"/>
  <c r="T218" i="2"/>
  <c r="T59" i="3" s="1"/>
  <c r="S218" i="2"/>
  <c r="S59" i="3" s="1"/>
  <c r="R218" i="2"/>
  <c r="R59" i="3" s="1"/>
  <c r="Q218" i="2"/>
  <c r="Q59" i="3" s="1"/>
  <c r="P218" i="2"/>
  <c r="P59" i="3" s="1"/>
  <c r="O218" i="2"/>
  <c r="O59" i="3" s="1"/>
  <c r="N218" i="2"/>
  <c r="N59" i="3" s="1"/>
  <c r="M218" i="2"/>
  <c r="M59" i="3" s="1"/>
  <c r="L218" i="2"/>
  <c r="L59" i="3" s="1"/>
  <c r="K218" i="2"/>
  <c r="K59" i="3" s="1"/>
  <c r="J218" i="2"/>
  <c r="J59" i="3" s="1"/>
  <c r="I218" i="2"/>
  <c r="I59" i="3" s="1"/>
  <c r="H218" i="2"/>
  <c r="H59" i="3" s="1"/>
  <c r="F218" i="2"/>
  <c r="F59" i="3" s="1"/>
  <c r="E218" i="2"/>
  <c r="E59" i="3" s="1"/>
  <c r="D218" i="2"/>
  <c r="D59" i="3" s="1"/>
  <c r="C218" i="2"/>
  <c r="C59" i="3" s="1"/>
  <c r="BC217" i="2"/>
  <c r="BB217" i="2"/>
  <c r="BA217" i="2"/>
  <c r="AX217" i="2"/>
  <c r="AX60" i="3" s="1"/>
  <c r="AW217" i="2"/>
  <c r="AW60" i="3" s="1"/>
  <c r="AV217" i="2"/>
  <c r="AV60" i="3" s="1"/>
  <c r="AU217" i="2"/>
  <c r="AU60" i="3" s="1"/>
  <c r="AT217" i="2"/>
  <c r="AT60" i="3" s="1"/>
  <c r="AR217" i="2"/>
  <c r="AR60" i="3" s="1"/>
  <c r="AQ217" i="2"/>
  <c r="AQ60" i="3" s="1"/>
  <c r="AP217" i="2"/>
  <c r="AP60" i="3" s="1"/>
  <c r="AO217" i="2"/>
  <c r="AO60" i="3" s="1"/>
  <c r="AN217" i="2"/>
  <c r="AN60" i="3" s="1"/>
  <c r="AL217" i="2"/>
  <c r="AK217" i="2"/>
  <c r="AJ217" i="2"/>
  <c r="AI217" i="2"/>
  <c r="AH217" i="2"/>
  <c r="AG217" i="2"/>
  <c r="AE217" i="2"/>
  <c r="AE60" i="3" s="1"/>
  <c r="AC217" i="2"/>
  <c r="AC60" i="3" s="1"/>
  <c r="AB217" i="2"/>
  <c r="AB60" i="3" s="1"/>
  <c r="AA217" i="2"/>
  <c r="AA60" i="3" s="1"/>
  <c r="Z217" i="2"/>
  <c r="Z60" i="3" s="1"/>
  <c r="Y217" i="2"/>
  <c r="Y60" i="3" s="1"/>
  <c r="X217" i="2"/>
  <c r="X60" i="3" s="1"/>
  <c r="W217" i="2"/>
  <c r="W60" i="3" s="1"/>
  <c r="U217" i="2"/>
  <c r="U60" i="3" s="1"/>
  <c r="T217" i="2"/>
  <c r="T60" i="3" s="1"/>
  <c r="S217" i="2"/>
  <c r="S60" i="3" s="1"/>
  <c r="Q217" i="2"/>
  <c r="Q60" i="3" s="1"/>
  <c r="P217" i="2"/>
  <c r="P60" i="3" s="1"/>
  <c r="O217" i="2"/>
  <c r="O60" i="3" s="1"/>
  <c r="M217" i="2"/>
  <c r="M60" i="3" s="1"/>
  <c r="L217" i="2"/>
  <c r="L60" i="3" s="1"/>
  <c r="K217" i="2"/>
  <c r="K60" i="3" s="1"/>
  <c r="J217" i="2"/>
  <c r="J60" i="3" s="1"/>
  <c r="H217" i="2"/>
  <c r="H60" i="3" s="1"/>
  <c r="G217" i="2"/>
  <c r="G60" i="3" s="1"/>
  <c r="E217" i="2"/>
  <c r="E60" i="3" s="1"/>
  <c r="D217" i="2"/>
  <c r="D60" i="3" s="1"/>
  <c r="C217" i="2"/>
  <c r="C60" i="3" s="1"/>
  <c r="BC215" i="2"/>
  <c r="BC66" i="3" s="1"/>
  <c r="BB215" i="2"/>
  <c r="BB66" i="3" s="1"/>
  <c r="BA215" i="2"/>
  <c r="BA66" i="3" s="1"/>
  <c r="AY215" i="2"/>
  <c r="AY66" i="3" s="1"/>
  <c r="AX215" i="2"/>
  <c r="AX66" i="3" s="1"/>
  <c r="AW215" i="2"/>
  <c r="AW66" i="3" s="1"/>
  <c r="AV215" i="2"/>
  <c r="AV66" i="3" s="1"/>
  <c r="AU215" i="2"/>
  <c r="AU66" i="3" s="1"/>
  <c r="AT215" i="2"/>
  <c r="AT66" i="3" s="1"/>
  <c r="AS215" i="2"/>
  <c r="AS66" i="3" s="1"/>
  <c r="AR215" i="2"/>
  <c r="AR66" i="3" s="1"/>
  <c r="AL215" i="2"/>
  <c r="AK215" i="2"/>
  <c r="AJ215" i="2"/>
  <c r="AJ66" i="3" s="1"/>
  <c r="AI215" i="2"/>
  <c r="AI66" i="3" s="1"/>
  <c r="AH215" i="2"/>
  <c r="AH66" i="3" s="1"/>
  <c r="AG215" i="2"/>
  <c r="AG66" i="3" s="1"/>
  <c r="AX214" i="2"/>
  <c r="AX54" i="3" s="1"/>
  <c r="AW214" i="2"/>
  <c r="AW54" i="3" s="1"/>
  <c r="AV214" i="2"/>
  <c r="AV54" i="3" s="1"/>
  <c r="AU214" i="2"/>
  <c r="AU54" i="3" s="1"/>
  <c r="AT214" i="2"/>
  <c r="AT54" i="3" s="1"/>
  <c r="AS214" i="2"/>
  <c r="AS54" i="3" s="1"/>
  <c r="AR214" i="2"/>
  <c r="AR54" i="3" s="1"/>
  <c r="AQ214" i="2"/>
  <c r="AQ54" i="3" s="1"/>
  <c r="AP214" i="2"/>
  <c r="AP54" i="3" s="1"/>
  <c r="AO214" i="2"/>
  <c r="AO54" i="3" s="1"/>
  <c r="AN214" i="2"/>
  <c r="AN54" i="3" s="1"/>
  <c r="AF214" i="2"/>
  <c r="AE214" i="2"/>
  <c r="AE54" i="3" s="1"/>
  <c r="AD214" i="2"/>
  <c r="AD54" i="3" s="1"/>
  <c r="AC214" i="2"/>
  <c r="AC54" i="3" s="1"/>
  <c r="AB214" i="2"/>
  <c r="AB54" i="3" s="1"/>
  <c r="AA214" i="2"/>
  <c r="AA54" i="3" s="1"/>
  <c r="Z214" i="2"/>
  <c r="Z54" i="3" s="1"/>
  <c r="Y214" i="2"/>
  <c r="Y54" i="3" s="1"/>
  <c r="X214" i="2"/>
  <c r="X54" i="3" s="1"/>
  <c r="W214" i="2"/>
  <c r="W54" i="3" s="1"/>
  <c r="V214" i="2"/>
  <c r="V54" i="3" s="1"/>
  <c r="U214" i="2"/>
  <c r="U54" i="3" s="1"/>
  <c r="T214" i="2"/>
  <c r="T54" i="3" s="1"/>
  <c r="S214" i="2"/>
  <c r="S54" i="3" s="1"/>
  <c r="R214" i="2"/>
  <c r="R54" i="3" s="1"/>
  <c r="Q214" i="2"/>
  <c r="Q54" i="3" s="1"/>
  <c r="O214" i="2"/>
  <c r="O54" i="3" s="1"/>
  <c r="N214" i="2"/>
  <c r="N54" i="3" s="1"/>
  <c r="M214" i="2"/>
  <c r="M54" i="3" s="1"/>
  <c r="L214" i="2"/>
  <c r="L54" i="3" s="1"/>
  <c r="K214" i="2"/>
  <c r="K54" i="3" s="1"/>
  <c r="J214" i="2"/>
  <c r="J54" i="3" s="1"/>
  <c r="I214" i="2"/>
  <c r="I54" i="3" s="1"/>
  <c r="H214" i="2"/>
  <c r="H54" i="3" s="1"/>
  <c r="G214" i="2"/>
  <c r="G54" i="3" s="1"/>
  <c r="F214" i="2"/>
  <c r="F54" i="3" s="1"/>
  <c r="D214" i="2"/>
  <c r="D54" i="3" s="1"/>
  <c r="C214" i="2"/>
  <c r="C54" i="3" s="1"/>
  <c r="BC213" i="2"/>
  <c r="BB213" i="2"/>
  <c r="BB57" i="3" s="1"/>
  <c r="BA213" i="2"/>
  <c r="AX213" i="2"/>
  <c r="AX57" i="3" s="1"/>
  <c r="AW213" i="2"/>
  <c r="AW57" i="3" s="1"/>
  <c r="AV213" i="2"/>
  <c r="AV57" i="3" s="1"/>
  <c r="AU213" i="2"/>
  <c r="AU57" i="3" s="1"/>
  <c r="AT213" i="2"/>
  <c r="AT57" i="3" s="1"/>
  <c r="AS213" i="2"/>
  <c r="AS57" i="3" s="1"/>
  <c r="AR213" i="2"/>
  <c r="AR57" i="3" s="1"/>
  <c r="AQ213" i="2"/>
  <c r="AQ57" i="3" s="1"/>
  <c r="AP213" i="2"/>
  <c r="AP57" i="3" s="1"/>
  <c r="AO213" i="2"/>
  <c r="AO57" i="3" s="1"/>
  <c r="AN213" i="2"/>
  <c r="AN57" i="3" s="1"/>
  <c r="AL213" i="2"/>
  <c r="AK213" i="2"/>
  <c r="AK57" i="3" s="1"/>
  <c r="AJ213" i="2"/>
  <c r="AI213" i="2"/>
  <c r="AH213" i="2"/>
  <c r="AG213" i="2"/>
  <c r="AE213" i="2"/>
  <c r="AE57" i="3" s="1"/>
  <c r="AD213" i="2"/>
  <c r="AD57" i="3" s="1"/>
  <c r="AC213" i="2"/>
  <c r="AC57" i="3" s="1"/>
  <c r="AB213" i="2"/>
  <c r="AB57" i="3" s="1"/>
  <c r="AA213" i="2"/>
  <c r="AA57" i="3" s="1"/>
  <c r="Z213" i="2"/>
  <c r="Z57" i="3" s="1"/>
  <c r="Y213" i="2"/>
  <c r="Y57" i="3" s="1"/>
  <c r="X213" i="2"/>
  <c r="X57" i="3" s="1"/>
  <c r="W213" i="2"/>
  <c r="W57" i="3" s="1"/>
  <c r="V213" i="2"/>
  <c r="V57" i="3" s="1"/>
  <c r="U213" i="2"/>
  <c r="U57" i="3" s="1"/>
  <c r="T213" i="2"/>
  <c r="T57" i="3" s="1"/>
  <c r="S213" i="2"/>
  <c r="S57" i="3" s="1"/>
  <c r="R213" i="2"/>
  <c r="R57" i="3" s="1"/>
  <c r="Q213" i="2"/>
  <c r="Q57" i="3" s="1"/>
  <c r="P213" i="2"/>
  <c r="P57" i="3" s="1"/>
  <c r="O213" i="2"/>
  <c r="O57" i="3" s="1"/>
  <c r="N213" i="2"/>
  <c r="N57" i="3" s="1"/>
  <c r="M213" i="2"/>
  <c r="M57" i="3" s="1"/>
  <c r="L213" i="2"/>
  <c r="L57" i="3" s="1"/>
  <c r="K213" i="2"/>
  <c r="K57" i="3" s="1"/>
  <c r="J213" i="2"/>
  <c r="J57" i="3" s="1"/>
  <c r="I213" i="2"/>
  <c r="I57" i="3" s="1"/>
  <c r="H213" i="2"/>
  <c r="H57" i="3" s="1"/>
  <c r="G213" i="2"/>
  <c r="G57" i="3" s="1"/>
  <c r="F213" i="2"/>
  <c r="F57" i="3" s="1"/>
  <c r="E213" i="2"/>
  <c r="E57" i="3" s="1"/>
  <c r="D213" i="2"/>
  <c r="D57" i="3" s="1"/>
  <c r="C213" i="2"/>
  <c r="C57" i="3" s="1"/>
  <c r="BC212" i="2"/>
  <c r="BB212" i="2"/>
  <c r="BA212" i="2"/>
  <c r="AX212" i="2"/>
  <c r="AW212" i="2"/>
  <c r="AV212" i="2"/>
  <c r="AU212" i="2"/>
  <c r="AT212" i="2"/>
  <c r="AS212" i="2"/>
  <c r="AR212" i="2"/>
  <c r="AQ212" i="2"/>
  <c r="AP212" i="2"/>
  <c r="AO212" i="2"/>
  <c r="AN212" i="2"/>
  <c r="AL212" i="2"/>
  <c r="AK212" i="2"/>
  <c r="AK350" i="2" s="1"/>
  <c r="AJ212" i="2"/>
  <c r="AI212" i="2"/>
  <c r="AH212" i="2"/>
  <c r="AG212" i="2"/>
  <c r="AE212" i="2"/>
  <c r="AD212" i="2"/>
  <c r="AC212" i="2"/>
  <c r="AB212" i="2"/>
  <c r="AA212" i="2"/>
  <c r="Z212" i="2"/>
  <c r="Y212" i="2"/>
  <c r="X212" i="2"/>
  <c r="W212" i="2"/>
  <c r="U212" i="2"/>
  <c r="T212" i="2"/>
  <c r="S212" i="2"/>
  <c r="R212" i="2"/>
  <c r="Q212" i="2"/>
  <c r="P212" i="2"/>
  <c r="O212" i="2"/>
  <c r="N212" i="2"/>
  <c r="M212" i="2"/>
  <c r="L212" i="2"/>
  <c r="K212" i="2"/>
  <c r="J212" i="2"/>
  <c r="I212" i="2"/>
  <c r="H212" i="2"/>
  <c r="G212" i="2"/>
  <c r="F212" i="2"/>
  <c r="E212" i="2"/>
  <c r="D212" i="2"/>
  <c r="C212" i="2"/>
  <c r="A211" i="2"/>
  <c r="A500" i="2" s="1"/>
  <c r="BC210" i="2"/>
  <c r="BB210" i="2"/>
  <c r="BA210" i="2"/>
  <c r="AX210" i="2"/>
  <c r="AX52" i="3" s="1"/>
  <c r="AW210" i="2"/>
  <c r="AW52" i="3" s="1"/>
  <c r="AV210" i="2"/>
  <c r="AV52" i="3" s="1"/>
  <c r="AU210" i="2"/>
  <c r="AU52" i="3" s="1"/>
  <c r="AT210" i="2"/>
  <c r="AT52" i="3" s="1"/>
  <c r="AS210" i="2"/>
  <c r="AS52" i="3" s="1"/>
  <c r="AR210" i="2"/>
  <c r="AR52" i="3" s="1"/>
  <c r="AQ210" i="2"/>
  <c r="AQ52" i="3" s="1"/>
  <c r="AP210" i="2"/>
  <c r="AP52" i="3" s="1"/>
  <c r="AO210" i="2"/>
  <c r="AO52" i="3" s="1"/>
  <c r="AN210" i="2"/>
  <c r="AN52" i="3" s="1"/>
  <c r="AL210" i="2"/>
  <c r="AK210" i="2"/>
  <c r="AJ210" i="2"/>
  <c r="AI210" i="2"/>
  <c r="AH210" i="2"/>
  <c r="AG210" i="2"/>
  <c r="AE210" i="2"/>
  <c r="AE52" i="3" s="1"/>
  <c r="AD210" i="2"/>
  <c r="AD52" i="3" s="1"/>
  <c r="AC210" i="2"/>
  <c r="AC52" i="3" s="1"/>
  <c r="AB210" i="2"/>
  <c r="AB52" i="3" s="1"/>
  <c r="AA210" i="2"/>
  <c r="AA52" i="3" s="1"/>
  <c r="Z210" i="2"/>
  <c r="Z52" i="3" s="1"/>
  <c r="Y210" i="2"/>
  <c r="Y52" i="3" s="1"/>
  <c r="X210" i="2"/>
  <c r="X52" i="3" s="1"/>
  <c r="W210" i="2"/>
  <c r="W52" i="3" s="1"/>
  <c r="V210" i="2"/>
  <c r="V52" i="3" s="1"/>
  <c r="U210" i="2"/>
  <c r="U52" i="3" s="1"/>
  <c r="T210" i="2"/>
  <c r="T52" i="3" s="1"/>
  <c r="S210" i="2"/>
  <c r="S52" i="3" s="1"/>
  <c r="Q210" i="2"/>
  <c r="Q52" i="3" s="1"/>
  <c r="P210" i="2"/>
  <c r="P52" i="3" s="1"/>
  <c r="O210" i="2"/>
  <c r="O52" i="3" s="1"/>
  <c r="N210" i="2"/>
  <c r="N52" i="3" s="1"/>
  <c r="M210" i="2"/>
  <c r="M52" i="3" s="1"/>
  <c r="L210" i="2"/>
  <c r="L52" i="3" s="1"/>
  <c r="K210" i="2"/>
  <c r="K52" i="3" s="1"/>
  <c r="J210" i="2"/>
  <c r="J52" i="3" s="1"/>
  <c r="I210" i="2"/>
  <c r="I52" i="3" s="1"/>
  <c r="H210" i="2"/>
  <c r="H52" i="3" s="1"/>
  <c r="G210" i="2"/>
  <c r="G52" i="3" s="1"/>
  <c r="F210" i="2"/>
  <c r="F52" i="3" s="1"/>
  <c r="E210" i="2"/>
  <c r="E52" i="3" s="1"/>
  <c r="D210" i="2"/>
  <c r="D52" i="3" s="1"/>
  <c r="C210" i="2"/>
  <c r="C52" i="3" s="1"/>
  <c r="A209" i="2"/>
  <c r="AX208" i="2"/>
  <c r="AP208" i="2"/>
  <c r="Y208" i="2"/>
  <c r="AX207" i="2"/>
  <c r="AX51" i="3" s="1"/>
  <c r="AP207" i="2"/>
  <c r="AP51" i="3" s="1"/>
  <c r="Y207" i="2"/>
  <c r="Y51" i="3" s="1"/>
  <c r="S207" i="2"/>
  <c r="AX204" i="2"/>
  <c r="AW204" i="2"/>
  <c r="AV204" i="2"/>
  <c r="AU204" i="2"/>
  <c r="AT204" i="2"/>
  <c r="AT5" i="3" s="1"/>
  <c r="AS204" i="2"/>
  <c r="AS5" i="3" s="1"/>
  <c r="AR204" i="2"/>
  <c r="AR5" i="3" s="1"/>
  <c r="AQ204" i="2"/>
  <c r="AQ5" i="3" s="1"/>
  <c r="AP204" i="2"/>
  <c r="AO204" i="2"/>
  <c r="AN204" i="2"/>
  <c r="AF204" i="2"/>
  <c r="AE204" i="2"/>
  <c r="AD204" i="2"/>
  <c r="AC204" i="2"/>
  <c r="AC5" i="3" s="1"/>
  <c r="AB204" i="2"/>
  <c r="AB5" i="3" s="1"/>
  <c r="AA204" i="2"/>
  <c r="AA5" i="3" s="1"/>
  <c r="Z204" i="2"/>
  <c r="Z5" i="3" s="1"/>
  <c r="Y204" i="2"/>
  <c r="X204" i="2"/>
  <c r="W204" i="2"/>
  <c r="V204" i="2"/>
  <c r="U204" i="2"/>
  <c r="U5" i="3" s="1"/>
  <c r="T204" i="2"/>
  <c r="T5" i="3" s="1"/>
  <c r="S204" i="2"/>
  <c r="S5" i="3" s="1"/>
  <c r="R204" i="2"/>
  <c r="R5" i="3" s="1"/>
  <c r="Q204" i="2"/>
  <c r="P204" i="2"/>
  <c r="O204" i="2"/>
  <c r="N204" i="2"/>
  <c r="M204" i="2"/>
  <c r="M5" i="3" s="1"/>
  <c r="L204" i="2"/>
  <c r="L5" i="3" s="1"/>
  <c r="K204" i="2"/>
  <c r="K5" i="3" s="1"/>
  <c r="J204" i="2"/>
  <c r="J5" i="3" s="1"/>
  <c r="I204" i="2"/>
  <c r="H204" i="2"/>
  <c r="G204" i="2"/>
  <c r="F204" i="2"/>
  <c r="E204" i="2"/>
  <c r="E5" i="3" s="1"/>
  <c r="D204" i="2"/>
  <c r="D5" i="3" s="1"/>
  <c r="C204" i="2"/>
  <c r="C5" i="3" s="1"/>
  <c r="A200" i="2"/>
  <c r="BC195" i="2"/>
  <c r="BB195" i="2"/>
  <c r="BA195" i="2"/>
  <c r="AL195" i="2"/>
  <c r="AK195" i="2"/>
  <c r="AJ195" i="2"/>
  <c r="AI195" i="2"/>
  <c r="AH195" i="2"/>
  <c r="AG195" i="2"/>
  <c r="BC194" i="2"/>
  <c r="BB194" i="2"/>
  <c r="BA194" i="2"/>
  <c r="AL194" i="2"/>
  <c r="AK194" i="2"/>
  <c r="AJ194" i="2"/>
  <c r="AI194" i="2"/>
  <c r="AH194" i="2"/>
  <c r="AG194" i="2"/>
  <c r="BC190" i="2"/>
  <c r="BB190" i="2"/>
  <c r="BA190" i="2"/>
  <c r="AU190" i="2"/>
  <c r="AL190" i="2"/>
  <c r="AZ190" i="2" s="1"/>
  <c r="AK190" i="2"/>
  <c r="AJ190" i="2"/>
  <c r="AI190" i="2"/>
  <c r="AH190" i="2"/>
  <c r="AG190" i="2"/>
  <c r="AE190" i="2"/>
  <c r="AC190" i="2"/>
  <c r="AB190" i="2"/>
  <c r="AA190" i="2"/>
  <c r="Z190" i="2"/>
  <c r="W190" i="2"/>
  <c r="U190" i="2"/>
  <c r="T190" i="2"/>
  <c r="R190" i="2"/>
  <c r="AZ188" i="2"/>
  <c r="AY188" i="2"/>
  <c r="AZ186" i="2"/>
  <c r="AZ35" i="3" s="1"/>
  <c r="AY186" i="2"/>
  <c r="AY35" i="3" s="1"/>
  <c r="AZ185" i="2"/>
  <c r="AZ34" i="3" s="1"/>
  <c r="AY185" i="2"/>
  <c r="AY34" i="3" s="1"/>
  <c r="AZ184" i="2"/>
  <c r="AZ33" i="3" s="1"/>
  <c r="AY184" i="2"/>
  <c r="AY33" i="3" s="1"/>
  <c r="AX182" i="2"/>
  <c r="AW182" i="2"/>
  <c r="AW181" i="2" s="1"/>
  <c r="AV182" i="2"/>
  <c r="AU182" i="2"/>
  <c r="AT182" i="2"/>
  <c r="AS182" i="2"/>
  <c r="AR182" i="2"/>
  <c r="AQ182" i="2"/>
  <c r="AP182" i="2"/>
  <c r="AO182" i="2"/>
  <c r="AO181" i="2" s="1"/>
  <c r="AN182" i="2"/>
  <c r="AE182" i="2"/>
  <c r="AD182" i="2"/>
  <c r="AC182" i="2"/>
  <c r="AB182" i="2"/>
  <c r="AA182" i="2"/>
  <c r="Z182" i="2"/>
  <c r="Y182" i="2"/>
  <c r="X182" i="2"/>
  <c r="W182" i="2"/>
  <c r="W181" i="2" s="1"/>
  <c r="V182" i="2"/>
  <c r="U182" i="2"/>
  <c r="T182" i="2"/>
  <c r="S182" i="2"/>
  <c r="R182" i="2"/>
  <c r="Q182" i="2"/>
  <c r="P182" i="2"/>
  <c r="O182" i="2"/>
  <c r="O181" i="2" s="1"/>
  <c r="N182" i="2"/>
  <c r="M182" i="2"/>
  <c r="L182" i="2"/>
  <c r="K182" i="2"/>
  <c r="J182" i="2"/>
  <c r="I182" i="2"/>
  <c r="H182" i="2"/>
  <c r="G182" i="2"/>
  <c r="G181" i="2" s="1"/>
  <c r="F182" i="2"/>
  <c r="E182" i="2"/>
  <c r="D182" i="2"/>
  <c r="C182" i="2"/>
  <c r="AX181" i="2"/>
  <c r="AS181" i="2"/>
  <c r="AS32" i="3" s="1"/>
  <c r="AR181" i="2"/>
  <c r="AR32" i="3" s="1"/>
  <c r="AQ181" i="2"/>
  <c r="AP181" i="2"/>
  <c r="AB181" i="2"/>
  <c r="AB32" i="3" s="1"/>
  <c r="AA181" i="2"/>
  <c r="AA32" i="3" s="1"/>
  <c r="Y181" i="2"/>
  <c r="T181" i="2"/>
  <c r="T32" i="3" s="1"/>
  <c r="S181" i="2"/>
  <c r="S32" i="3" s="1"/>
  <c r="R181" i="2"/>
  <c r="Q181" i="2"/>
  <c r="L181" i="2"/>
  <c r="L32" i="3" s="1"/>
  <c r="K181" i="2"/>
  <c r="K32" i="3" s="1"/>
  <c r="J181" i="2"/>
  <c r="I181" i="2"/>
  <c r="D181" i="2"/>
  <c r="D32" i="3" s="1"/>
  <c r="C181" i="2"/>
  <c r="C32" i="3" s="1"/>
  <c r="AZ178" i="2"/>
  <c r="AX178" i="2"/>
  <c r="AW178" i="2"/>
  <c r="AV178" i="2"/>
  <c r="AU178" i="2"/>
  <c r="AT178" i="2"/>
  <c r="AS178" i="2"/>
  <c r="AR178" i="2"/>
  <c r="AQ178" i="2"/>
  <c r="AP178" i="2"/>
  <c r="AO178" i="2"/>
  <c r="AN178" i="2"/>
  <c r="AF178" i="2"/>
  <c r="AE178" i="2"/>
  <c r="AY178" i="2" s="1"/>
  <c r="AC178" i="2"/>
  <c r="AB178" i="2"/>
  <c r="AA178" i="2"/>
  <c r="Z178" i="2"/>
  <c r="Y178" i="2"/>
  <c r="X178" i="2"/>
  <c r="W178" i="2"/>
  <c r="U178" i="2"/>
  <c r="T178" i="2"/>
  <c r="S178" i="2"/>
  <c r="Q178" i="2"/>
  <c r="P178" i="2"/>
  <c r="O178" i="2"/>
  <c r="M178" i="2"/>
  <c r="L178" i="2"/>
  <c r="K178" i="2"/>
  <c r="I178" i="2"/>
  <c r="H178" i="2"/>
  <c r="G178" i="2"/>
  <c r="E178" i="2"/>
  <c r="D178" i="2"/>
  <c r="C178" i="2"/>
  <c r="AZ177" i="2"/>
  <c r="AZ30" i="3" s="1"/>
  <c r="AY177" i="2"/>
  <c r="AX177" i="2"/>
  <c r="AW177" i="2"/>
  <c r="AV177" i="2"/>
  <c r="AU177" i="2"/>
  <c r="AT177" i="2"/>
  <c r="AS177" i="2"/>
  <c r="AS30" i="3" s="1"/>
  <c r="AR177" i="2"/>
  <c r="AR30" i="3" s="1"/>
  <c r="AQ177" i="2"/>
  <c r="AQ30" i="3" s="1"/>
  <c r="AP177" i="2"/>
  <c r="AO177" i="2"/>
  <c r="AN177" i="2"/>
  <c r="AF177" i="2"/>
  <c r="AE177" i="2"/>
  <c r="AE30" i="3" s="1"/>
  <c r="AC177" i="2"/>
  <c r="AC30" i="3" s="1"/>
  <c r="AB177" i="2"/>
  <c r="AB30" i="3" s="1"/>
  <c r="AA177" i="2"/>
  <c r="AA30" i="3" s="1"/>
  <c r="Y177" i="2"/>
  <c r="X177" i="2"/>
  <c r="W177" i="2"/>
  <c r="W30" i="3" s="1"/>
  <c r="U177" i="2"/>
  <c r="U30" i="3" s="1"/>
  <c r="T177" i="2"/>
  <c r="T30" i="3" s="1"/>
  <c r="S177" i="2"/>
  <c r="S30" i="3" s="1"/>
  <c r="Q177" i="2"/>
  <c r="P177" i="2"/>
  <c r="O177" i="2"/>
  <c r="O30" i="3" s="1"/>
  <c r="M177" i="2"/>
  <c r="M30" i="3" s="1"/>
  <c r="L177" i="2"/>
  <c r="L30" i="3" s="1"/>
  <c r="K177" i="2"/>
  <c r="K30" i="3" s="1"/>
  <c r="I177" i="2"/>
  <c r="H177" i="2"/>
  <c r="G177" i="2"/>
  <c r="G30" i="3" s="1"/>
  <c r="E177" i="2"/>
  <c r="E30" i="3" s="1"/>
  <c r="D177" i="2"/>
  <c r="D30" i="3" s="1"/>
  <c r="C177" i="2"/>
  <c r="C30" i="3" s="1"/>
  <c r="AX175" i="2"/>
  <c r="AX29" i="3" s="1"/>
  <c r="AW175" i="2"/>
  <c r="AW29" i="3" s="1"/>
  <c r="AV175" i="2"/>
  <c r="AV29" i="3" s="1"/>
  <c r="AU175" i="2"/>
  <c r="AU29" i="3" s="1"/>
  <c r="AT175" i="2"/>
  <c r="AT29" i="3" s="1"/>
  <c r="AS175" i="2"/>
  <c r="AS29" i="3" s="1"/>
  <c r="AR175" i="2"/>
  <c r="AR29" i="3" s="1"/>
  <c r="AQ175" i="2"/>
  <c r="AP175" i="2"/>
  <c r="AP29" i="3" s="1"/>
  <c r="AO175" i="2"/>
  <c r="AO29" i="3" s="1"/>
  <c r="AN175" i="2"/>
  <c r="AN29" i="3" s="1"/>
  <c r="AF175" i="2"/>
  <c r="AF29" i="3" s="1"/>
  <c r="AE175" i="2"/>
  <c r="AE29" i="3" s="1"/>
  <c r="AC175" i="2"/>
  <c r="AC29" i="3" s="1"/>
  <c r="AB175" i="2"/>
  <c r="AB29" i="3" s="1"/>
  <c r="AA175" i="2"/>
  <c r="AA29" i="3" s="1"/>
  <c r="Y175" i="2"/>
  <c r="Y29" i="3" s="1"/>
  <c r="X175" i="2"/>
  <c r="X29" i="3" s="1"/>
  <c r="W175" i="2"/>
  <c r="W29" i="3" s="1"/>
  <c r="U175" i="2"/>
  <c r="T175" i="2"/>
  <c r="T29" i="3" s="1"/>
  <c r="S175" i="2"/>
  <c r="S29" i="3" s="1"/>
  <c r="Q175" i="2"/>
  <c r="Q29" i="3" s="1"/>
  <c r="P175" i="2"/>
  <c r="P29" i="3" s="1"/>
  <c r="O175" i="2"/>
  <c r="O29" i="3" s="1"/>
  <c r="M175" i="2"/>
  <c r="L175" i="2"/>
  <c r="K175" i="2"/>
  <c r="K29" i="3" s="1"/>
  <c r="J175" i="2"/>
  <c r="I175" i="2"/>
  <c r="I29" i="3" s="1"/>
  <c r="H175" i="2"/>
  <c r="H29" i="3" s="1"/>
  <c r="G175" i="2"/>
  <c r="G29" i="3" s="1"/>
  <c r="E175" i="2"/>
  <c r="E29" i="3" s="1"/>
  <c r="D175" i="2"/>
  <c r="C175" i="2"/>
  <c r="BC172" i="2"/>
  <c r="BB172" i="2"/>
  <c r="BA172" i="2"/>
  <c r="AX172" i="2"/>
  <c r="AX27" i="3" s="1"/>
  <c r="AW172" i="2"/>
  <c r="AW27" i="3" s="1"/>
  <c r="AV172" i="2"/>
  <c r="AV27" i="3" s="1"/>
  <c r="AU172" i="2"/>
  <c r="AU27" i="3" s="1"/>
  <c r="AT172" i="2"/>
  <c r="AS172" i="2"/>
  <c r="AR172" i="2"/>
  <c r="AQ172" i="2"/>
  <c r="AQ27" i="3" s="1"/>
  <c r="AP172" i="2"/>
  <c r="AP27" i="3" s="1"/>
  <c r="AO172" i="2"/>
  <c r="AO27" i="3" s="1"/>
  <c r="AN172" i="2"/>
  <c r="AN27" i="3" s="1"/>
  <c r="AL172" i="2"/>
  <c r="AK172" i="2"/>
  <c r="AJ172" i="2"/>
  <c r="AI172" i="2"/>
  <c r="AH172" i="2"/>
  <c r="AG172" i="2"/>
  <c r="AF172" i="2"/>
  <c r="AE172" i="2"/>
  <c r="AE27" i="3" s="1"/>
  <c r="AD172" i="2"/>
  <c r="AD27" i="3" s="1"/>
  <c r="AC172" i="2"/>
  <c r="AC27" i="3" s="1"/>
  <c r="AB172" i="2"/>
  <c r="AB27" i="3" s="1"/>
  <c r="AA172" i="2"/>
  <c r="AA27" i="3" s="1"/>
  <c r="Z172" i="2"/>
  <c r="Z27" i="3" s="1"/>
  <c r="Y172" i="2"/>
  <c r="Y27" i="3" s="1"/>
  <c r="X172" i="2"/>
  <c r="X27" i="3" s="1"/>
  <c r="W172" i="2"/>
  <c r="W27" i="3" s="1"/>
  <c r="V172" i="2"/>
  <c r="V27" i="3" s="1"/>
  <c r="U172" i="2"/>
  <c r="U27" i="3" s="1"/>
  <c r="T172" i="2"/>
  <c r="T27" i="3" s="1"/>
  <c r="S172" i="2"/>
  <c r="R172" i="2"/>
  <c r="R27" i="3" s="1"/>
  <c r="Q172" i="2"/>
  <c r="Q27" i="3" s="1"/>
  <c r="P172" i="2"/>
  <c r="P27" i="3" s="1"/>
  <c r="O172" i="2"/>
  <c r="O27" i="3" s="1"/>
  <c r="N172" i="2"/>
  <c r="N27" i="3" s="1"/>
  <c r="M172" i="2"/>
  <c r="L172" i="2"/>
  <c r="K172" i="2"/>
  <c r="J172" i="2"/>
  <c r="J27" i="3" s="1"/>
  <c r="I172" i="2"/>
  <c r="I27" i="3" s="1"/>
  <c r="H172" i="2"/>
  <c r="H27" i="3" s="1"/>
  <c r="G172" i="2"/>
  <c r="G27" i="3" s="1"/>
  <c r="F172" i="2"/>
  <c r="F27" i="3" s="1"/>
  <c r="E172" i="2"/>
  <c r="D172" i="2"/>
  <c r="C172" i="2"/>
  <c r="BC171" i="2"/>
  <c r="BB171" i="2"/>
  <c r="BA171" i="2"/>
  <c r="AX171" i="2"/>
  <c r="AX28" i="3" s="1"/>
  <c r="AW171" i="2"/>
  <c r="AW28" i="3" s="1"/>
  <c r="AV171" i="2"/>
  <c r="AV28" i="3" s="1"/>
  <c r="AU171" i="2"/>
  <c r="AT171" i="2"/>
  <c r="AT28" i="3" s="1"/>
  <c r="AS171" i="2"/>
  <c r="AS28" i="3" s="1"/>
  <c r="AR171" i="2"/>
  <c r="AR28" i="3" s="1"/>
  <c r="AQ171" i="2"/>
  <c r="AQ28" i="3" s="1"/>
  <c r="AP171" i="2"/>
  <c r="AP28" i="3" s="1"/>
  <c r="AO171" i="2"/>
  <c r="AO28" i="3" s="1"/>
  <c r="AN171" i="2"/>
  <c r="AN28" i="3" s="1"/>
  <c r="AL171" i="2"/>
  <c r="AK171" i="2"/>
  <c r="AJ171" i="2"/>
  <c r="AI171" i="2"/>
  <c r="AH171" i="2"/>
  <c r="AG171" i="2"/>
  <c r="AF171" i="2"/>
  <c r="AF163" i="2" s="1"/>
  <c r="AF24" i="3" s="1"/>
  <c r="AE171" i="2"/>
  <c r="AD171" i="2"/>
  <c r="AD28" i="3" s="1"/>
  <c r="AC171" i="2"/>
  <c r="AC28" i="3" s="1"/>
  <c r="AB171" i="2"/>
  <c r="AB28" i="3" s="1"/>
  <c r="AA171" i="2"/>
  <c r="AA28" i="3" s="1"/>
  <c r="Z171" i="2"/>
  <c r="Z28" i="3" s="1"/>
  <c r="Y171" i="2"/>
  <c r="Y28" i="3" s="1"/>
  <c r="X171" i="2"/>
  <c r="X28" i="3" s="1"/>
  <c r="W171" i="2"/>
  <c r="W28" i="3" s="1"/>
  <c r="V171" i="2"/>
  <c r="V28" i="3" s="1"/>
  <c r="U171" i="2"/>
  <c r="U28" i="3" s="1"/>
  <c r="T171" i="2"/>
  <c r="T28" i="3" s="1"/>
  <c r="S171" i="2"/>
  <c r="S28" i="3" s="1"/>
  <c r="Q171" i="2"/>
  <c r="P171" i="2"/>
  <c r="P28" i="3" s="1"/>
  <c r="O171" i="2"/>
  <c r="O28" i="3" s="1"/>
  <c r="N171" i="2"/>
  <c r="N28" i="3" s="1"/>
  <c r="M171" i="2"/>
  <c r="M28" i="3" s="1"/>
  <c r="L171" i="2"/>
  <c r="L28" i="3" s="1"/>
  <c r="K171" i="2"/>
  <c r="K28" i="3" s="1"/>
  <c r="J171" i="2"/>
  <c r="J28" i="3" s="1"/>
  <c r="I171" i="2"/>
  <c r="I28" i="3" s="1"/>
  <c r="H171" i="2"/>
  <c r="H28" i="3" s="1"/>
  <c r="G171" i="2"/>
  <c r="G28" i="3" s="1"/>
  <c r="F171" i="2"/>
  <c r="F28" i="3" s="1"/>
  <c r="E171" i="2"/>
  <c r="E28" i="3" s="1"/>
  <c r="D171" i="2"/>
  <c r="D28" i="3" s="1"/>
  <c r="C171" i="2"/>
  <c r="C28" i="3" s="1"/>
  <c r="R168" i="2"/>
  <c r="R40" i="3" s="1"/>
  <c r="AA167" i="2"/>
  <c r="AV166" i="2"/>
  <c r="AU166" i="2"/>
  <c r="AU25" i="3" s="1"/>
  <c r="AQ166" i="2"/>
  <c r="AQ25" i="3" s="1"/>
  <c r="AP166" i="2"/>
  <c r="AP25" i="3" s="1"/>
  <c r="AO166" i="2"/>
  <c r="AO25" i="3" s="1"/>
  <c r="AN166" i="2"/>
  <c r="AN25" i="3" s="1"/>
  <c r="AE166" i="2"/>
  <c r="Y166" i="2"/>
  <c r="Y25" i="3" s="1"/>
  <c r="W166" i="2"/>
  <c r="W25" i="3" s="1"/>
  <c r="Q166" i="2"/>
  <c r="Q25" i="3" s="1"/>
  <c r="P166" i="2"/>
  <c r="O166" i="2"/>
  <c r="I166" i="2"/>
  <c r="I25" i="3" s="1"/>
  <c r="H166" i="2"/>
  <c r="H25" i="3" s="1"/>
  <c r="G166" i="2"/>
  <c r="G25" i="3" s="1"/>
  <c r="AT164" i="2"/>
  <c r="AS164" i="2"/>
  <c r="AR164" i="2"/>
  <c r="AC164" i="2"/>
  <c r="AB164" i="2"/>
  <c r="AA164" i="2"/>
  <c r="U164" i="2"/>
  <c r="T164" i="2"/>
  <c r="S164" i="2"/>
  <c r="M164" i="2"/>
  <c r="L164" i="2"/>
  <c r="K164" i="2"/>
  <c r="E164" i="2"/>
  <c r="D164" i="2"/>
  <c r="C164" i="2"/>
  <c r="AX163" i="2"/>
  <c r="AX24" i="3" s="1"/>
  <c r="AW163" i="2"/>
  <c r="AW24" i="3" s="1"/>
  <c r="AV163" i="2"/>
  <c r="AV24" i="3" s="1"/>
  <c r="AT163" i="2"/>
  <c r="AT24" i="3" s="1"/>
  <c r="AS163" i="2"/>
  <c r="AS24" i="3" s="1"/>
  <c r="AR163" i="2"/>
  <c r="AR24" i="3" s="1"/>
  <c r="AQ163" i="2"/>
  <c r="AP163" i="2"/>
  <c r="AP24" i="3" s="1"/>
  <c r="AO163" i="2"/>
  <c r="AO24" i="3" s="1"/>
  <c r="AN163" i="2"/>
  <c r="AN24" i="3" s="1"/>
  <c r="AE163" i="2"/>
  <c r="AC163" i="2"/>
  <c r="AC24" i="3" s="1"/>
  <c r="AB163" i="2"/>
  <c r="AB24" i="3" s="1"/>
  <c r="AA163" i="2"/>
  <c r="AA24" i="3" s="1"/>
  <c r="Y163" i="2"/>
  <c r="Y24" i="3" s="1"/>
  <c r="U163" i="2"/>
  <c r="U24" i="3" s="1"/>
  <c r="T163" i="2"/>
  <c r="T24" i="3" s="1"/>
  <c r="S163" i="2"/>
  <c r="S24" i="3" s="1"/>
  <c r="P163" i="2"/>
  <c r="P24" i="3" s="1"/>
  <c r="M163" i="2"/>
  <c r="M24" i="3" s="1"/>
  <c r="L163" i="2"/>
  <c r="L24" i="3" s="1"/>
  <c r="K163" i="2"/>
  <c r="K24" i="3" s="1"/>
  <c r="J163" i="2"/>
  <c r="J24" i="3" s="1"/>
  <c r="H163" i="2"/>
  <c r="H24" i="3" s="1"/>
  <c r="E163" i="2"/>
  <c r="E24" i="3" s="1"/>
  <c r="D163" i="2"/>
  <c r="D24" i="3" s="1"/>
  <c r="C163" i="2"/>
  <c r="C24" i="3" s="1"/>
  <c r="A161" i="2"/>
  <c r="AX160" i="2"/>
  <c r="AW160" i="2"/>
  <c r="AV160" i="2"/>
  <c r="AV90" i="2" s="1"/>
  <c r="AV92" i="2" s="1"/>
  <c r="AU160" i="2"/>
  <c r="AT160" i="2"/>
  <c r="AS160" i="2"/>
  <c r="AR160" i="2"/>
  <c r="AQ160" i="2"/>
  <c r="AP160" i="2"/>
  <c r="AO160" i="2"/>
  <c r="AN160" i="2"/>
  <c r="AN95" i="2" s="1"/>
  <c r="AN458" i="2" s="1"/>
  <c r="AF160" i="2"/>
  <c r="AE160" i="2"/>
  <c r="AC160" i="2"/>
  <c r="AB160" i="2"/>
  <c r="AA160" i="2"/>
  <c r="Y160" i="2"/>
  <c r="X160" i="2"/>
  <c r="W160" i="2"/>
  <c r="U160" i="2"/>
  <c r="T160" i="2"/>
  <c r="S160" i="2"/>
  <c r="Q160" i="2"/>
  <c r="P160" i="2"/>
  <c r="O160" i="2"/>
  <c r="M160" i="2"/>
  <c r="L160" i="2"/>
  <c r="K160" i="2"/>
  <c r="I160" i="2"/>
  <c r="H160" i="2"/>
  <c r="G160" i="2"/>
  <c r="E160" i="2"/>
  <c r="D160" i="2"/>
  <c r="C160" i="2"/>
  <c r="AX157" i="2"/>
  <c r="AX156" i="2" s="1"/>
  <c r="AW157" i="2"/>
  <c r="AW156" i="2" s="1"/>
  <c r="AV157" i="2"/>
  <c r="AV156" i="2" s="1"/>
  <c r="AU157" i="2"/>
  <c r="AU156" i="2" s="1"/>
  <c r="AT157" i="2"/>
  <c r="AS157" i="2"/>
  <c r="AR157" i="2"/>
  <c r="AQ157" i="2"/>
  <c r="AP157" i="2"/>
  <c r="AO157" i="2"/>
  <c r="AO156" i="2" s="1"/>
  <c r="AN157" i="2"/>
  <c r="AN156" i="2" s="1"/>
  <c r="AT156" i="2"/>
  <c r="AS156" i="2"/>
  <c r="AR156" i="2"/>
  <c r="AQ156" i="2"/>
  <c r="AP156" i="2"/>
  <c r="S145" i="2"/>
  <c r="S144" i="2"/>
  <c r="S190" i="2" s="1"/>
  <c r="V137" i="2"/>
  <c r="V168" i="2" s="1"/>
  <c r="V40" i="3" s="1"/>
  <c r="S136" i="2"/>
  <c r="S130" i="2"/>
  <c r="S129" i="2"/>
  <c r="S126" i="2"/>
  <c r="AV125" i="2"/>
  <c r="V125" i="2"/>
  <c r="AU120" i="2"/>
  <c r="AU125" i="2" s="1"/>
  <c r="BC117" i="2"/>
  <c r="BB117" i="2"/>
  <c r="BA117" i="2"/>
  <c r="AZ117" i="2"/>
  <c r="AY117" i="2"/>
  <c r="AU117" i="2"/>
  <c r="AS117" i="2"/>
  <c r="AL117" i="2"/>
  <c r="AK117" i="2"/>
  <c r="AJ117" i="2"/>
  <c r="AI117" i="2"/>
  <c r="AH117" i="2"/>
  <c r="AG117" i="2"/>
  <c r="E117" i="2"/>
  <c r="AO115" i="2"/>
  <c r="AH115" i="2"/>
  <c r="AD114" i="2"/>
  <c r="AD181" i="2" s="1"/>
  <c r="Z114" i="2"/>
  <c r="Z181" i="2" s="1"/>
  <c r="V114" i="2"/>
  <c r="V181" i="2" s="1"/>
  <c r="V32" i="3" s="1"/>
  <c r="R114" i="2"/>
  <c r="N114" i="2"/>
  <c r="N181" i="2" s="1"/>
  <c r="N32" i="3" s="1"/>
  <c r="J114" i="2"/>
  <c r="F114" i="2"/>
  <c r="F181" i="2" s="1"/>
  <c r="BA113" i="2"/>
  <c r="BA115" i="2" s="1"/>
  <c r="AZ113" i="2"/>
  <c r="AZ115" i="2" s="1"/>
  <c r="AR113" i="2"/>
  <c r="AR115" i="2" s="1"/>
  <c r="AI113" i="2"/>
  <c r="AI115" i="2" s="1"/>
  <c r="AC113" i="2"/>
  <c r="AC115" i="2" s="1"/>
  <c r="P113" i="2"/>
  <c r="P115" i="2" s="1"/>
  <c r="L113" i="2"/>
  <c r="L115" i="2" s="1"/>
  <c r="K113" i="2"/>
  <c r="K115" i="2" s="1"/>
  <c r="K117" i="2" s="1"/>
  <c r="C113" i="2"/>
  <c r="C115" i="2" s="1"/>
  <c r="AD112" i="2"/>
  <c r="Z112" i="2"/>
  <c r="V112" i="2"/>
  <c r="R112" i="2"/>
  <c r="N112" i="2"/>
  <c r="J112" i="2"/>
  <c r="F112" i="2"/>
  <c r="AD111" i="2"/>
  <c r="AD175" i="2" s="1"/>
  <c r="Z111" i="2"/>
  <c r="Z175" i="2" s="1"/>
  <c r="V111" i="2"/>
  <c r="V175" i="2" s="1"/>
  <c r="R111" i="2"/>
  <c r="R175" i="2" s="1"/>
  <c r="N111" i="2"/>
  <c r="N175" i="2" s="1"/>
  <c r="J111" i="2"/>
  <c r="F111" i="2"/>
  <c r="F175" i="2" s="1"/>
  <c r="BC110" i="2"/>
  <c r="BC113" i="2" s="1"/>
  <c r="BC115" i="2" s="1"/>
  <c r="BB110" i="2"/>
  <c r="BB113" i="2" s="1"/>
  <c r="BB115" i="2" s="1"/>
  <c r="BA110" i="2"/>
  <c r="AY110" i="2"/>
  <c r="AY113" i="2" s="1"/>
  <c r="AY115" i="2" s="1"/>
  <c r="AV110" i="2"/>
  <c r="AV113" i="2" s="1"/>
  <c r="AV115" i="2" s="1"/>
  <c r="AU110" i="2"/>
  <c r="AU113" i="2" s="1"/>
  <c r="AU115" i="2" s="1"/>
  <c r="AT110" i="2"/>
  <c r="AT113" i="2" s="1"/>
  <c r="AT115" i="2" s="1"/>
  <c r="AS110" i="2"/>
  <c r="AS113" i="2" s="1"/>
  <c r="AS115" i="2" s="1"/>
  <c r="AN110" i="2"/>
  <c r="AN113" i="2" s="1"/>
  <c r="AN115" i="2" s="1"/>
  <c r="AL110" i="2"/>
  <c r="AL113" i="2" s="1"/>
  <c r="AL115" i="2" s="1"/>
  <c r="AK110" i="2"/>
  <c r="AK113" i="2" s="1"/>
  <c r="AK115" i="2" s="1"/>
  <c r="AJ110" i="2"/>
  <c r="AJ113" i="2" s="1"/>
  <c r="AJ115" i="2" s="1"/>
  <c r="AE110" i="2"/>
  <c r="AE113" i="2" s="1"/>
  <c r="AE115" i="2" s="1"/>
  <c r="AC110" i="2"/>
  <c r="W110" i="2"/>
  <c r="W113" i="2" s="1"/>
  <c r="W115" i="2" s="1"/>
  <c r="U110" i="2"/>
  <c r="U113" i="2" s="1"/>
  <c r="U115" i="2" s="1"/>
  <c r="O110" i="2"/>
  <c r="O113" i="2" s="1"/>
  <c r="O115" i="2" s="1"/>
  <c r="M110" i="2"/>
  <c r="M113" i="2" s="1"/>
  <c r="M115" i="2" s="1"/>
  <c r="L110" i="2"/>
  <c r="G110" i="2"/>
  <c r="G113" i="2" s="1"/>
  <c r="G115" i="2" s="1"/>
  <c r="G120" i="2" s="1"/>
  <c r="G125" i="2" s="1"/>
  <c r="G168" i="2" s="1"/>
  <c r="E110" i="2"/>
  <c r="E113" i="2" s="1"/>
  <c r="E115" i="2" s="1"/>
  <c r="D110" i="2"/>
  <c r="D113" i="2" s="1"/>
  <c r="D115" i="2" s="1"/>
  <c r="AD109" i="2"/>
  <c r="AD178" i="2" s="1"/>
  <c r="Z109" i="2"/>
  <c r="V109" i="2"/>
  <c r="V178" i="2" s="1"/>
  <c r="R109" i="2"/>
  <c r="R178" i="2" s="1"/>
  <c r="N109" i="2"/>
  <c r="N178" i="2" s="1"/>
  <c r="J109" i="2"/>
  <c r="J178" i="2" s="1"/>
  <c r="F109" i="2"/>
  <c r="F178" i="2" s="1"/>
  <c r="AD108" i="2"/>
  <c r="AD107" i="2"/>
  <c r="AD177" i="2" s="1"/>
  <c r="AD30" i="3" s="1"/>
  <c r="Z107" i="2"/>
  <c r="V107" i="2"/>
  <c r="R107" i="2"/>
  <c r="N107" i="2"/>
  <c r="J107" i="2"/>
  <c r="F107" i="2"/>
  <c r="AD106" i="2"/>
  <c r="Z106" i="2"/>
  <c r="V106" i="2"/>
  <c r="R106" i="2"/>
  <c r="N106" i="2"/>
  <c r="N177" i="2" s="1"/>
  <c r="N30" i="3" s="1"/>
  <c r="J106" i="2"/>
  <c r="F106" i="2"/>
  <c r="AD105" i="2"/>
  <c r="Z105" i="2"/>
  <c r="V105" i="2"/>
  <c r="V177" i="2" s="1"/>
  <c r="V30" i="3" s="1"/>
  <c r="R105" i="2"/>
  <c r="N105" i="2"/>
  <c r="J105" i="2"/>
  <c r="J177" i="2" s="1"/>
  <c r="F105" i="2"/>
  <c r="F177" i="2" s="1"/>
  <c r="F30" i="3" s="1"/>
  <c r="AX104" i="2"/>
  <c r="AW104" i="2"/>
  <c r="AV104" i="2"/>
  <c r="AF104" i="2"/>
  <c r="AF166" i="2" s="1"/>
  <c r="AE104" i="2"/>
  <c r="AC104" i="2"/>
  <c r="AC166" i="2" s="1"/>
  <c r="AC25" i="3" s="1"/>
  <c r="AB104" i="2"/>
  <c r="AB166" i="2" s="1"/>
  <c r="AA104" i="2"/>
  <c r="AA166" i="2" s="1"/>
  <c r="AA25" i="3" s="1"/>
  <c r="Y104" i="2"/>
  <c r="X104" i="2"/>
  <c r="X166" i="2" s="1"/>
  <c r="U104" i="2"/>
  <c r="U166" i="2" s="1"/>
  <c r="T104" i="2"/>
  <c r="T110" i="2" s="1"/>
  <c r="T113" i="2" s="1"/>
  <c r="T115" i="2" s="1"/>
  <c r="R104" i="2"/>
  <c r="R166" i="2" s="1"/>
  <c r="R25" i="3" s="1"/>
  <c r="N104" i="2"/>
  <c r="N166" i="2" s="1"/>
  <c r="N25" i="3" s="1"/>
  <c r="J104" i="2"/>
  <c r="J166" i="2" s="1"/>
  <c r="J25" i="3" s="1"/>
  <c r="F104" i="2"/>
  <c r="F166" i="2" s="1"/>
  <c r="F25" i="3" s="1"/>
  <c r="BC103" i="2"/>
  <c r="BB103" i="2"/>
  <c r="BA103" i="2"/>
  <c r="AZ103" i="2"/>
  <c r="AZ110" i="2" s="1"/>
  <c r="AY103" i="2"/>
  <c r="AX103" i="2"/>
  <c r="AX110" i="2" s="1"/>
  <c r="AX113" i="2" s="1"/>
  <c r="AX115" i="2" s="1"/>
  <c r="AX120" i="2" s="1"/>
  <c r="AX125" i="2" s="1"/>
  <c r="AW103" i="2"/>
  <c r="AW110" i="2" s="1"/>
  <c r="AW113" i="2" s="1"/>
  <c r="AW115" i="2" s="1"/>
  <c r="AV103" i="2"/>
  <c r="AU103" i="2"/>
  <c r="AT103" i="2"/>
  <c r="AS103" i="2"/>
  <c r="AR103" i="2"/>
  <c r="AR110" i="2" s="1"/>
  <c r="AQ103" i="2"/>
  <c r="AQ110" i="2" s="1"/>
  <c r="AQ113" i="2" s="1"/>
  <c r="AQ115" i="2" s="1"/>
  <c r="AP103" i="2"/>
  <c r="AP110" i="2" s="1"/>
  <c r="AP113" i="2" s="1"/>
  <c r="AP115" i="2" s="1"/>
  <c r="AO103" i="2"/>
  <c r="AO110" i="2" s="1"/>
  <c r="AO113" i="2" s="1"/>
  <c r="AN103" i="2"/>
  <c r="AL103" i="2"/>
  <c r="AK103" i="2"/>
  <c r="AJ103" i="2"/>
  <c r="AI103" i="2"/>
  <c r="AI110" i="2" s="1"/>
  <c r="AH103" i="2"/>
  <c r="AH110" i="2" s="1"/>
  <c r="AH113" i="2" s="1"/>
  <c r="AG103" i="2"/>
  <c r="AG110" i="2" s="1"/>
  <c r="AG113" i="2" s="1"/>
  <c r="AG115" i="2" s="1"/>
  <c r="AF103" i="2"/>
  <c r="AE103" i="2"/>
  <c r="AC103" i="2"/>
  <c r="AB103" i="2"/>
  <c r="AA103" i="2"/>
  <c r="Z103" i="2"/>
  <c r="Y103" i="2"/>
  <c r="Y110" i="2" s="1"/>
  <c r="Y113" i="2" s="1"/>
  <c r="Y115" i="2" s="1"/>
  <c r="X103" i="2"/>
  <c r="X110" i="2" s="1"/>
  <c r="X113" i="2" s="1"/>
  <c r="X115" i="2" s="1"/>
  <c r="W103" i="2"/>
  <c r="U103" i="2"/>
  <c r="T103" i="2"/>
  <c r="S103" i="2"/>
  <c r="S110" i="2" s="1"/>
  <c r="S113" i="2" s="1"/>
  <c r="S115" i="2" s="1"/>
  <c r="Q103" i="2"/>
  <c r="Q110" i="2" s="1"/>
  <c r="Q113" i="2" s="1"/>
  <c r="Q115" i="2" s="1"/>
  <c r="P103" i="2"/>
  <c r="P110" i="2" s="1"/>
  <c r="O103" i="2"/>
  <c r="M103" i="2"/>
  <c r="L103" i="2"/>
  <c r="K103" i="2"/>
  <c r="K110" i="2" s="1"/>
  <c r="J103" i="2"/>
  <c r="I103" i="2"/>
  <c r="I110" i="2" s="1"/>
  <c r="I113" i="2" s="1"/>
  <c r="I115" i="2" s="1"/>
  <c r="H103" i="2"/>
  <c r="H110" i="2" s="1"/>
  <c r="H113" i="2" s="1"/>
  <c r="H115" i="2" s="1"/>
  <c r="G103" i="2"/>
  <c r="F103" i="2"/>
  <c r="F110" i="2" s="1"/>
  <c r="F113" i="2" s="1"/>
  <c r="F115" i="2" s="1"/>
  <c r="E103" i="2"/>
  <c r="D103" i="2"/>
  <c r="C103" i="2"/>
  <c r="C110" i="2" s="1"/>
  <c r="AD102" i="2"/>
  <c r="AD163" i="2" s="1"/>
  <c r="Z102" i="2"/>
  <c r="Z163" i="2" s="1"/>
  <c r="V102" i="2"/>
  <c r="V163" i="2" s="1"/>
  <c r="R102" i="2"/>
  <c r="N102" i="2"/>
  <c r="N163" i="2" s="1"/>
  <c r="N24" i="3" s="1"/>
  <c r="J102" i="2"/>
  <c r="F102" i="2"/>
  <c r="F163" i="2" s="1"/>
  <c r="AD101" i="2"/>
  <c r="AD103" i="2" s="1"/>
  <c r="Z101" i="2"/>
  <c r="V101" i="2"/>
  <c r="R101" i="2"/>
  <c r="N101" i="2"/>
  <c r="J101" i="2"/>
  <c r="F101" i="2"/>
  <c r="BC95" i="2"/>
  <c r="BB95" i="2"/>
  <c r="BA95" i="2"/>
  <c r="AU95" i="2"/>
  <c r="AU458" i="2" s="1"/>
  <c r="AQ95" i="2"/>
  <c r="AQ458" i="2" s="1"/>
  <c r="AP95" i="2"/>
  <c r="AP458" i="2" s="1"/>
  <c r="AL95" i="2"/>
  <c r="AK95" i="2"/>
  <c r="AJ95" i="2"/>
  <c r="AI95" i="2"/>
  <c r="AH95" i="2"/>
  <c r="AG95" i="2"/>
  <c r="AA95" i="2"/>
  <c r="AA458" i="2" s="1"/>
  <c r="Y95" i="2"/>
  <c r="Y458" i="2" s="1"/>
  <c r="W95" i="2"/>
  <c r="W458" i="2" s="1"/>
  <c r="U95" i="2"/>
  <c r="U458" i="2" s="1"/>
  <c r="Q95" i="2"/>
  <c r="Q458" i="2" s="1"/>
  <c r="G95" i="2"/>
  <c r="G458" i="2" s="1"/>
  <c r="AT92" i="2"/>
  <c r="AP92" i="2"/>
  <c r="AB92" i="2"/>
  <c r="Y92" i="2"/>
  <c r="T92" i="2"/>
  <c r="P92" i="2"/>
  <c r="M92" i="2"/>
  <c r="L92" i="2"/>
  <c r="H92" i="2"/>
  <c r="AW91" i="2"/>
  <c r="AP91" i="2"/>
  <c r="AC91" i="2"/>
  <c r="Y91" i="2"/>
  <c r="P91" i="2"/>
  <c r="M91" i="2"/>
  <c r="D91" i="2"/>
  <c r="AX90" i="2"/>
  <c r="AX92" i="2" s="1"/>
  <c r="AW90" i="2"/>
  <c r="AW92" i="2" s="1"/>
  <c r="AT90" i="2"/>
  <c r="AS90" i="2"/>
  <c r="AS92" i="2" s="1"/>
  <c r="AR90" i="2"/>
  <c r="AR92" i="2" s="1"/>
  <c r="AP90" i="2"/>
  <c r="AO90" i="2"/>
  <c r="AO92" i="2" s="1"/>
  <c r="AF90" i="2"/>
  <c r="AF92" i="2" s="1"/>
  <c r="AC90" i="2"/>
  <c r="AC92" i="2" s="1"/>
  <c r="AB90" i="2"/>
  <c r="AA90" i="2"/>
  <c r="AA92" i="2" s="1"/>
  <c r="Y90" i="2"/>
  <c r="U90" i="2"/>
  <c r="U92" i="2" s="1"/>
  <c r="T90" i="2"/>
  <c r="S90" i="2"/>
  <c r="S92" i="2" s="1"/>
  <c r="P90" i="2"/>
  <c r="M90" i="2"/>
  <c r="L90" i="2"/>
  <c r="K90" i="2"/>
  <c r="K92" i="2" s="1"/>
  <c r="H90" i="2"/>
  <c r="E90" i="2"/>
  <c r="E92" i="2" s="1"/>
  <c r="D90" i="2"/>
  <c r="D92" i="2" s="1"/>
  <c r="C90" i="2"/>
  <c r="C92" i="2" s="1"/>
  <c r="AX89" i="2"/>
  <c r="AX91" i="2" s="1"/>
  <c r="AW89" i="2"/>
  <c r="AV89" i="2"/>
  <c r="AT89" i="2"/>
  <c r="AS89" i="2"/>
  <c r="AR89" i="2"/>
  <c r="AP89" i="2"/>
  <c r="AO89" i="2"/>
  <c r="AN89" i="2"/>
  <c r="AF89" i="2"/>
  <c r="AE89" i="2"/>
  <c r="AC89" i="2"/>
  <c r="AB89" i="2"/>
  <c r="AA89" i="2"/>
  <c r="Y89" i="2"/>
  <c r="U89" i="2"/>
  <c r="U91" i="2" s="1"/>
  <c r="T89" i="2"/>
  <c r="T91" i="2" s="1"/>
  <c r="S89" i="2"/>
  <c r="P89" i="2"/>
  <c r="M89" i="2"/>
  <c r="L89" i="2"/>
  <c r="L91" i="2" s="1"/>
  <c r="K89" i="2"/>
  <c r="H89" i="2"/>
  <c r="E89" i="2"/>
  <c r="D89" i="2"/>
  <c r="C89" i="2"/>
  <c r="V88" i="2"/>
  <c r="U88" i="2"/>
  <c r="Q88" i="2"/>
  <c r="J88" i="2"/>
  <c r="AU87" i="2"/>
  <c r="AR87" i="2"/>
  <c r="V87" i="2"/>
  <c r="T87" i="2"/>
  <c r="R87" i="2"/>
  <c r="G87" i="2"/>
  <c r="AT86" i="2"/>
  <c r="AR86" i="2"/>
  <c r="T86" i="2"/>
  <c r="Q86" i="2"/>
  <c r="P86" i="2"/>
  <c r="M86" i="2"/>
  <c r="G86" i="2"/>
  <c r="AT85" i="2"/>
  <c r="V85" i="2"/>
  <c r="T85" i="2"/>
  <c r="R85" i="2"/>
  <c r="P85" i="2"/>
  <c r="I85" i="2"/>
  <c r="BC84" i="2"/>
  <c r="BB84" i="2"/>
  <c r="BA84" i="2"/>
  <c r="AL84" i="2"/>
  <c r="AK84" i="2"/>
  <c r="AJ84" i="2"/>
  <c r="AI84" i="2"/>
  <c r="AH84" i="2"/>
  <c r="AG84" i="2"/>
  <c r="W84" i="2"/>
  <c r="U84" i="2"/>
  <c r="BC83" i="2"/>
  <c r="BB83" i="2"/>
  <c r="BA83" i="2"/>
  <c r="AW83" i="2"/>
  <c r="AL83" i="2"/>
  <c r="AK83" i="2"/>
  <c r="AJ83" i="2"/>
  <c r="AI83" i="2"/>
  <c r="AH83" i="2"/>
  <c r="AG83" i="2"/>
  <c r="AA83" i="2"/>
  <c r="Y83" i="2"/>
  <c r="X83" i="2"/>
  <c r="U83" i="2"/>
  <c r="AR80" i="2"/>
  <c r="AQ80" i="2"/>
  <c r="AP80" i="2"/>
  <c r="AP59" i="2" s="1"/>
  <c r="AP37" i="2" s="1"/>
  <c r="AO80" i="2"/>
  <c r="E80" i="2"/>
  <c r="E59" i="2" s="1"/>
  <c r="D80" i="2"/>
  <c r="C80" i="2"/>
  <c r="F79" i="2"/>
  <c r="F78" i="2"/>
  <c r="F77" i="2"/>
  <c r="F70" i="2" s="1"/>
  <c r="F76" i="2"/>
  <c r="F75" i="2"/>
  <c r="F80" i="2" s="1"/>
  <c r="F59" i="2" s="1"/>
  <c r="F37" i="2" s="1"/>
  <c r="AR73" i="2"/>
  <c r="AP73" i="2"/>
  <c r="AO73" i="2"/>
  <c r="AO53" i="2" s="1"/>
  <c r="AO33" i="2" s="1"/>
  <c r="E73" i="2"/>
  <c r="E53" i="2" s="1"/>
  <c r="AR72" i="2"/>
  <c r="AQ72" i="2"/>
  <c r="AP72" i="2"/>
  <c r="AO72" i="2"/>
  <c r="F72" i="2"/>
  <c r="E72" i="2"/>
  <c r="D72" i="2"/>
  <c r="C72" i="2"/>
  <c r="AR71" i="2"/>
  <c r="AQ71" i="2"/>
  <c r="AP71" i="2"/>
  <c r="AO71" i="2"/>
  <c r="E71" i="2"/>
  <c r="D71" i="2"/>
  <c r="C71" i="2"/>
  <c r="AR70" i="2"/>
  <c r="AQ70" i="2"/>
  <c r="AP70" i="2"/>
  <c r="AO70" i="2"/>
  <c r="E70" i="2"/>
  <c r="D70" i="2"/>
  <c r="C70" i="2"/>
  <c r="AR69" i="2"/>
  <c r="AQ69" i="2"/>
  <c r="AP69" i="2"/>
  <c r="AO69" i="2"/>
  <c r="F69" i="2"/>
  <c r="E69" i="2"/>
  <c r="D69" i="2"/>
  <c r="C69" i="2"/>
  <c r="AR68" i="2"/>
  <c r="AQ68" i="2"/>
  <c r="AQ73" i="2" s="1"/>
  <c r="AQ53" i="2" s="1"/>
  <c r="AQ33" i="2" s="1"/>
  <c r="AP68" i="2"/>
  <c r="AO68" i="2"/>
  <c r="E68" i="2"/>
  <c r="D68" i="2"/>
  <c r="D73" i="2" s="1"/>
  <c r="D53" i="2" s="1"/>
  <c r="D33" i="2" s="1"/>
  <c r="C68" i="2"/>
  <c r="C73" i="2" s="1"/>
  <c r="C53" i="2" s="1"/>
  <c r="C33" i="2" s="1"/>
  <c r="AR66" i="2"/>
  <c r="AQ66" i="2"/>
  <c r="AQ47" i="2" s="1"/>
  <c r="AQ29" i="2" s="1"/>
  <c r="AP66" i="2"/>
  <c r="AO66" i="2"/>
  <c r="E66" i="2"/>
  <c r="D66" i="2"/>
  <c r="C66" i="2"/>
  <c r="C47" i="2" s="1"/>
  <c r="C29" i="2" s="1"/>
  <c r="F65" i="2"/>
  <c r="F64" i="2"/>
  <c r="F71" i="2" s="1"/>
  <c r="F63" i="2"/>
  <c r="F62" i="2"/>
  <c r="F61" i="2"/>
  <c r="F68" i="2" s="1"/>
  <c r="F73" i="2" s="1"/>
  <c r="F53" i="2" s="1"/>
  <c r="F33" i="2" s="1"/>
  <c r="AU59" i="2"/>
  <c r="AT59" i="2"/>
  <c r="AT37" i="2" s="1"/>
  <c r="AS59" i="2"/>
  <c r="AR59" i="2"/>
  <c r="AR37" i="2" s="1"/>
  <c r="AQ59" i="2"/>
  <c r="AO59" i="2"/>
  <c r="AO37" i="2" s="1"/>
  <c r="V59" i="2"/>
  <c r="U59" i="2"/>
  <c r="T59" i="2"/>
  <c r="S59" i="2"/>
  <c r="R59" i="2"/>
  <c r="R37" i="2" s="1"/>
  <c r="Q59" i="2"/>
  <c r="P59" i="2"/>
  <c r="O59" i="2"/>
  <c r="O37" i="2" s="1"/>
  <c r="N59" i="2"/>
  <c r="M59" i="2"/>
  <c r="L59" i="2"/>
  <c r="L37" i="2" s="1"/>
  <c r="K59" i="2"/>
  <c r="J59" i="2"/>
  <c r="J37" i="2" s="1"/>
  <c r="I59" i="2"/>
  <c r="H59" i="2"/>
  <c r="G59" i="2"/>
  <c r="G37" i="2" s="1"/>
  <c r="D59" i="2"/>
  <c r="D37" i="2" s="1"/>
  <c r="C59" i="2"/>
  <c r="C37" i="2" s="1"/>
  <c r="AP53" i="2"/>
  <c r="AP33" i="2" s="1"/>
  <c r="T53" i="2"/>
  <c r="Q53" i="2"/>
  <c r="Q33" i="2" s="1"/>
  <c r="AU52" i="2"/>
  <c r="AU88" i="2" s="1"/>
  <c r="AT52" i="2"/>
  <c r="AT88" i="2" s="1"/>
  <c r="AS52" i="2"/>
  <c r="AS88" i="2" s="1"/>
  <c r="AR52" i="2"/>
  <c r="AR88" i="2" s="1"/>
  <c r="V52" i="2"/>
  <c r="U52" i="2"/>
  <c r="T52" i="2"/>
  <c r="T88" i="2" s="1"/>
  <c r="S52" i="2"/>
  <c r="S88" i="2" s="1"/>
  <c r="R52" i="2"/>
  <c r="R88" i="2" s="1"/>
  <c r="Q52" i="2"/>
  <c r="P52" i="2"/>
  <c r="P88" i="2" s="1"/>
  <c r="O52" i="2"/>
  <c r="O88" i="2" s="1"/>
  <c r="N52" i="2"/>
  <c r="N88" i="2" s="1"/>
  <c r="M52" i="2"/>
  <c r="M88" i="2" s="1"/>
  <c r="L52" i="2"/>
  <c r="L88" i="2" s="1"/>
  <c r="K52" i="2"/>
  <c r="K88" i="2" s="1"/>
  <c r="J52" i="2"/>
  <c r="I52" i="2"/>
  <c r="I88" i="2" s="1"/>
  <c r="H52" i="2"/>
  <c r="H88" i="2" s="1"/>
  <c r="G52" i="2"/>
  <c r="G88" i="2" s="1"/>
  <c r="AU51" i="2"/>
  <c r="AT51" i="2"/>
  <c r="AT87" i="2" s="1"/>
  <c r="AS51" i="2"/>
  <c r="AS87" i="2" s="1"/>
  <c r="AR51" i="2"/>
  <c r="V51" i="2"/>
  <c r="U51" i="2"/>
  <c r="U87" i="2" s="1"/>
  <c r="T51" i="2"/>
  <c r="S51" i="2"/>
  <c r="AV51" i="2" s="1"/>
  <c r="R51" i="2"/>
  <c r="Q51" i="2"/>
  <c r="Q87" i="2" s="1"/>
  <c r="P51" i="2"/>
  <c r="P87" i="2" s="1"/>
  <c r="O51" i="2"/>
  <c r="O87" i="2" s="1"/>
  <c r="N51" i="2"/>
  <c r="N87" i="2" s="1"/>
  <c r="M51" i="2"/>
  <c r="M87" i="2" s="1"/>
  <c r="L51" i="2"/>
  <c r="L87" i="2" s="1"/>
  <c r="K51" i="2"/>
  <c r="K87" i="2" s="1"/>
  <c r="J51" i="2"/>
  <c r="J87" i="2" s="1"/>
  <c r="I51" i="2"/>
  <c r="I87" i="2" s="1"/>
  <c r="H51" i="2"/>
  <c r="H87" i="2" s="1"/>
  <c r="G51" i="2"/>
  <c r="AU50" i="2"/>
  <c r="AU86" i="2" s="1"/>
  <c r="AT50" i="2"/>
  <c r="AS50" i="2"/>
  <c r="AS86" i="2" s="1"/>
  <c r="AR50" i="2"/>
  <c r="V50" i="2"/>
  <c r="V86" i="2" s="1"/>
  <c r="U50" i="2"/>
  <c r="U86" i="2" s="1"/>
  <c r="T50" i="2"/>
  <c r="S50" i="2"/>
  <c r="S86" i="2" s="1"/>
  <c r="R50" i="2"/>
  <c r="R86" i="2" s="1"/>
  <c r="Q50" i="2"/>
  <c r="P50" i="2"/>
  <c r="O50" i="2"/>
  <c r="O86" i="2" s="1"/>
  <c r="N50" i="2"/>
  <c r="N86" i="2" s="1"/>
  <c r="M50" i="2"/>
  <c r="L50" i="2"/>
  <c r="L86" i="2" s="1"/>
  <c r="K50" i="2"/>
  <c r="K86" i="2" s="1"/>
  <c r="J50" i="2"/>
  <c r="J86" i="2" s="1"/>
  <c r="I50" i="2"/>
  <c r="I86" i="2" s="1"/>
  <c r="H50" i="2"/>
  <c r="H86" i="2" s="1"/>
  <c r="G50" i="2"/>
  <c r="AU49" i="2"/>
  <c r="AT49" i="2"/>
  <c r="AT53" i="2" s="1"/>
  <c r="AT33" i="2" s="1"/>
  <c r="AS49" i="2"/>
  <c r="AS85" i="2" s="1"/>
  <c r="AR49" i="2"/>
  <c r="AR85" i="2" s="1"/>
  <c r="V49" i="2"/>
  <c r="U49" i="2"/>
  <c r="U85" i="2" s="1"/>
  <c r="T49" i="2"/>
  <c r="S49" i="2"/>
  <c r="S85" i="2" s="1"/>
  <c r="R49" i="2"/>
  <c r="Q49" i="2"/>
  <c r="Q85" i="2" s="1"/>
  <c r="P49" i="2"/>
  <c r="P53" i="2" s="1"/>
  <c r="P33" i="2" s="1"/>
  <c r="O49" i="2"/>
  <c r="O53" i="2" s="1"/>
  <c r="O33" i="2" s="1"/>
  <c r="N49" i="2"/>
  <c r="N53" i="2" s="1"/>
  <c r="N33" i="2" s="1"/>
  <c r="M49" i="2"/>
  <c r="M85" i="2" s="1"/>
  <c r="L49" i="2"/>
  <c r="L85" i="2" s="1"/>
  <c r="K49" i="2"/>
  <c r="K85" i="2" s="1"/>
  <c r="J49" i="2"/>
  <c r="J53" i="2" s="1"/>
  <c r="J33" i="2" s="1"/>
  <c r="I49" i="2"/>
  <c r="H49" i="2"/>
  <c r="H85" i="2" s="1"/>
  <c r="G49" i="2"/>
  <c r="G53" i="2" s="1"/>
  <c r="G33" i="2" s="1"/>
  <c r="AU47" i="2"/>
  <c r="AT47" i="2"/>
  <c r="AS47" i="2"/>
  <c r="AR47" i="2"/>
  <c r="AP47" i="2"/>
  <c r="AO47" i="2"/>
  <c r="V47" i="2"/>
  <c r="U47" i="2"/>
  <c r="T47" i="2"/>
  <c r="S47" i="2"/>
  <c r="R47" i="2"/>
  <c r="Q47" i="2"/>
  <c r="P47" i="2"/>
  <c r="O47" i="2"/>
  <c r="N47" i="2"/>
  <c r="M47" i="2"/>
  <c r="L47" i="2"/>
  <c r="K47" i="2"/>
  <c r="J47" i="2"/>
  <c r="I47" i="2"/>
  <c r="H47" i="2"/>
  <c r="G47" i="2"/>
  <c r="E47" i="2"/>
  <c r="D47" i="2"/>
  <c r="AV46" i="2"/>
  <c r="AV45" i="2"/>
  <c r="AV44" i="2"/>
  <c r="AV43" i="2"/>
  <c r="AV47" i="2" s="1"/>
  <c r="AD40" i="2"/>
  <c r="Z40" i="2"/>
  <c r="V40" i="2"/>
  <c r="R40" i="2"/>
  <c r="N40" i="2"/>
  <c r="J40" i="2"/>
  <c r="F40" i="2"/>
  <c r="AX37" i="2"/>
  <c r="AW37" i="2"/>
  <c r="AV37" i="2"/>
  <c r="AU37" i="2"/>
  <c r="AS37" i="2"/>
  <c r="AQ37" i="2"/>
  <c r="AF37" i="2"/>
  <c r="AE37" i="2"/>
  <c r="AD37" i="2"/>
  <c r="AC37" i="2"/>
  <c r="AB37" i="2"/>
  <c r="AA37" i="2"/>
  <c r="Y37" i="2"/>
  <c r="X37" i="2"/>
  <c r="W37" i="2"/>
  <c r="U37" i="2"/>
  <c r="T37" i="2"/>
  <c r="S37" i="2"/>
  <c r="Q37" i="2"/>
  <c r="P37" i="2"/>
  <c r="N37" i="2"/>
  <c r="M37" i="2"/>
  <c r="K37" i="2"/>
  <c r="I37" i="2"/>
  <c r="H37" i="2"/>
  <c r="E37" i="2"/>
  <c r="AD36" i="2"/>
  <c r="Z36" i="2"/>
  <c r="V36" i="2"/>
  <c r="V37" i="2" s="1"/>
  <c r="AD35" i="2"/>
  <c r="Z35" i="2"/>
  <c r="Z37" i="2" s="1"/>
  <c r="V35" i="2"/>
  <c r="E33" i="2"/>
  <c r="AX32" i="2"/>
  <c r="AX33" i="2" s="1"/>
  <c r="AW32" i="2"/>
  <c r="AW33" i="2" s="1"/>
  <c r="AV32" i="2"/>
  <c r="AV84" i="2" s="1"/>
  <c r="AF32" i="2"/>
  <c r="AF84" i="2" s="1"/>
  <c r="AE32" i="2"/>
  <c r="AE84" i="2" s="1"/>
  <c r="AC32" i="2"/>
  <c r="AC84" i="2" s="1"/>
  <c r="AB32" i="2"/>
  <c r="AB84" i="2" s="1"/>
  <c r="AB39" i="7" s="1"/>
  <c r="AA32" i="2"/>
  <c r="AA84" i="2" s="1"/>
  <c r="Y32" i="2"/>
  <c r="Y84" i="2" s="1"/>
  <c r="X32" i="2"/>
  <c r="X84" i="2" s="1"/>
  <c r="W32" i="2"/>
  <c r="U32" i="2"/>
  <c r="T32" i="2"/>
  <c r="T84" i="2" s="1"/>
  <c r="S32" i="2"/>
  <c r="S84" i="2" s="1"/>
  <c r="AX31" i="2"/>
  <c r="AX83" i="2" s="1"/>
  <c r="AX38" i="7" s="1"/>
  <c r="AW31" i="2"/>
  <c r="AV31" i="2"/>
  <c r="AV83" i="2" s="1"/>
  <c r="AJ31" i="2"/>
  <c r="AJ35" i="2" s="1"/>
  <c r="AH31" i="2"/>
  <c r="AH35" i="2" s="1"/>
  <c r="AF31" i="2"/>
  <c r="AF83" i="2" s="1"/>
  <c r="AE31" i="2"/>
  <c r="AE83" i="2" s="1"/>
  <c r="AC31" i="2"/>
  <c r="AC83" i="2" s="1"/>
  <c r="AB31" i="2"/>
  <c r="AB83" i="2" s="1"/>
  <c r="AB38" i="7" s="1"/>
  <c r="AA31" i="2"/>
  <c r="AA33" i="2" s="1"/>
  <c r="Z31" i="2"/>
  <c r="Y31" i="2"/>
  <c r="Y33" i="2" s="1"/>
  <c r="X31" i="2"/>
  <c r="X33" i="2" s="1"/>
  <c r="W31" i="2"/>
  <c r="W83" i="2" s="1"/>
  <c r="U31" i="2"/>
  <c r="U33" i="2" s="1"/>
  <c r="T31" i="2"/>
  <c r="T83" i="2" s="1"/>
  <c r="S31" i="2"/>
  <c r="S33" i="2" s="1"/>
  <c r="AX29" i="2"/>
  <c r="AX24" i="2" s="1"/>
  <c r="AW29" i="2"/>
  <c r="AX20" i="2" s="1"/>
  <c r="AV29" i="2"/>
  <c r="AU29" i="2"/>
  <c r="AT29" i="2"/>
  <c r="AS29" i="2"/>
  <c r="AR29" i="2"/>
  <c r="AP29" i="2"/>
  <c r="AO29" i="2"/>
  <c r="AH29" i="2"/>
  <c r="AH160" i="2" s="1"/>
  <c r="AF29" i="2"/>
  <c r="AE29" i="2"/>
  <c r="AC29" i="2"/>
  <c r="AB29" i="2"/>
  <c r="AA29" i="2"/>
  <c r="Y29" i="2"/>
  <c r="X29" i="2"/>
  <c r="W29" i="2"/>
  <c r="U29" i="2"/>
  <c r="T29" i="2"/>
  <c r="S29" i="2"/>
  <c r="R29" i="2"/>
  <c r="Q29" i="2"/>
  <c r="P29" i="2"/>
  <c r="O29" i="2"/>
  <c r="N29" i="2"/>
  <c r="M29" i="2"/>
  <c r="L29" i="2"/>
  <c r="K29" i="2"/>
  <c r="J29" i="2"/>
  <c r="I29" i="2"/>
  <c r="H29" i="2"/>
  <c r="G29" i="2"/>
  <c r="E29" i="2"/>
  <c r="D29" i="2"/>
  <c r="AL28" i="2"/>
  <c r="AH28" i="2"/>
  <c r="AG28" i="2"/>
  <c r="AD28" i="2"/>
  <c r="Z28" i="2"/>
  <c r="Z32" i="2" s="1"/>
  <c r="Z84" i="2" s="1"/>
  <c r="Z39" i="7" s="1"/>
  <c r="V28" i="2"/>
  <c r="Z8" i="2" s="1"/>
  <c r="Z15" i="3" s="1"/>
  <c r="AY27" i="2"/>
  <c r="AY18" i="3" s="1"/>
  <c r="AL27" i="2"/>
  <c r="AL18" i="3" s="1"/>
  <c r="AJ27" i="2"/>
  <c r="AJ18" i="3" s="1"/>
  <c r="AH27" i="2"/>
  <c r="AH18" i="3" s="1"/>
  <c r="AG27" i="2"/>
  <c r="AG18" i="3" s="1"/>
  <c r="AD27" i="2"/>
  <c r="AD18" i="3" s="1"/>
  <c r="Z27" i="2"/>
  <c r="Z18" i="3" s="1"/>
  <c r="V27" i="2"/>
  <c r="V18" i="3" s="1"/>
  <c r="AX18" i="2"/>
  <c r="AX13" i="2"/>
  <c r="AX16" i="3" s="1"/>
  <c r="AW13" i="2"/>
  <c r="AW16" i="3" s="1"/>
  <c r="AV13" i="2"/>
  <c r="AV16" i="3" s="1"/>
  <c r="AU13" i="2"/>
  <c r="AU16" i="3" s="1"/>
  <c r="AT13" i="2"/>
  <c r="AT16" i="3" s="1"/>
  <c r="AS13" i="2"/>
  <c r="AS16" i="3" s="1"/>
  <c r="AR13" i="2"/>
  <c r="AR16" i="3" s="1"/>
  <c r="AQ13" i="2"/>
  <c r="AQ16" i="3" s="1"/>
  <c r="AP13" i="2"/>
  <c r="AP16" i="3" s="1"/>
  <c r="AO13" i="2"/>
  <c r="AO16" i="3" s="1"/>
  <c r="AF13" i="2"/>
  <c r="AF16" i="3" s="1"/>
  <c r="AE13" i="2"/>
  <c r="AE16" i="3" s="1"/>
  <c r="AC13" i="2"/>
  <c r="AC16" i="3" s="1"/>
  <c r="AB13" i="2"/>
  <c r="AB16" i="3" s="1"/>
  <c r="AA13" i="2"/>
  <c r="AA16" i="3" s="1"/>
  <c r="Y13" i="2"/>
  <c r="Y16" i="3" s="1"/>
  <c r="X13" i="2"/>
  <c r="X16" i="3" s="1"/>
  <c r="W13" i="2"/>
  <c r="W16" i="3" s="1"/>
  <c r="U13" i="2"/>
  <c r="U16" i="3" s="1"/>
  <c r="T13" i="2"/>
  <c r="T16" i="3" s="1"/>
  <c r="S13" i="2"/>
  <c r="S16" i="3" s="1"/>
  <c r="Q13" i="2"/>
  <c r="Q16" i="3" s="1"/>
  <c r="P13" i="2"/>
  <c r="P16" i="3" s="1"/>
  <c r="O13" i="2"/>
  <c r="O16" i="3" s="1"/>
  <c r="M13" i="2"/>
  <c r="M16" i="3" s="1"/>
  <c r="L13" i="2"/>
  <c r="L16" i="3" s="1"/>
  <c r="K13" i="2"/>
  <c r="K16" i="3" s="1"/>
  <c r="H13" i="2"/>
  <c r="H16" i="3" s="1"/>
  <c r="G13" i="2"/>
  <c r="G16" i="3" s="1"/>
  <c r="AV12" i="2"/>
  <c r="AU12" i="2"/>
  <c r="AT12" i="2"/>
  <c r="AS12" i="2"/>
  <c r="V12" i="2"/>
  <c r="U12" i="2"/>
  <c r="T12" i="2"/>
  <c r="S12" i="2"/>
  <c r="R12" i="2"/>
  <c r="Q12" i="2"/>
  <c r="P12" i="2"/>
  <c r="O12" i="2"/>
  <c r="N12" i="2"/>
  <c r="M12" i="2"/>
  <c r="L12" i="2"/>
  <c r="K12" i="2"/>
  <c r="AV11" i="2"/>
  <c r="AU11" i="2"/>
  <c r="AT11" i="2"/>
  <c r="AS11" i="2"/>
  <c r="V11" i="2"/>
  <c r="U11" i="2"/>
  <c r="T11" i="2"/>
  <c r="S11" i="2"/>
  <c r="R11" i="2"/>
  <c r="Q11" i="2"/>
  <c r="P11" i="2"/>
  <c r="O11" i="2"/>
  <c r="N11" i="2"/>
  <c r="M11" i="2"/>
  <c r="L11" i="2"/>
  <c r="K11" i="2"/>
  <c r="AV10" i="2"/>
  <c r="AU10" i="2"/>
  <c r="AT10" i="2"/>
  <c r="AS10" i="2"/>
  <c r="V10" i="2"/>
  <c r="U10" i="2"/>
  <c r="T10" i="2"/>
  <c r="S10" i="2"/>
  <c r="R10" i="2"/>
  <c r="Q10" i="2"/>
  <c r="P10" i="2"/>
  <c r="O10" i="2"/>
  <c r="N10" i="2"/>
  <c r="M10" i="2"/>
  <c r="L10" i="2"/>
  <c r="K10" i="2"/>
  <c r="AU9" i="2"/>
  <c r="AT9" i="2"/>
  <c r="AS9" i="2"/>
  <c r="V9" i="2"/>
  <c r="U9" i="2"/>
  <c r="T9" i="2"/>
  <c r="S9" i="2"/>
  <c r="R9" i="2"/>
  <c r="Q9" i="2"/>
  <c r="P9" i="2"/>
  <c r="O9" i="2"/>
  <c r="N9" i="2"/>
  <c r="M9" i="2"/>
  <c r="L9" i="2"/>
  <c r="K9" i="2"/>
  <c r="BC8" i="2"/>
  <c r="BC15" i="3" s="1"/>
  <c r="BB8" i="2"/>
  <c r="BB15" i="3" s="1"/>
  <c r="BA8" i="2"/>
  <c r="BA15" i="3" s="1"/>
  <c r="AX8" i="2"/>
  <c r="AX15" i="3" s="1"/>
  <c r="AW8" i="2"/>
  <c r="AW15" i="3" s="1"/>
  <c r="AL8" i="2"/>
  <c r="AL15" i="3" s="1"/>
  <c r="AK8" i="2"/>
  <c r="AK15" i="3" s="1"/>
  <c r="AJ8" i="2"/>
  <c r="AJ15" i="3" s="1"/>
  <c r="AI8" i="2"/>
  <c r="AI15" i="3" s="1"/>
  <c r="AF8" i="2"/>
  <c r="AF15" i="3" s="1"/>
  <c r="AE8" i="2"/>
  <c r="AE15" i="3" s="1"/>
  <c r="AC8" i="2"/>
  <c r="AC15" i="3" s="1"/>
  <c r="AB8" i="2"/>
  <c r="AB15" i="3" s="1"/>
  <c r="AA8" i="2"/>
  <c r="AA15" i="3" s="1"/>
  <c r="Y8" i="2"/>
  <c r="Y15" i="3" s="1"/>
  <c r="X8" i="2"/>
  <c r="X15" i="3" s="1"/>
  <c r="W8" i="2"/>
  <c r="W15" i="3" s="1"/>
  <c r="BC7" i="2"/>
  <c r="BC14" i="3" s="1"/>
  <c r="BB7" i="2"/>
  <c r="BB14" i="3" s="1"/>
  <c r="BA7" i="2"/>
  <c r="BA14" i="3" s="1"/>
  <c r="AX7" i="2"/>
  <c r="AX14" i="3" s="1"/>
  <c r="AW7" i="2"/>
  <c r="AW14" i="3" s="1"/>
  <c r="AL7" i="2"/>
  <c r="AL14" i="3" s="1"/>
  <c r="AK7" i="2"/>
  <c r="AK14" i="3" s="1"/>
  <c r="AJ7" i="2"/>
  <c r="AJ14" i="3" s="1"/>
  <c r="AI7" i="2"/>
  <c r="AI14" i="3" s="1"/>
  <c r="AF7" i="2"/>
  <c r="AF14" i="3" s="1"/>
  <c r="AE7" i="2"/>
  <c r="AE14" i="3" s="1"/>
  <c r="AD7" i="2"/>
  <c r="AD14" i="3" s="1"/>
  <c r="AC7" i="2"/>
  <c r="AC14" i="3" s="1"/>
  <c r="AB7" i="2"/>
  <c r="AB14" i="3" s="1"/>
  <c r="AA7" i="2"/>
  <c r="AA14" i="3" s="1"/>
  <c r="Y7" i="2"/>
  <c r="Y14" i="3" s="1"/>
  <c r="X7" i="2"/>
  <c r="X14" i="3" s="1"/>
  <c r="W7" i="2"/>
  <c r="W14" i="3" s="1"/>
  <c r="AO5" i="2"/>
  <c r="AO2" i="3" s="1"/>
  <c r="A5" i="2"/>
  <c r="AO4" i="2"/>
  <c r="AP4" i="2" s="1"/>
  <c r="A4" i="2"/>
  <c r="AP3" i="2"/>
  <c r="AP3" i="7" s="1"/>
  <c r="AO3" i="2"/>
  <c r="AN2" i="2"/>
  <c r="AN3" i="2" s="1"/>
  <c r="A66" i="7"/>
  <c r="A65" i="7"/>
  <c r="A64" i="7"/>
  <c r="A63" i="7"/>
  <c r="A62" i="7"/>
  <c r="AW60" i="7"/>
  <c r="AV60" i="7"/>
  <c r="AU60" i="7"/>
  <c r="AS60" i="7"/>
  <c r="AQ60" i="7"/>
  <c r="AP60" i="7"/>
  <c r="AO60" i="7"/>
  <c r="A60" i="7"/>
  <c r="A59" i="7"/>
  <c r="A58" i="7"/>
  <c r="AY56" i="7"/>
  <c r="AF56" i="7"/>
  <c r="A56" i="7"/>
  <c r="AX55" i="7"/>
  <c r="AW55" i="7"/>
  <c r="AV55" i="7"/>
  <c r="AU55" i="7"/>
  <c r="AT55" i="7"/>
  <c r="AS55" i="7"/>
  <c r="AR55" i="7"/>
  <c r="AQ55" i="7"/>
  <c r="AP55" i="7"/>
  <c r="AO55" i="7"/>
  <c r="AN55" i="7"/>
  <c r="AF55" i="7"/>
  <c r="AE55" i="7"/>
  <c r="AD55" i="7"/>
  <c r="AC55" i="7"/>
  <c r="AB55" i="7"/>
  <c r="AA55" i="7"/>
  <c r="Z55" i="7"/>
  <c r="Y55" i="7"/>
  <c r="X55" i="7"/>
  <c r="W55" i="7"/>
  <c r="V55" i="7"/>
  <c r="U55" i="7"/>
  <c r="T55" i="7"/>
  <c r="S55" i="7"/>
  <c r="R55" i="7"/>
  <c r="Q55" i="7"/>
  <c r="P55" i="7"/>
  <c r="O55" i="7"/>
  <c r="N55" i="7"/>
  <c r="M55" i="7"/>
  <c r="L55" i="7"/>
  <c r="K55" i="7"/>
  <c r="J55" i="7"/>
  <c r="I55" i="7"/>
  <c r="H55" i="7"/>
  <c r="G55" i="7"/>
  <c r="F55" i="7"/>
  <c r="E55" i="7"/>
  <c r="D55" i="7"/>
  <c r="C55" i="7"/>
  <c r="A55" i="7"/>
  <c r="AX54" i="7"/>
  <c r="AW54" i="7"/>
  <c r="AV54" i="7"/>
  <c r="AU54" i="7"/>
  <c r="AT54" i="7"/>
  <c r="AS54" i="7"/>
  <c r="AR54" i="7"/>
  <c r="AQ54" i="7"/>
  <c r="AP54" i="7"/>
  <c r="AO54" i="7"/>
  <c r="AN54" i="7"/>
  <c r="AF54" i="7"/>
  <c r="AE54" i="7"/>
  <c r="AC54" i="7"/>
  <c r="AB54" i="7"/>
  <c r="AA54" i="7"/>
  <c r="Z54" i="7"/>
  <c r="Y54" i="7"/>
  <c r="X54" i="7"/>
  <c r="W54" i="7"/>
  <c r="U54" i="7"/>
  <c r="T54" i="7"/>
  <c r="S54" i="7"/>
  <c r="Q54" i="7"/>
  <c r="P54" i="7"/>
  <c r="O54" i="7"/>
  <c r="M54" i="7"/>
  <c r="L54" i="7"/>
  <c r="K54" i="7"/>
  <c r="J54" i="7"/>
  <c r="I54" i="7"/>
  <c r="H54" i="7"/>
  <c r="G54" i="7"/>
  <c r="E54" i="7"/>
  <c r="D54" i="7"/>
  <c r="C54" i="7"/>
  <c r="A54" i="7"/>
  <c r="AY53" i="7"/>
  <c r="AX53" i="7"/>
  <c r="AW53" i="7"/>
  <c r="AV53" i="7"/>
  <c r="AU53" i="7"/>
  <c r="AT53" i="7"/>
  <c r="AS53" i="7"/>
  <c r="AR53" i="7"/>
  <c r="AQ53" i="7"/>
  <c r="AP53" i="7"/>
  <c r="AO53" i="7"/>
  <c r="AN53" i="7"/>
  <c r="AF53" i="7"/>
  <c r="AE53" i="7"/>
  <c r="AD53" i="7"/>
  <c r="AC53" i="7"/>
  <c r="AB53" i="7"/>
  <c r="AA53" i="7"/>
  <c r="Z53" i="7"/>
  <c r="Y53" i="7"/>
  <c r="X53" i="7"/>
  <c r="W53" i="7"/>
  <c r="V53" i="7"/>
  <c r="U53" i="7"/>
  <c r="T53" i="7"/>
  <c r="S53" i="7"/>
  <c r="R53" i="7"/>
  <c r="Q53" i="7"/>
  <c r="P53" i="7"/>
  <c r="O53" i="7"/>
  <c r="N53" i="7"/>
  <c r="M53" i="7"/>
  <c r="L53" i="7"/>
  <c r="K53" i="7"/>
  <c r="J53" i="7"/>
  <c r="I53" i="7"/>
  <c r="H53" i="7"/>
  <c r="G53" i="7"/>
  <c r="F53" i="7"/>
  <c r="E53" i="7"/>
  <c r="D53" i="7"/>
  <c r="C53" i="7"/>
  <c r="A53" i="7"/>
  <c r="AX52" i="7"/>
  <c r="AW52" i="7"/>
  <c r="AV52" i="7"/>
  <c r="AU52" i="7"/>
  <c r="AT52" i="7"/>
  <c r="AS52" i="7"/>
  <c r="AR52" i="7"/>
  <c r="AQ52" i="7"/>
  <c r="AP52" i="7"/>
  <c r="AO52" i="7"/>
  <c r="AN52" i="7"/>
  <c r="AF52" i="7"/>
  <c r="AE52" i="7"/>
  <c r="AD52" i="7"/>
  <c r="AC52" i="7"/>
  <c r="AB52" i="7"/>
  <c r="AA52" i="7"/>
  <c r="Z52" i="7"/>
  <c r="Y52" i="7"/>
  <c r="X52" i="7"/>
  <c r="W52" i="7"/>
  <c r="V52" i="7"/>
  <c r="U52" i="7"/>
  <c r="T52" i="7"/>
  <c r="S52" i="7"/>
  <c r="R52" i="7"/>
  <c r="Q52" i="7"/>
  <c r="P52" i="7"/>
  <c r="O52" i="7"/>
  <c r="N52" i="7"/>
  <c r="M52" i="7"/>
  <c r="L52" i="7"/>
  <c r="K52" i="7"/>
  <c r="J52" i="7"/>
  <c r="I52" i="7"/>
  <c r="H52" i="7"/>
  <c r="G52" i="7"/>
  <c r="F52" i="7"/>
  <c r="E52" i="7"/>
  <c r="D52" i="7"/>
  <c r="C52" i="7"/>
  <c r="A52" i="7"/>
  <c r="AX51" i="7"/>
  <c r="AW51" i="7"/>
  <c r="AV51" i="7"/>
  <c r="AU51" i="7"/>
  <c r="AT51" i="7"/>
  <c r="AS51" i="7"/>
  <c r="AR51" i="7"/>
  <c r="AQ51" i="7"/>
  <c r="AP51" i="7"/>
  <c r="AO51" i="7"/>
  <c r="AN51" i="7"/>
  <c r="AF51" i="7"/>
  <c r="AE51" i="7"/>
  <c r="AD51" i="7"/>
  <c r="AC51" i="7"/>
  <c r="AB51" i="7"/>
  <c r="AA51" i="7"/>
  <c r="Z51" i="7"/>
  <c r="Y51" i="7"/>
  <c r="X51" i="7"/>
  <c r="W51" i="7"/>
  <c r="V51" i="7"/>
  <c r="U51" i="7"/>
  <c r="T51" i="7"/>
  <c r="S51" i="7"/>
  <c r="R51" i="7"/>
  <c r="Q51" i="7"/>
  <c r="P51" i="7"/>
  <c r="O51" i="7"/>
  <c r="N51" i="7"/>
  <c r="M51" i="7"/>
  <c r="L51" i="7"/>
  <c r="K51" i="7"/>
  <c r="J51" i="7"/>
  <c r="I51" i="7"/>
  <c r="H51" i="7"/>
  <c r="G51" i="7"/>
  <c r="F51" i="7"/>
  <c r="E51" i="7"/>
  <c r="D51" i="7"/>
  <c r="C51" i="7"/>
  <c r="A51" i="7"/>
  <c r="AX50" i="7"/>
  <c r="AW50" i="7"/>
  <c r="AV50" i="7"/>
  <c r="AU50" i="7"/>
  <c r="AT50" i="7"/>
  <c r="AS50" i="7"/>
  <c r="AR50" i="7"/>
  <c r="AQ50" i="7"/>
  <c r="AP50" i="7"/>
  <c r="AO50" i="7"/>
  <c r="AN50" i="7"/>
  <c r="AF50" i="7"/>
  <c r="AE50" i="7"/>
  <c r="AD50" i="7"/>
  <c r="AC50" i="7"/>
  <c r="AB50" i="7"/>
  <c r="AA50" i="7"/>
  <c r="Z50" i="7"/>
  <c r="Y50" i="7"/>
  <c r="X50" i="7"/>
  <c r="W50" i="7"/>
  <c r="V50" i="7"/>
  <c r="U50" i="7"/>
  <c r="T50" i="7"/>
  <c r="S50" i="7"/>
  <c r="Q50" i="7"/>
  <c r="P50" i="7"/>
  <c r="O50" i="7"/>
  <c r="N50" i="7"/>
  <c r="M50" i="7"/>
  <c r="L50" i="7"/>
  <c r="K50" i="7"/>
  <c r="J50" i="7"/>
  <c r="I50" i="7"/>
  <c r="H50" i="7"/>
  <c r="G50" i="7"/>
  <c r="F50" i="7"/>
  <c r="E50" i="7"/>
  <c r="D50" i="7"/>
  <c r="C50" i="7"/>
  <c r="A50" i="7"/>
  <c r="A49" i="7"/>
  <c r="AF47" i="7"/>
  <c r="A47" i="7"/>
  <c r="A46" i="7"/>
  <c r="AZ45" i="7"/>
  <c r="AU45" i="7"/>
  <c r="AE45" i="7"/>
  <c r="AC45" i="7"/>
  <c r="AB45" i="7"/>
  <c r="AA45" i="7"/>
  <c r="Z45" i="7"/>
  <c r="W45" i="7"/>
  <c r="U45" i="7"/>
  <c r="T45" i="7"/>
  <c r="S45" i="7"/>
  <c r="R45" i="7"/>
  <c r="A45" i="7"/>
  <c r="AX44" i="7"/>
  <c r="AW44" i="7"/>
  <c r="AV44" i="7"/>
  <c r="AU44" i="7"/>
  <c r="AT44" i="7"/>
  <c r="AS44" i="7"/>
  <c r="AR44" i="7"/>
  <c r="AQ44" i="7"/>
  <c r="AP44" i="7"/>
  <c r="AO44" i="7"/>
  <c r="AN44" i="7"/>
  <c r="AF44" i="7"/>
  <c r="AE44" i="7"/>
  <c r="AD44" i="7"/>
  <c r="AC44" i="7"/>
  <c r="AB44" i="7"/>
  <c r="AA44" i="7"/>
  <c r="Z44" i="7"/>
  <c r="Y44" i="7"/>
  <c r="X44" i="7"/>
  <c r="W44" i="7"/>
  <c r="V44" i="7"/>
  <c r="U44" i="7"/>
  <c r="T44" i="7"/>
  <c r="S44" i="7"/>
  <c r="R44" i="7"/>
  <c r="Q44" i="7"/>
  <c r="P44" i="7"/>
  <c r="O44" i="7"/>
  <c r="N44" i="7"/>
  <c r="M44" i="7"/>
  <c r="L44" i="7"/>
  <c r="K44" i="7"/>
  <c r="J44" i="7"/>
  <c r="I44" i="7"/>
  <c r="H44" i="7"/>
  <c r="G44" i="7"/>
  <c r="F44" i="7"/>
  <c r="E44" i="7"/>
  <c r="D44" i="7"/>
  <c r="C44" i="7"/>
  <c r="A44" i="7"/>
  <c r="AX43" i="7"/>
  <c r="AW43" i="7"/>
  <c r="AV43" i="7"/>
  <c r="AU43" i="7"/>
  <c r="AT43" i="7"/>
  <c r="AS43" i="7"/>
  <c r="AR43" i="7"/>
  <c r="AQ43" i="7"/>
  <c r="AP43" i="7"/>
  <c r="AO43" i="7"/>
  <c r="AN43" i="7"/>
  <c r="AF43" i="7"/>
  <c r="AE43" i="7"/>
  <c r="AD43" i="7"/>
  <c r="AC43" i="7"/>
  <c r="AB43" i="7"/>
  <c r="AA43" i="7"/>
  <c r="Z43" i="7"/>
  <c r="Y43" i="7"/>
  <c r="X43" i="7"/>
  <c r="W43" i="7"/>
  <c r="V43" i="7"/>
  <c r="U43" i="7"/>
  <c r="T43" i="7"/>
  <c r="S43" i="7"/>
  <c r="Q43" i="7"/>
  <c r="P43" i="7"/>
  <c r="O43" i="7"/>
  <c r="N43" i="7"/>
  <c r="M43" i="7"/>
  <c r="L43" i="7"/>
  <c r="K43" i="7"/>
  <c r="J43" i="7"/>
  <c r="I43" i="7"/>
  <c r="H43" i="7"/>
  <c r="G43" i="7"/>
  <c r="F43" i="7"/>
  <c r="E43" i="7"/>
  <c r="D43" i="7"/>
  <c r="C43" i="7"/>
  <c r="A43" i="7"/>
  <c r="A42" i="7"/>
  <c r="AU40" i="7"/>
  <c r="AQ40" i="7"/>
  <c r="AP40" i="7"/>
  <c r="AN40" i="7"/>
  <c r="AA40" i="7"/>
  <c r="Y40" i="7"/>
  <c r="W40" i="7"/>
  <c r="U40" i="7"/>
  <c r="Q40" i="7"/>
  <c r="G40" i="7"/>
  <c r="A40" i="7"/>
  <c r="AV39" i="7"/>
  <c r="AF39" i="7"/>
  <c r="AE39" i="7"/>
  <c r="AC39" i="7"/>
  <c r="AA39" i="7"/>
  <c r="Y39" i="7"/>
  <c r="X39" i="7"/>
  <c r="W39" i="7"/>
  <c r="U39" i="7"/>
  <c r="T39" i="7"/>
  <c r="S39" i="7"/>
  <c r="A39" i="7"/>
  <c r="AW38" i="7"/>
  <c r="AV38" i="7"/>
  <c r="AF38" i="7"/>
  <c r="AE38" i="7"/>
  <c r="AC38" i="7"/>
  <c r="AA38" i="7"/>
  <c r="Y38" i="7"/>
  <c r="X38" i="7"/>
  <c r="W38" i="7"/>
  <c r="U38" i="7"/>
  <c r="T38" i="7"/>
  <c r="A38" i="7"/>
  <c r="A37" i="7"/>
  <c r="AX35" i="7"/>
  <c r="AW35" i="7"/>
  <c r="AV35" i="7"/>
  <c r="AL35" i="7"/>
  <c r="AF35" i="7"/>
  <c r="AE35" i="7"/>
  <c r="AD35" i="7"/>
  <c r="AC35" i="7"/>
  <c r="AB35" i="7"/>
  <c r="AA35" i="7"/>
  <c r="Z35" i="7"/>
  <c r="Y35" i="7"/>
  <c r="X35" i="7"/>
  <c r="W35" i="7"/>
  <c r="V35" i="7"/>
  <c r="U35" i="7"/>
  <c r="T35" i="7"/>
  <c r="S35" i="7"/>
  <c r="A35" i="7"/>
  <c r="AY34" i="7"/>
  <c r="AX34" i="7"/>
  <c r="AW34" i="7"/>
  <c r="AV34" i="7"/>
  <c r="AL34" i="7"/>
  <c r="AJ34" i="7"/>
  <c r="AF34" i="7"/>
  <c r="AE34" i="7"/>
  <c r="AD34" i="7"/>
  <c r="AC34" i="7"/>
  <c r="AB34" i="7"/>
  <c r="AA34" i="7"/>
  <c r="Z34" i="7"/>
  <c r="Y34" i="7"/>
  <c r="X34" i="7"/>
  <c r="W34" i="7"/>
  <c r="V34" i="7"/>
  <c r="U34" i="7"/>
  <c r="T34" i="7"/>
  <c r="S34" i="7"/>
  <c r="A34" i="7"/>
  <c r="A33" i="7"/>
  <c r="AX31" i="7"/>
  <c r="AW31" i="7"/>
  <c r="AF31" i="7"/>
  <c r="AE31" i="7"/>
  <c r="AC31" i="7"/>
  <c r="AB31" i="7"/>
  <c r="AA31" i="7"/>
  <c r="Z31" i="7"/>
  <c r="Y31" i="7"/>
  <c r="X31" i="7"/>
  <c r="W31" i="7"/>
  <c r="A31" i="7"/>
  <c r="AX30" i="7"/>
  <c r="AW30" i="7"/>
  <c r="AF30" i="7"/>
  <c r="AE30" i="7"/>
  <c r="AD30" i="7"/>
  <c r="AC30" i="7"/>
  <c r="AB30" i="7"/>
  <c r="AA30" i="7"/>
  <c r="Y30" i="7"/>
  <c r="X30" i="7"/>
  <c r="W30" i="7"/>
  <c r="A30" i="7"/>
  <c r="A29" i="7"/>
  <c r="A27" i="7"/>
  <c r="A22" i="7"/>
  <c r="AP18" i="7"/>
  <c r="Y18" i="7"/>
  <c r="Q18" i="7"/>
  <c r="BC17" i="7"/>
  <c r="BB17" i="7"/>
  <c r="BA17" i="7"/>
  <c r="AX17" i="7"/>
  <c r="AW17" i="7"/>
  <c r="AV17" i="7"/>
  <c r="AU17" i="7"/>
  <c r="AT17" i="7"/>
  <c r="AS17" i="7"/>
  <c r="AR17" i="7"/>
  <c r="AQ17" i="7"/>
  <c r="AP17" i="7"/>
  <c r="AO17" i="7"/>
  <c r="AN17" i="7"/>
  <c r="AL17" i="7"/>
  <c r="AK17" i="7"/>
  <c r="AJ17" i="7"/>
  <c r="AI17" i="7"/>
  <c r="AH17" i="7"/>
  <c r="AG17" i="7"/>
  <c r="AF17" i="7"/>
  <c r="AE17" i="7"/>
  <c r="AD17" i="7"/>
  <c r="AC17" i="7"/>
  <c r="AB17" i="7"/>
  <c r="AA17" i="7"/>
  <c r="Z17" i="7"/>
  <c r="Y17" i="7"/>
  <c r="X17" i="7"/>
  <c r="W17" i="7"/>
  <c r="V17" i="7"/>
  <c r="U17" i="7"/>
  <c r="T17" i="7"/>
  <c r="S17" i="7"/>
  <c r="Q17" i="7"/>
  <c r="P17" i="7"/>
  <c r="O17" i="7"/>
  <c r="N17" i="7"/>
  <c r="M17" i="7"/>
  <c r="L17" i="7"/>
  <c r="K17" i="7"/>
  <c r="J17" i="7"/>
  <c r="I17" i="7"/>
  <c r="H17" i="7"/>
  <c r="G17" i="7"/>
  <c r="F17" i="7"/>
  <c r="E17" i="7"/>
  <c r="D17" i="7"/>
  <c r="C17" i="7"/>
  <c r="BC16" i="7"/>
  <c r="BB16" i="7"/>
  <c r="BA16" i="7"/>
  <c r="AX16" i="7"/>
  <c r="AW16" i="7"/>
  <c r="AV16" i="7"/>
  <c r="AU16" i="7"/>
  <c r="AT16" i="7"/>
  <c r="AS16" i="7"/>
  <c r="AR16" i="7"/>
  <c r="AQ16" i="7"/>
  <c r="AP16" i="7"/>
  <c r="AO16" i="7"/>
  <c r="AN16" i="7"/>
  <c r="AL16" i="7"/>
  <c r="AK16" i="7"/>
  <c r="AJ16" i="7"/>
  <c r="AI16" i="7"/>
  <c r="AH16" i="7"/>
  <c r="AG16" i="7"/>
  <c r="AF16" i="7"/>
  <c r="AE16" i="7"/>
  <c r="AD16" i="7"/>
  <c r="AC16" i="7"/>
  <c r="AB16" i="7"/>
  <c r="AA16" i="7"/>
  <c r="Z16" i="7"/>
  <c r="Y16" i="7"/>
  <c r="X16" i="7"/>
  <c r="W16" i="7"/>
  <c r="V16" i="7"/>
  <c r="U16" i="7"/>
  <c r="T16" i="7"/>
  <c r="S16" i="7"/>
  <c r="Q16" i="7"/>
  <c r="P16" i="7"/>
  <c r="O16" i="7"/>
  <c r="N16" i="7"/>
  <c r="M16" i="7"/>
  <c r="L16" i="7"/>
  <c r="K16" i="7"/>
  <c r="J16" i="7"/>
  <c r="I16" i="7"/>
  <c r="H16" i="7"/>
  <c r="G16" i="7"/>
  <c r="F16" i="7"/>
  <c r="E16" i="7"/>
  <c r="D16" i="7"/>
  <c r="C16" i="7"/>
  <c r="AX15" i="7"/>
  <c r="AW15" i="7"/>
  <c r="AS15" i="7"/>
  <c r="AR15" i="7"/>
  <c r="AQ15" i="7"/>
  <c r="AP15" i="7"/>
  <c r="AO15" i="7"/>
  <c r="AD15" i="7"/>
  <c r="AB15" i="7"/>
  <c r="AA15" i="7"/>
  <c r="Z15" i="7"/>
  <c r="Y15" i="7"/>
  <c r="W15" i="7"/>
  <c r="V15" i="7"/>
  <c r="T15" i="7"/>
  <c r="S15" i="7"/>
  <c r="R15" i="7"/>
  <c r="Q15" i="7"/>
  <c r="O15" i="7"/>
  <c r="N15" i="7"/>
  <c r="L15" i="7"/>
  <c r="K15" i="7"/>
  <c r="J15" i="7"/>
  <c r="I15" i="7"/>
  <c r="G15" i="7"/>
  <c r="F15" i="7"/>
  <c r="D15" i="7"/>
  <c r="C15" i="7"/>
  <c r="A11" i="7"/>
  <c r="A10" i="7"/>
  <c r="A9" i="7"/>
  <c r="V8" i="7"/>
  <c r="R8" i="7"/>
  <c r="G8" i="7"/>
  <c r="AX7" i="7"/>
  <c r="AW7" i="7"/>
  <c r="AV7" i="7"/>
  <c r="AU7" i="7"/>
  <c r="AT7" i="7"/>
  <c r="AS7" i="7"/>
  <c r="AR7" i="7"/>
  <c r="AQ7" i="7"/>
  <c r="AP7" i="7"/>
  <c r="AO7" i="7"/>
  <c r="AN7" i="7"/>
  <c r="AH7" i="7"/>
  <c r="AF7" i="7"/>
  <c r="AE7" i="7"/>
  <c r="AC7" i="7"/>
  <c r="AB7" i="7"/>
  <c r="AA7" i="7"/>
  <c r="Y7" i="7"/>
  <c r="X7" i="7"/>
  <c r="W7" i="7"/>
  <c r="U7" i="7"/>
  <c r="T7" i="7"/>
  <c r="S7" i="7"/>
  <c r="Q7" i="7"/>
  <c r="P7" i="7"/>
  <c r="O7" i="7"/>
  <c r="M7" i="7"/>
  <c r="L7" i="7"/>
  <c r="K7" i="7"/>
  <c r="I7" i="7"/>
  <c r="H7" i="7"/>
  <c r="G7" i="7"/>
  <c r="E7" i="7"/>
  <c r="D7" i="7"/>
  <c r="C7" i="7"/>
  <c r="A7" i="7"/>
  <c r="AO5" i="7"/>
  <c r="AN5" i="7"/>
  <c r="AP4" i="7"/>
  <c r="AO4" i="7"/>
  <c r="AN4" i="7"/>
  <c r="A4" i="7"/>
  <c r="AO3" i="7"/>
  <c r="AV2" i="7"/>
  <c r="AN2" i="7"/>
  <c r="AF2" i="7"/>
  <c r="V2" i="7"/>
  <c r="U2" i="7"/>
  <c r="T2" i="7"/>
  <c r="S2" i="7"/>
  <c r="A1" i="7"/>
  <c r="H13" i="1"/>
  <c r="H11" i="1"/>
  <c r="H9" i="1"/>
  <c r="AN504" i="2" l="1"/>
  <c r="AN3" i="7"/>
  <c r="AP1" i="3"/>
  <c r="AP504" i="2"/>
  <c r="AQ4" i="2"/>
  <c r="X117" i="2"/>
  <c r="X120" i="2"/>
  <c r="X125" i="2" s="1"/>
  <c r="X137" i="2" s="1"/>
  <c r="X168" i="2" s="1"/>
  <c r="AP117" i="2"/>
  <c r="AP120" i="2"/>
  <c r="AP125" i="2" s="1"/>
  <c r="AP168" i="2" s="1"/>
  <c r="AX137" i="2"/>
  <c r="AX168" i="2" s="1"/>
  <c r="Y117" i="2"/>
  <c r="Y120" i="2"/>
  <c r="Y125" i="2" s="1"/>
  <c r="Y137" i="2" s="1"/>
  <c r="Y168" i="2" s="1"/>
  <c r="AQ117" i="2"/>
  <c r="AQ120" i="2"/>
  <c r="AQ125" i="2" s="1"/>
  <c r="AQ168" i="2" s="1"/>
  <c r="AF25" i="3"/>
  <c r="AF95" i="2"/>
  <c r="H117" i="2"/>
  <c r="H120" i="2"/>
  <c r="H125" i="2" s="1"/>
  <c r="H168" i="2" s="1"/>
  <c r="D120" i="2"/>
  <c r="D125" i="2" s="1"/>
  <c r="D168" i="2" s="1"/>
  <c r="D117" i="2"/>
  <c r="AX17" i="2"/>
  <c r="AX16" i="2"/>
  <c r="Z33" i="2"/>
  <c r="I117" i="2"/>
  <c r="I120" i="2"/>
  <c r="I125" i="2" s="1"/>
  <c r="I168" i="2" s="1"/>
  <c r="AX21" i="2"/>
  <c r="AX15" i="2" s="1"/>
  <c r="AV57" i="2"/>
  <c r="AV87" i="2"/>
  <c r="G40" i="3"/>
  <c r="G97" i="2"/>
  <c r="AD19" i="3"/>
  <c r="AD452" i="2"/>
  <c r="T33" i="2"/>
  <c r="AB33" i="2"/>
  <c r="H53" i="2"/>
  <c r="H33" i="2" s="1"/>
  <c r="AR53" i="2"/>
  <c r="AR33" i="2" s="1"/>
  <c r="AW84" i="2"/>
  <c r="AW39" i="7" s="1"/>
  <c r="R460" i="2"/>
  <c r="V24" i="3"/>
  <c r="Q117" i="2"/>
  <c r="Q120" i="2"/>
  <c r="Q125" i="2" s="1"/>
  <c r="Q168" i="2" s="1"/>
  <c r="T120" i="2"/>
  <c r="T125" i="2" s="1"/>
  <c r="U120" i="2"/>
  <c r="U125" i="2" s="1"/>
  <c r="U137" i="2" s="1"/>
  <c r="U168" i="2" s="1"/>
  <c r="AN117" i="2"/>
  <c r="AN120" i="2"/>
  <c r="AN125" i="2" s="1"/>
  <c r="AN168" i="2" s="1"/>
  <c r="AD29" i="3"/>
  <c r="AD234" i="2"/>
  <c r="C120" i="2"/>
  <c r="C125" i="2" s="1"/>
  <c r="C168" i="2" s="1"/>
  <c r="C117" i="2"/>
  <c r="AC120" i="2"/>
  <c r="AC125" i="2" s="1"/>
  <c r="AC137" i="2" s="1"/>
  <c r="AC168" i="2" s="1"/>
  <c r="AC117" i="2"/>
  <c r="AU137" i="2"/>
  <c r="AU168" i="2"/>
  <c r="V114" i="3"/>
  <c r="I20" i="3"/>
  <c r="I23" i="3"/>
  <c r="I452" i="2"/>
  <c r="I389" i="2"/>
  <c r="AQ24" i="3"/>
  <c r="AQ89" i="2"/>
  <c r="Q28" i="3"/>
  <c r="Q163" i="2"/>
  <c r="I346" i="2"/>
  <c r="I18" i="7" s="1"/>
  <c r="I207" i="2"/>
  <c r="B549" i="2"/>
  <c r="AV9" i="2"/>
  <c r="AG19" i="3"/>
  <c r="AG452" i="2"/>
  <c r="AG32" i="2"/>
  <c r="AC33" i="2"/>
  <c r="AV50" i="2"/>
  <c r="AV86" i="2" s="1"/>
  <c r="I53" i="2"/>
  <c r="I33" i="2" s="1"/>
  <c r="R53" i="2"/>
  <c r="R33" i="2" s="1"/>
  <c r="AS53" i="2"/>
  <c r="AS33" i="2" s="1"/>
  <c r="AX84" i="2"/>
  <c r="AX39" i="7" s="1"/>
  <c r="J85" i="2"/>
  <c r="E91" i="2"/>
  <c r="AS91" i="2"/>
  <c r="V460" i="2"/>
  <c r="V160" i="2"/>
  <c r="V103" i="2"/>
  <c r="Z24" i="3"/>
  <c r="R103" i="2"/>
  <c r="R110" i="2" s="1"/>
  <c r="R113" i="2" s="1"/>
  <c r="R115" i="2" s="1"/>
  <c r="U25" i="3"/>
  <c r="U167" i="2"/>
  <c r="Z177" i="2"/>
  <c r="Z30" i="3" s="1"/>
  <c r="W120" i="2"/>
  <c r="W125" i="2" s="1"/>
  <c r="W137" i="2" s="1"/>
  <c r="W168" i="2" s="1"/>
  <c r="W117" i="2"/>
  <c r="AE23" i="3"/>
  <c r="AE20" i="3"/>
  <c r="AE452" i="2"/>
  <c r="AE164" i="2"/>
  <c r="AE167" i="2" s="1"/>
  <c r="AB167" i="2"/>
  <c r="AV25" i="3"/>
  <c r="AV46" i="3" s="1"/>
  <c r="AV95" i="2"/>
  <c r="AR238" i="2"/>
  <c r="AR239" i="2" s="1"/>
  <c r="AR235" i="2"/>
  <c r="AR59" i="7" s="1"/>
  <c r="AH19" i="3"/>
  <c r="AH452" i="2"/>
  <c r="AG29" i="2"/>
  <c r="AG160" i="2" s="1"/>
  <c r="V31" i="2"/>
  <c r="AD31" i="2"/>
  <c r="AL31" i="2"/>
  <c r="AH32" i="2"/>
  <c r="AH36" i="2" s="1"/>
  <c r="AH37" i="2" s="1"/>
  <c r="AY32" i="2"/>
  <c r="AV33" i="2"/>
  <c r="AL35" i="2"/>
  <c r="S53" i="2"/>
  <c r="Z83" i="2"/>
  <c r="Z38" i="7" s="1"/>
  <c r="AF91" i="2"/>
  <c r="AT91" i="2"/>
  <c r="AC95" i="2"/>
  <c r="Z460" i="2"/>
  <c r="Z160" i="2"/>
  <c r="AD24" i="3"/>
  <c r="J110" i="2"/>
  <c r="J113" i="2" s="1"/>
  <c r="J115" i="2" s="1"/>
  <c r="J120" i="2" s="1"/>
  <c r="J125" i="2" s="1"/>
  <c r="J168" i="2" s="1"/>
  <c r="S120" i="2"/>
  <c r="S125" i="2" s="1"/>
  <c r="S137" i="2" s="1"/>
  <c r="S168" i="2" s="1"/>
  <c r="S117" i="2"/>
  <c r="X25" i="3"/>
  <c r="X95" i="2"/>
  <c r="Z104" i="2"/>
  <c r="E120" i="2"/>
  <c r="E125" i="2" s="1"/>
  <c r="E168" i="2" s="1"/>
  <c r="AB110" i="2"/>
  <c r="AB113" i="2" s="1"/>
  <c r="AB115" i="2" s="1"/>
  <c r="AS120" i="2"/>
  <c r="AS125" i="2" s="1"/>
  <c r="T117" i="2"/>
  <c r="U389" i="2"/>
  <c r="AC167" i="2"/>
  <c r="AE25" i="3"/>
  <c r="AE95" i="2"/>
  <c r="U29" i="3"/>
  <c r="U234" i="2"/>
  <c r="O73" i="3"/>
  <c r="AI28" i="2"/>
  <c r="Z29" i="2"/>
  <c r="AH20" i="3"/>
  <c r="AH23" i="3"/>
  <c r="AH166" i="2"/>
  <c r="AH25" i="3" s="1"/>
  <c r="AH46" i="3" s="1"/>
  <c r="W33" i="2"/>
  <c r="AE33" i="2"/>
  <c r="AG36" i="2"/>
  <c r="AY36" i="2" s="1"/>
  <c r="AU53" i="2"/>
  <c r="AU33" i="2" s="1"/>
  <c r="AV52" i="2"/>
  <c r="AV88" i="2" s="1"/>
  <c r="K53" i="2"/>
  <c r="K33" i="2" s="1"/>
  <c r="F66" i="2"/>
  <c r="F47" i="2" s="1"/>
  <c r="F29" i="2" s="1"/>
  <c r="H91" i="2"/>
  <c r="G117" i="2"/>
  <c r="AT120" i="2"/>
  <c r="AT125" i="2" s="1"/>
  <c r="AT117" i="2"/>
  <c r="L120" i="2"/>
  <c r="L125" i="2" s="1"/>
  <c r="L168" i="2" s="1"/>
  <c r="L117" i="2"/>
  <c r="U117" i="2"/>
  <c r="L167" i="2"/>
  <c r="C29" i="3"/>
  <c r="C234" i="2"/>
  <c r="L29" i="3"/>
  <c r="L234" i="2"/>
  <c r="R32" i="3"/>
  <c r="P73" i="3"/>
  <c r="H73" i="3"/>
  <c r="AP5" i="2"/>
  <c r="I13" i="2"/>
  <c r="I16" i="3" s="1"/>
  <c r="AJ28" i="2"/>
  <c r="AF33" i="2"/>
  <c r="AV49" i="2"/>
  <c r="L53" i="2"/>
  <c r="L33" i="2" s="1"/>
  <c r="V53" i="2"/>
  <c r="AV55" i="2"/>
  <c r="S83" i="2"/>
  <c r="S38" i="7" s="1"/>
  <c r="N85" i="2"/>
  <c r="AV91" i="2"/>
  <c r="I95" i="2"/>
  <c r="F24" i="3"/>
  <c r="AA46" i="3"/>
  <c r="AE120" i="2"/>
  <c r="AE125" i="2" s="1"/>
  <c r="AE137" i="2" s="1"/>
  <c r="AE168" i="2" s="1"/>
  <c r="AE117" i="2"/>
  <c r="P117" i="2"/>
  <c r="P120" i="2"/>
  <c r="P125" i="2" s="1"/>
  <c r="P168" i="2" s="1"/>
  <c r="AR120" i="2"/>
  <c r="AR125" i="2" s="1"/>
  <c r="AR117" i="2"/>
  <c r="Z32" i="3"/>
  <c r="AO117" i="2"/>
  <c r="AO120" i="2"/>
  <c r="AO125" i="2" s="1"/>
  <c r="AO168" i="2" s="1"/>
  <c r="AO20" i="3"/>
  <c r="AO23" i="3"/>
  <c r="AO389" i="2"/>
  <c r="AO388" i="2"/>
  <c r="AO387" i="2"/>
  <c r="AO386" i="2"/>
  <c r="AO164" i="2"/>
  <c r="AO167" i="2" s="1"/>
  <c r="AO95" i="2"/>
  <c r="AW20" i="3"/>
  <c r="AW23" i="3"/>
  <c r="AW452" i="2"/>
  <c r="AW389" i="2"/>
  <c r="AW388" i="2"/>
  <c r="AW387" i="2"/>
  <c r="AW386" i="2"/>
  <c r="AW164" i="2"/>
  <c r="AE24" i="3"/>
  <c r="AE45" i="3" s="1"/>
  <c r="AE90" i="2"/>
  <c r="AE92" i="2" s="1"/>
  <c r="D29" i="3"/>
  <c r="D234" i="2"/>
  <c r="M29" i="3"/>
  <c r="M234" i="2"/>
  <c r="AK60" i="3"/>
  <c r="AK362" i="2"/>
  <c r="Q73" i="3"/>
  <c r="AN88" i="3"/>
  <c r="AN89" i="3" s="1"/>
  <c r="AN90" i="3" s="1"/>
  <c r="AN8" i="3"/>
  <c r="AN451" i="2"/>
  <c r="AN232" i="2"/>
  <c r="AV88" i="3"/>
  <c r="AV8" i="3"/>
  <c r="AV451" i="2"/>
  <c r="AV232" i="2"/>
  <c r="Z7" i="2"/>
  <c r="AD8" i="2"/>
  <c r="AI27" i="2"/>
  <c r="AK28" i="2"/>
  <c r="AJ29" i="2"/>
  <c r="AJ160" i="2" s="1"/>
  <c r="AG31" i="2"/>
  <c r="AG35" i="2"/>
  <c r="O85" i="2"/>
  <c r="S87" i="2"/>
  <c r="AN91" i="2"/>
  <c r="AF110" i="2"/>
  <c r="AF113" i="2" s="1"/>
  <c r="AF115" i="2" s="1"/>
  <c r="AW117" i="2"/>
  <c r="AW120" i="2"/>
  <c r="AW125" i="2" s="1"/>
  <c r="AB25" i="3"/>
  <c r="AB95" i="2"/>
  <c r="J30" i="3"/>
  <c r="M120" i="2"/>
  <c r="M125" i="2" s="1"/>
  <c r="M168" i="2" s="1"/>
  <c r="M117" i="2"/>
  <c r="AV117" i="2"/>
  <c r="R29" i="3"/>
  <c r="R234" i="2"/>
  <c r="AD32" i="3"/>
  <c r="O25" i="3"/>
  <c r="O95" i="2"/>
  <c r="AA173" i="2"/>
  <c r="AA96" i="2"/>
  <c r="H181" i="2"/>
  <c r="P181" i="2"/>
  <c r="X181" i="2"/>
  <c r="AT7" i="3"/>
  <c r="AT450" i="2"/>
  <c r="AE73" i="3"/>
  <c r="B2" i="3"/>
  <c r="V19" i="3"/>
  <c r="V452" i="2"/>
  <c r="AL19" i="3"/>
  <c r="V32" i="2"/>
  <c r="V84" i="2" s="1"/>
  <c r="V39" i="7" s="1"/>
  <c r="AD32" i="2"/>
  <c r="AD84" i="2" s="1"/>
  <c r="AD39" i="7" s="1"/>
  <c r="AL32" i="2"/>
  <c r="AL36" i="2" s="1"/>
  <c r="AH33" i="2"/>
  <c r="AH163" i="2" s="1"/>
  <c r="M53" i="2"/>
  <c r="M33" i="2" s="1"/>
  <c r="U53" i="2"/>
  <c r="G85" i="2"/>
  <c r="F120" i="2"/>
  <c r="F125" i="2" s="1"/>
  <c r="F168" i="2" s="1"/>
  <c r="AX117" i="2"/>
  <c r="V29" i="3"/>
  <c r="V234" i="2"/>
  <c r="AQ20" i="3"/>
  <c r="AQ23" i="3"/>
  <c r="AQ389" i="2"/>
  <c r="AQ387" i="2"/>
  <c r="AQ388" i="2"/>
  <c r="AQ386" i="2"/>
  <c r="AQ164" i="2"/>
  <c r="AQ167" i="2" s="1"/>
  <c r="I163" i="2"/>
  <c r="P25" i="3"/>
  <c r="P46" i="3" s="1"/>
  <c r="P95" i="2"/>
  <c r="AQ29" i="3"/>
  <c r="AQ234" i="2"/>
  <c r="AP5" i="3"/>
  <c r="AX5" i="3"/>
  <c r="AX190" i="2"/>
  <c r="AX45" i="7" s="1"/>
  <c r="AO1" i="3"/>
  <c r="AO504" i="2"/>
  <c r="AK27" i="2"/>
  <c r="Z19" i="3"/>
  <c r="AY28" i="2"/>
  <c r="V29" i="2"/>
  <c r="AD29" i="2"/>
  <c r="AL29" i="2"/>
  <c r="AL160" i="2" s="1"/>
  <c r="AL452" i="2" s="1"/>
  <c r="AU85" i="2"/>
  <c r="V89" i="2"/>
  <c r="AE91" i="2"/>
  <c r="AQ90" i="2"/>
  <c r="AQ92" i="2" s="1"/>
  <c r="AB91" i="2"/>
  <c r="AO91" i="2"/>
  <c r="V97" i="2"/>
  <c r="O117" i="2"/>
  <c r="O120" i="2"/>
  <c r="O125" i="2" s="1"/>
  <c r="O168" i="2" s="1"/>
  <c r="Z29" i="3"/>
  <c r="Z234" i="2"/>
  <c r="F32" i="3"/>
  <c r="R160" i="2"/>
  <c r="A496" i="2"/>
  <c r="A23" i="7" s="1"/>
  <c r="AX73" i="3"/>
  <c r="AX243" i="2"/>
  <c r="AX242" i="2"/>
  <c r="AT181" i="2"/>
  <c r="F5" i="3"/>
  <c r="N5" i="3"/>
  <c r="V5" i="3"/>
  <c r="AD5" i="3"/>
  <c r="A499" i="2"/>
  <c r="A26" i="7" s="1"/>
  <c r="AL60" i="3"/>
  <c r="AL362" i="2"/>
  <c r="S222" i="2"/>
  <c r="S223" i="2" s="1"/>
  <c r="S224" i="2" s="1"/>
  <c r="C7" i="3"/>
  <c r="C450" i="2"/>
  <c r="K7" i="3"/>
  <c r="K450" i="2"/>
  <c r="AT237" i="2"/>
  <c r="AT60" i="7" s="1"/>
  <c r="S7" i="3"/>
  <c r="S450" i="2"/>
  <c r="AA7" i="3"/>
  <c r="AA450" i="2"/>
  <c r="AO88" i="3"/>
  <c r="AO89" i="3" s="1"/>
  <c r="AO90" i="3" s="1"/>
  <c r="AO8" i="3"/>
  <c r="AO451" i="2"/>
  <c r="AW88" i="3"/>
  <c r="AW89" i="3" s="1"/>
  <c r="AW90" i="3" s="1"/>
  <c r="AW8" i="3"/>
  <c r="AW451" i="2"/>
  <c r="I73" i="3"/>
  <c r="AS234" i="2"/>
  <c r="J460" i="2"/>
  <c r="J117" i="2"/>
  <c r="N103" i="2"/>
  <c r="N110" i="2" s="1"/>
  <c r="N113" i="2" s="1"/>
  <c r="N115" i="2" s="1"/>
  <c r="F29" i="3"/>
  <c r="F234" i="2"/>
  <c r="W23" i="3"/>
  <c r="W20" i="3"/>
  <c r="W452" i="2"/>
  <c r="W389" i="2"/>
  <c r="W388" i="2"/>
  <c r="W387" i="2"/>
  <c r="W392" i="2" s="1"/>
  <c r="W64" i="7" s="1"/>
  <c r="W386" i="2"/>
  <c r="W391" i="2" s="1"/>
  <c r="W63" i="7" s="1"/>
  <c r="W164" i="2"/>
  <c r="W167" i="2" s="1"/>
  <c r="AF20" i="3"/>
  <c r="AF23" i="3"/>
  <c r="AF45" i="3" s="1"/>
  <c r="AF452" i="2"/>
  <c r="AF386" i="2"/>
  <c r="AF164" i="2"/>
  <c r="AF167" i="2" s="1"/>
  <c r="W163" i="2"/>
  <c r="AW166" i="2"/>
  <c r="BC28" i="3"/>
  <c r="BC333" i="2"/>
  <c r="AH27" i="3"/>
  <c r="AH334" i="2"/>
  <c r="AY172" i="2"/>
  <c r="AU181" i="2"/>
  <c r="G5" i="3"/>
  <c r="O5" i="3"/>
  <c r="W5" i="3"/>
  <c r="AE5" i="3"/>
  <c r="S51" i="3"/>
  <c r="S208" i="2"/>
  <c r="BC57" i="3"/>
  <c r="BC352" i="2"/>
  <c r="D7" i="3"/>
  <c r="D450" i="2"/>
  <c r="L7" i="3"/>
  <c r="L450" i="2"/>
  <c r="T7" i="3"/>
  <c r="T450" i="2"/>
  <c r="AB7" i="3"/>
  <c r="AB450" i="2"/>
  <c r="AP88" i="3"/>
  <c r="AP89" i="3" s="1"/>
  <c r="AP90" i="3" s="1"/>
  <c r="AP8" i="3"/>
  <c r="AP451" i="2"/>
  <c r="AX88" i="3"/>
  <c r="AX89" i="3" s="1"/>
  <c r="AX90" i="3" s="1"/>
  <c r="AX8" i="3"/>
  <c r="AX451" i="2"/>
  <c r="AA234" i="2"/>
  <c r="AT234" i="2"/>
  <c r="AA461" i="2"/>
  <c r="AN90" i="2"/>
  <c r="AN92" i="2" s="1"/>
  <c r="C91" i="2"/>
  <c r="K91" i="2"/>
  <c r="S91" i="2"/>
  <c r="AA91" i="2"/>
  <c r="AR91" i="2"/>
  <c r="H95" i="2"/>
  <c r="AD104" i="2"/>
  <c r="AD166" i="2" s="1"/>
  <c r="O23" i="3"/>
  <c r="O20" i="3"/>
  <c r="O164" i="2"/>
  <c r="O167" i="2" s="1"/>
  <c r="O452" i="2"/>
  <c r="X20" i="3"/>
  <c r="X23" i="3"/>
  <c r="X389" i="2"/>
  <c r="X388" i="2"/>
  <c r="X387" i="2"/>
  <c r="X392" i="2" s="1"/>
  <c r="X64" i="7" s="1"/>
  <c r="X386" i="2"/>
  <c r="X391" i="2" s="1"/>
  <c r="X63" i="7" s="1"/>
  <c r="X452" i="2"/>
  <c r="O163" i="2"/>
  <c r="X163" i="2"/>
  <c r="AX166" i="2"/>
  <c r="C27" i="3"/>
  <c r="C166" i="2"/>
  <c r="C167" i="2" s="1"/>
  <c r="K27" i="3"/>
  <c r="K166" i="2"/>
  <c r="S27" i="3"/>
  <c r="S166" i="2"/>
  <c r="S167" i="2" s="1"/>
  <c r="AI27" i="3"/>
  <c r="AI334" i="2"/>
  <c r="AR27" i="3"/>
  <c r="AR166" i="2"/>
  <c r="AZ172" i="2"/>
  <c r="I32" i="3"/>
  <c r="Y32" i="3"/>
  <c r="AP32" i="3"/>
  <c r="AN181" i="2"/>
  <c r="AV181" i="2"/>
  <c r="H5" i="3"/>
  <c r="P5" i="3"/>
  <c r="X5" i="3"/>
  <c r="X190" i="2"/>
  <c r="X45" i="7" s="1"/>
  <c r="AF5" i="3"/>
  <c r="AF190" i="2"/>
  <c r="AF45" i="7" s="1"/>
  <c r="AZ219" i="2"/>
  <c r="AZ56" i="7" s="1"/>
  <c r="E7" i="3"/>
  <c r="E450" i="2"/>
  <c r="M7" i="3"/>
  <c r="M450" i="2"/>
  <c r="U7" i="3"/>
  <c r="U450" i="2"/>
  <c r="AC7" i="3"/>
  <c r="AC450" i="2"/>
  <c r="E234" i="2"/>
  <c r="AB234" i="2"/>
  <c r="V56" i="3"/>
  <c r="V462" i="2"/>
  <c r="N29" i="3"/>
  <c r="N234" i="2"/>
  <c r="AV137" i="2"/>
  <c r="AV168" i="2" s="1"/>
  <c r="G23" i="3"/>
  <c r="G20" i="3"/>
  <c r="G452" i="2"/>
  <c r="G388" i="2"/>
  <c r="P20" i="3"/>
  <c r="P23" i="3"/>
  <c r="P452" i="2"/>
  <c r="P164" i="2"/>
  <c r="P167" i="2" s="1"/>
  <c r="Y20" i="3"/>
  <c r="Y23" i="3"/>
  <c r="Y452" i="2"/>
  <c r="Y389" i="2"/>
  <c r="Y394" i="2" s="1"/>
  <c r="Y66" i="7" s="1"/>
  <c r="Y388" i="2"/>
  <c r="Y393" i="2" s="1"/>
  <c r="Y65" i="7" s="1"/>
  <c r="Y387" i="2"/>
  <c r="Y386" i="2"/>
  <c r="Y164" i="2"/>
  <c r="Y167" i="2" s="1"/>
  <c r="G163" i="2"/>
  <c r="P45" i="3"/>
  <c r="Y45" i="3"/>
  <c r="AV45" i="3"/>
  <c r="G46" i="3"/>
  <c r="W46" i="3"/>
  <c r="AL28" i="3"/>
  <c r="AL333" i="2"/>
  <c r="AU28" i="3"/>
  <c r="AU163" i="2"/>
  <c r="D27" i="3"/>
  <c r="D166" i="2"/>
  <c r="L27" i="3"/>
  <c r="L166" i="2"/>
  <c r="AJ27" i="3"/>
  <c r="AJ334" i="2"/>
  <c r="AS27" i="3"/>
  <c r="AS166" i="2"/>
  <c r="BA27" i="3"/>
  <c r="BA334" i="2"/>
  <c r="J32" i="3"/>
  <c r="AQ32" i="3"/>
  <c r="AO32" i="3"/>
  <c r="AW32" i="3"/>
  <c r="I5" i="3"/>
  <c r="Q5" i="3"/>
  <c r="Y5" i="3"/>
  <c r="Y190" i="2"/>
  <c r="Y45" i="7" s="1"/>
  <c r="AG52" i="3"/>
  <c r="AG349" i="2"/>
  <c r="X56" i="3"/>
  <c r="X462" i="2"/>
  <c r="AG56" i="3"/>
  <c r="AG350" i="2"/>
  <c r="AP56" i="3"/>
  <c r="AP462" i="2"/>
  <c r="AX56" i="3"/>
  <c r="AX469" i="2"/>
  <c r="AX462" i="2"/>
  <c r="AL57" i="3"/>
  <c r="AL352" i="2"/>
  <c r="AK66" i="3"/>
  <c r="AH59" i="3"/>
  <c r="AH366" i="2"/>
  <c r="AO232" i="2"/>
  <c r="K234" i="2"/>
  <c r="AC234" i="2"/>
  <c r="K120" i="2"/>
  <c r="K125" i="2" s="1"/>
  <c r="K168" i="2" s="1"/>
  <c r="H20" i="3"/>
  <c r="H23" i="3"/>
  <c r="H452" i="2"/>
  <c r="H164" i="2"/>
  <c r="H167" i="2" s="1"/>
  <c r="Q20" i="3"/>
  <c r="Q23" i="3"/>
  <c r="Q452" i="2"/>
  <c r="Q164" i="2"/>
  <c r="Q167" i="2" s="1"/>
  <c r="AN23" i="3"/>
  <c r="AN26" i="3" s="1"/>
  <c r="AN20" i="3"/>
  <c r="AN389" i="2"/>
  <c r="AN388" i="2"/>
  <c r="AN387" i="2"/>
  <c r="AN386" i="2"/>
  <c r="AN164" i="2"/>
  <c r="AN167" i="2" s="1"/>
  <c r="AV23" i="3"/>
  <c r="AV20" i="3"/>
  <c r="AV389" i="2"/>
  <c r="AV388" i="2"/>
  <c r="AV393" i="2" s="1"/>
  <c r="AV65" i="7" s="1"/>
  <c r="AV387" i="2"/>
  <c r="AV386" i="2"/>
  <c r="AV452" i="2"/>
  <c r="AV164" i="2"/>
  <c r="AV167" i="2" s="1"/>
  <c r="AN45" i="3"/>
  <c r="H46" i="3"/>
  <c r="AE28" i="3"/>
  <c r="AY171" i="2"/>
  <c r="E27" i="3"/>
  <c r="E166" i="2"/>
  <c r="M27" i="3"/>
  <c r="M166" i="2"/>
  <c r="AK27" i="3"/>
  <c r="AK334" i="2"/>
  <c r="AT27" i="3"/>
  <c r="AT166" i="2"/>
  <c r="BB27" i="3"/>
  <c r="BB334" i="2"/>
  <c r="E181" i="2"/>
  <c r="M181" i="2"/>
  <c r="U181" i="2"/>
  <c r="AC181" i="2"/>
  <c r="AD190" i="2"/>
  <c r="AD45" i="7" s="1"/>
  <c r="A498" i="2"/>
  <c r="A25" i="7" s="1"/>
  <c r="AU5" i="3"/>
  <c r="AH52" i="3"/>
  <c r="AH349" i="2"/>
  <c r="H56" i="3"/>
  <c r="H462" i="2"/>
  <c r="P56" i="3"/>
  <c r="P462" i="2"/>
  <c r="Y56" i="3"/>
  <c r="Y462" i="2"/>
  <c r="AH56" i="3"/>
  <c r="AH350" i="2"/>
  <c r="AQ56" i="3"/>
  <c r="AQ462" i="2"/>
  <c r="AL66" i="3"/>
  <c r="BB60" i="3"/>
  <c r="BB362" i="2"/>
  <c r="AI59" i="3"/>
  <c r="AI366" i="2"/>
  <c r="G88" i="3"/>
  <c r="G8" i="3"/>
  <c r="G451" i="2"/>
  <c r="O88" i="3"/>
  <c r="O8" i="3"/>
  <c r="O451" i="2"/>
  <c r="W88" i="3"/>
  <c r="W8" i="3"/>
  <c r="W451" i="2"/>
  <c r="AE88" i="3"/>
  <c r="AE8" i="3"/>
  <c r="AE451" i="2"/>
  <c r="W232" i="2"/>
  <c r="AP232" i="2"/>
  <c r="AX237" i="2"/>
  <c r="AX60" i="7" s="1"/>
  <c r="I46" i="3"/>
  <c r="Y46" i="3"/>
  <c r="AF28" i="3"/>
  <c r="AF333" i="2"/>
  <c r="J29" i="3"/>
  <c r="J234" i="2"/>
  <c r="AP30" i="3"/>
  <c r="AX30" i="3"/>
  <c r="AY190" i="2"/>
  <c r="AY45" i="7" s="1"/>
  <c r="AN5" i="3"/>
  <c r="AV5" i="3"/>
  <c r="AV190" i="2"/>
  <c r="AV45" i="7" s="1"/>
  <c r="I56" i="3"/>
  <c r="I462" i="2"/>
  <c r="Q56" i="3"/>
  <c r="Q462" i="2"/>
  <c r="Z56" i="3"/>
  <c r="Z462" i="2"/>
  <c r="AI56" i="3"/>
  <c r="AI350" i="2"/>
  <c r="AR56" i="3"/>
  <c r="AR469" i="2"/>
  <c r="AR462" i="2"/>
  <c r="BC60" i="3"/>
  <c r="BC362" i="2"/>
  <c r="AJ59" i="3"/>
  <c r="AJ366" i="2"/>
  <c r="BA59" i="3"/>
  <c r="BA366" i="2"/>
  <c r="AR7" i="3"/>
  <c r="AR450" i="2"/>
  <c r="H88" i="3"/>
  <c r="H8" i="3"/>
  <c r="H451" i="2"/>
  <c r="P88" i="3"/>
  <c r="P8" i="3"/>
  <c r="P451" i="2"/>
  <c r="X88" i="3"/>
  <c r="X8" i="3"/>
  <c r="X451" i="2"/>
  <c r="AF88" i="3"/>
  <c r="AF8" i="3"/>
  <c r="AF451" i="2"/>
  <c r="X232" i="2"/>
  <c r="AD460" i="2"/>
  <c r="AD160" i="2"/>
  <c r="AD90" i="2" s="1"/>
  <c r="AD92" i="2" s="1"/>
  <c r="AA110" i="2"/>
  <c r="AA113" i="2" s="1"/>
  <c r="AA115" i="2" s="1"/>
  <c r="T166" i="2"/>
  <c r="V104" i="2"/>
  <c r="V166" i="2" s="1"/>
  <c r="R177" i="2"/>
  <c r="R30" i="3" s="1"/>
  <c r="J160" i="2"/>
  <c r="K388" i="2" s="1"/>
  <c r="K393" i="2" s="1"/>
  <c r="K65" i="7" s="1"/>
  <c r="AP20" i="3"/>
  <c r="AP23" i="3"/>
  <c r="AP389" i="2"/>
  <c r="AP394" i="2" s="1"/>
  <c r="AP66" i="7" s="1"/>
  <c r="AP388" i="2"/>
  <c r="AP393" i="2" s="1"/>
  <c r="AP65" i="7" s="1"/>
  <c r="AP387" i="2"/>
  <c r="AP392" i="2" s="1"/>
  <c r="AP64" i="7" s="1"/>
  <c r="AP386" i="2"/>
  <c r="AP391" i="2" s="1"/>
  <c r="AP63" i="7" s="1"/>
  <c r="AP164" i="2"/>
  <c r="AP167" i="2" s="1"/>
  <c r="AX20" i="3"/>
  <c r="AX23" i="3"/>
  <c r="AX452" i="2"/>
  <c r="AX389" i="2"/>
  <c r="AX394" i="2" s="1"/>
  <c r="AX66" i="7" s="1"/>
  <c r="AX388" i="2"/>
  <c r="AX393" i="2" s="1"/>
  <c r="AX65" i="7" s="1"/>
  <c r="AX387" i="2"/>
  <c r="AX392" i="2" s="1"/>
  <c r="AX64" i="7" s="1"/>
  <c r="AX386" i="2"/>
  <c r="AX391" i="2" s="1"/>
  <c r="AX63" i="7" s="1"/>
  <c r="AX164" i="2"/>
  <c r="AX167" i="2" s="1"/>
  <c r="AQ46" i="3"/>
  <c r="AG28" i="3"/>
  <c r="AG333" i="2"/>
  <c r="AY30" i="3"/>
  <c r="Q32" i="3"/>
  <c r="AX32" i="3"/>
  <c r="G32" i="3"/>
  <c r="O32" i="3"/>
  <c r="W32" i="3"/>
  <c r="AE181" i="2"/>
  <c r="V190" i="2"/>
  <c r="V45" i="7" s="1"/>
  <c r="AO5" i="3"/>
  <c r="AW5" i="3"/>
  <c r="AW190" i="2"/>
  <c r="AW45" i="7" s="1"/>
  <c r="J56" i="3"/>
  <c r="J462" i="2"/>
  <c r="R56" i="3"/>
  <c r="R462" i="2"/>
  <c r="AS7" i="3"/>
  <c r="AS450" i="2"/>
  <c r="AG427" i="2"/>
  <c r="AH229" i="2"/>
  <c r="AH427" i="2" s="1"/>
  <c r="I88" i="3"/>
  <c r="I8" i="3"/>
  <c r="I451" i="2"/>
  <c r="Q88" i="3"/>
  <c r="Q8" i="3"/>
  <c r="Q451" i="2"/>
  <c r="Y88" i="3"/>
  <c r="Y8" i="3"/>
  <c r="Y451" i="2"/>
  <c r="AG230" i="2"/>
  <c r="G232" i="2"/>
  <c r="Y232" i="2"/>
  <c r="AW232" i="2"/>
  <c r="S234" i="2"/>
  <c r="AR237" i="2"/>
  <c r="AR60" i="7" s="1"/>
  <c r="S346" i="2"/>
  <c r="AS336" i="2"/>
  <c r="R357" i="2"/>
  <c r="J336" i="2"/>
  <c r="AD58" i="3"/>
  <c r="AD457" i="2"/>
  <c r="AD357" i="2"/>
  <c r="AY320" i="2"/>
  <c r="R360" i="2"/>
  <c r="R375" i="2" s="1"/>
  <c r="R317" i="2"/>
  <c r="T320" i="2"/>
  <c r="AE320" i="2"/>
  <c r="N61" i="3"/>
  <c r="T336" i="2"/>
  <c r="AV465" i="2" s="1"/>
  <c r="J457" i="2"/>
  <c r="J357" i="2"/>
  <c r="AQ457" i="2"/>
  <c r="AQ357" i="2"/>
  <c r="V320" i="2"/>
  <c r="K336" i="2"/>
  <c r="V61" i="3"/>
  <c r="R80" i="3"/>
  <c r="R81" i="3" s="1"/>
  <c r="C23" i="3"/>
  <c r="C20" i="3"/>
  <c r="K23" i="3"/>
  <c r="K20" i="3"/>
  <c r="K452" i="2"/>
  <c r="K389" i="2"/>
  <c r="K386" i="2"/>
  <c r="S23" i="3"/>
  <c r="S20" i="3"/>
  <c r="S452" i="2"/>
  <c r="S389" i="2"/>
  <c r="S388" i="2"/>
  <c r="S387" i="2"/>
  <c r="S386" i="2"/>
  <c r="AA23" i="3"/>
  <c r="AA20" i="3"/>
  <c r="AA452" i="2"/>
  <c r="AA389" i="2"/>
  <c r="AA394" i="2" s="1"/>
  <c r="AA66" i="7" s="1"/>
  <c r="AA388" i="2"/>
  <c r="AA393" i="2" s="1"/>
  <c r="AA65" i="7" s="1"/>
  <c r="AA387" i="2"/>
  <c r="AA392" i="2" s="1"/>
  <c r="AA64" i="7" s="1"/>
  <c r="AA386" i="2"/>
  <c r="AR23" i="3"/>
  <c r="AR45" i="3" s="1"/>
  <c r="AR20" i="3"/>
  <c r="AR452" i="2"/>
  <c r="AR389" i="2"/>
  <c r="AR394" i="2" s="1"/>
  <c r="AR66" i="7" s="1"/>
  <c r="AR388" i="2"/>
  <c r="AR393" i="2" s="1"/>
  <c r="AR65" i="7" s="1"/>
  <c r="AR387" i="2"/>
  <c r="AR392" i="2" s="1"/>
  <c r="AR64" i="7" s="1"/>
  <c r="AR386" i="2"/>
  <c r="AR391" i="2" s="1"/>
  <c r="AR63" i="7" s="1"/>
  <c r="K45" i="3"/>
  <c r="AA45" i="3"/>
  <c r="R114" i="3"/>
  <c r="AH28" i="3"/>
  <c r="AH333" i="2"/>
  <c r="AL27" i="3"/>
  <c r="AL334" i="2"/>
  <c r="BC27" i="3"/>
  <c r="BC334" i="2"/>
  <c r="AT30" i="3"/>
  <c r="R210" i="2"/>
  <c r="AI52" i="3"/>
  <c r="AI349" i="2"/>
  <c r="C56" i="3"/>
  <c r="C462" i="2"/>
  <c r="K56" i="3"/>
  <c r="K462" i="2"/>
  <c r="S56" i="3"/>
  <c r="S462" i="2"/>
  <c r="AA56" i="3"/>
  <c r="AA462" i="2"/>
  <c r="AJ56" i="3"/>
  <c r="AJ350" i="2"/>
  <c r="AS56" i="3"/>
  <c r="AS469" i="2"/>
  <c r="AS462" i="2"/>
  <c r="BA56" i="3"/>
  <c r="BA350" i="2"/>
  <c r="AG57" i="3"/>
  <c r="AG352" i="2"/>
  <c r="AZ215" i="2"/>
  <c r="AK59" i="3"/>
  <c r="AK366" i="2"/>
  <c r="BB59" i="3"/>
  <c r="BB366" i="2"/>
  <c r="F7" i="3"/>
  <c r="F450" i="2"/>
  <c r="N7" i="3"/>
  <c r="N450" i="2"/>
  <c r="V7" i="3"/>
  <c r="V450" i="2"/>
  <c r="AD7" i="3"/>
  <c r="AD450" i="2"/>
  <c r="AU7" i="3"/>
  <c r="AU450" i="2"/>
  <c r="J88" i="3"/>
  <c r="J8" i="3"/>
  <c r="J451" i="2"/>
  <c r="R88" i="3"/>
  <c r="R89" i="3" s="1"/>
  <c r="R90" i="3" s="1"/>
  <c r="R8" i="3"/>
  <c r="R451" i="2"/>
  <c r="Z88" i="3"/>
  <c r="Z8" i="3"/>
  <c r="Z451" i="2"/>
  <c r="AQ88" i="3"/>
  <c r="AQ89" i="3" s="1"/>
  <c r="AQ8" i="3"/>
  <c r="AQ451" i="2"/>
  <c r="J232" i="2"/>
  <c r="R232" i="2"/>
  <c r="Z232" i="2"/>
  <c r="AQ232" i="2"/>
  <c r="AU234" i="2"/>
  <c r="F58" i="3"/>
  <c r="F457" i="2"/>
  <c r="F357" i="2"/>
  <c r="Z375" i="2"/>
  <c r="L320" i="2"/>
  <c r="W320" i="2"/>
  <c r="L336" i="2"/>
  <c r="V94" i="3"/>
  <c r="V432" i="2"/>
  <c r="F460" i="2"/>
  <c r="D23" i="3"/>
  <c r="D20" i="3"/>
  <c r="L23" i="3"/>
  <c r="L20" i="3"/>
  <c r="L452" i="2"/>
  <c r="L386" i="2"/>
  <c r="T23" i="3"/>
  <c r="T20" i="3"/>
  <c r="T452" i="2"/>
  <c r="T389" i="2"/>
  <c r="T388" i="2"/>
  <c r="T387" i="2"/>
  <c r="T386" i="2"/>
  <c r="AB23" i="3"/>
  <c r="AB45" i="3" s="1"/>
  <c r="AB20" i="3"/>
  <c r="AB452" i="2"/>
  <c r="AB389" i="2"/>
  <c r="AB394" i="2" s="1"/>
  <c r="AB66" i="7" s="1"/>
  <c r="AB388" i="2"/>
  <c r="AB393" i="2" s="1"/>
  <c r="AB65" i="7" s="1"/>
  <c r="AB387" i="2"/>
  <c r="AB386" i="2"/>
  <c r="AS23" i="3"/>
  <c r="AS20" i="3"/>
  <c r="AS452" i="2"/>
  <c r="AS389" i="2"/>
  <c r="AS394" i="2" s="1"/>
  <c r="AS66" i="7" s="1"/>
  <c r="AS388" i="2"/>
  <c r="AS393" i="2" s="1"/>
  <c r="AS65" i="7" s="1"/>
  <c r="AS387" i="2"/>
  <c r="AS392" i="2" s="1"/>
  <c r="AS64" i="7" s="1"/>
  <c r="AS386" i="2"/>
  <c r="L45" i="3"/>
  <c r="T45" i="3"/>
  <c r="AS45" i="3"/>
  <c r="AI28" i="3"/>
  <c r="AI333" i="2"/>
  <c r="AZ333" i="2" s="1"/>
  <c r="AZ171" i="2"/>
  <c r="H30" i="3"/>
  <c r="P30" i="3"/>
  <c r="X30" i="3"/>
  <c r="AF30" i="3"/>
  <c r="AU30" i="3"/>
  <c r="AJ52" i="3"/>
  <c r="AJ349" i="2"/>
  <c r="BA52" i="3"/>
  <c r="BA349" i="2"/>
  <c r="D56" i="3"/>
  <c r="D462" i="2"/>
  <c r="L56" i="3"/>
  <c r="L462" i="2"/>
  <c r="T56" i="3"/>
  <c r="T462" i="2"/>
  <c r="AB56" i="3"/>
  <c r="AB462" i="2"/>
  <c r="AK56" i="3"/>
  <c r="AT56" i="3"/>
  <c r="AT462" i="2"/>
  <c r="AT469" i="2"/>
  <c r="BB56" i="3"/>
  <c r="AH57" i="3"/>
  <c r="AH352" i="2"/>
  <c r="AG60" i="3"/>
  <c r="AG362" i="2"/>
  <c r="AL59" i="3"/>
  <c r="AL366" i="2"/>
  <c r="BC59" i="3"/>
  <c r="BC366" i="2"/>
  <c r="G7" i="3"/>
  <c r="G450" i="2"/>
  <c r="O7" i="3"/>
  <c r="O450" i="2"/>
  <c r="W7" i="3"/>
  <c r="W450" i="2"/>
  <c r="AE7" i="3"/>
  <c r="AE450" i="2"/>
  <c r="AN7" i="3"/>
  <c r="AN450" i="2"/>
  <c r="AV7" i="3"/>
  <c r="AV450" i="2"/>
  <c r="C88" i="3"/>
  <c r="C8" i="3"/>
  <c r="C451" i="2"/>
  <c r="K88" i="3"/>
  <c r="K8" i="3"/>
  <c r="K451" i="2"/>
  <c r="S88" i="3"/>
  <c r="S8" i="3"/>
  <c r="S451" i="2"/>
  <c r="AA88" i="3"/>
  <c r="AA89" i="3" s="1"/>
  <c r="AA8" i="3"/>
  <c r="AA451" i="2"/>
  <c r="AR88" i="3"/>
  <c r="AR89" i="3" s="1"/>
  <c r="AR8" i="3"/>
  <c r="AR451" i="2"/>
  <c r="C232" i="2"/>
  <c r="K232" i="2"/>
  <c r="S232" i="2"/>
  <c r="AA232" i="2"/>
  <c r="AR232" i="2"/>
  <c r="G234" i="2"/>
  <c r="O234" i="2"/>
  <c r="W234" i="2"/>
  <c r="AE234" i="2"/>
  <c r="AN234" i="2"/>
  <c r="AN238" i="2" s="1"/>
  <c r="AV234" i="2"/>
  <c r="V288" i="2"/>
  <c r="J58" i="3"/>
  <c r="AD317" i="2"/>
  <c r="X320" i="2"/>
  <c r="AS320" i="2"/>
  <c r="BA320" i="2"/>
  <c r="C336" i="2"/>
  <c r="AX346" i="2"/>
  <c r="AX18" i="7" s="1"/>
  <c r="M457" i="2"/>
  <c r="BB352" i="2"/>
  <c r="AR375" i="2"/>
  <c r="K375" i="2"/>
  <c r="Z94" i="3"/>
  <c r="Z95" i="3" s="1"/>
  <c r="Z432" i="2"/>
  <c r="J94" i="3"/>
  <c r="J95" i="3" s="1"/>
  <c r="J432" i="2"/>
  <c r="E23" i="3"/>
  <c r="E20" i="3"/>
  <c r="M23" i="3"/>
  <c r="M20" i="3"/>
  <c r="M452" i="2"/>
  <c r="M387" i="2"/>
  <c r="M388" i="2"/>
  <c r="M386" i="2"/>
  <c r="U23" i="3"/>
  <c r="U20" i="3"/>
  <c r="U452" i="2"/>
  <c r="U388" i="2"/>
  <c r="U386" i="2"/>
  <c r="AC23" i="3"/>
  <c r="AC20" i="3"/>
  <c r="AC452" i="2"/>
  <c r="AC388" i="2"/>
  <c r="AC386" i="2"/>
  <c r="AC389" i="2"/>
  <c r="AC387" i="2"/>
  <c r="AT23" i="3"/>
  <c r="AT20" i="3"/>
  <c r="AT452" i="2"/>
  <c r="AT389" i="2"/>
  <c r="AT394" i="2" s="1"/>
  <c r="AT66" i="7" s="1"/>
  <c r="AT387" i="2"/>
  <c r="AT388" i="2"/>
  <c r="AT386" i="2"/>
  <c r="AT391" i="2" s="1"/>
  <c r="AT63" i="7" s="1"/>
  <c r="M45" i="3"/>
  <c r="U45" i="3"/>
  <c r="AC45" i="3"/>
  <c r="AT45" i="3"/>
  <c r="AJ28" i="3"/>
  <c r="AJ333" i="2"/>
  <c r="BA28" i="3"/>
  <c r="BA333" i="2"/>
  <c r="AF27" i="3"/>
  <c r="AF334" i="2"/>
  <c r="I30" i="3"/>
  <c r="Q30" i="3"/>
  <c r="Y30" i="3"/>
  <c r="AN30" i="3"/>
  <c r="AV30" i="3"/>
  <c r="AK52" i="3"/>
  <c r="AK349" i="2"/>
  <c r="BB52" i="3"/>
  <c r="BB349" i="2"/>
  <c r="E56" i="3"/>
  <c r="E462" i="2"/>
  <c r="M56" i="3"/>
  <c r="M462" i="2"/>
  <c r="U56" i="3"/>
  <c r="U462" i="2"/>
  <c r="AC56" i="3"/>
  <c r="AC462" i="2"/>
  <c r="AL56" i="3"/>
  <c r="AL350" i="2"/>
  <c r="AU56" i="3"/>
  <c r="AU462" i="2"/>
  <c r="AU469" i="2"/>
  <c r="BC56" i="3"/>
  <c r="BC350" i="2"/>
  <c r="AI57" i="3"/>
  <c r="AI352" i="2"/>
  <c r="AH60" i="3"/>
  <c r="AH362" i="2"/>
  <c r="H7" i="3"/>
  <c r="H450" i="2"/>
  <c r="P7" i="3"/>
  <c r="P450" i="2"/>
  <c r="X7" i="3"/>
  <c r="X450" i="2"/>
  <c r="AF7" i="3"/>
  <c r="AF450" i="2"/>
  <c r="AO7" i="3"/>
  <c r="AO450" i="2"/>
  <c r="AW7" i="3"/>
  <c r="AW450" i="2"/>
  <c r="D88" i="3"/>
  <c r="D8" i="3"/>
  <c r="D451" i="2"/>
  <c r="L88" i="3"/>
  <c r="L89" i="3" s="1"/>
  <c r="L8" i="3"/>
  <c r="L451" i="2"/>
  <c r="T88" i="3"/>
  <c r="T8" i="3"/>
  <c r="T451" i="2"/>
  <c r="AB88" i="3"/>
  <c r="AB8" i="3"/>
  <c r="AB451" i="2"/>
  <c r="AS88" i="3"/>
  <c r="AS8" i="3"/>
  <c r="AS451" i="2"/>
  <c r="D232" i="2"/>
  <c r="L232" i="2"/>
  <c r="T232" i="2"/>
  <c r="AB232" i="2"/>
  <c r="AS232" i="2"/>
  <c r="H234" i="2"/>
  <c r="P234" i="2"/>
  <c r="X234" i="2"/>
  <c r="AF234" i="2"/>
  <c r="AO234" i="2"/>
  <c r="AW234" i="2"/>
  <c r="Z336" i="2"/>
  <c r="N58" i="3"/>
  <c r="N457" i="2"/>
  <c r="N357" i="2"/>
  <c r="AU320" i="2"/>
  <c r="BC320" i="2"/>
  <c r="AH317" i="2"/>
  <c r="AH320" i="2" s="1"/>
  <c r="D320" i="2"/>
  <c r="O320" i="2"/>
  <c r="AJ320" i="2"/>
  <c r="AD61" i="3"/>
  <c r="D336" i="2"/>
  <c r="AY333" i="2"/>
  <c r="L58" i="3"/>
  <c r="E357" i="2"/>
  <c r="O357" i="2"/>
  <c r="P375" i="2"/>
  <c r="U387" i="2"/>
  <c r="N460" i="2"/>
  <c r="F160" i="2"/>
  <c r="I388" i="2" s="1"/>
  <c r="N160" i="2"/>
  <c r="AU20" i="3"/>
  <c r="AU23" i="3"/>
  <c r="AU452" i="2"/>
  <c r="AU389" i="2"/>
  <c r="AU388" i="2"/>
  <c r="AU393" i="2" s="1"/>
  <c r="AU65" i="7" s="1"/>
  <c r="AU387" i="2"/>
  <c r="AU392" i="2" s="1"/>
  <c r="AU64" i="7" s="1"/>
  <c r="AU386" i="2"/>
  <c r="AU391" i="2" s="1"/>
  <c r="AU63" i="7" s="1"/>
  <c r="AU46" i="3"/>
  <c r="AK28" i="3"/>
  <c r="AK333" i="2"/>
  <c r="BB28" i="3"/>
  <c r="BB333" i="2"/>
  <c r="AG27" i="3"/>
  <c r="AG334" i="2"/>
  <c r="AO30" i="3"/>
  <c r="AW30" i="3"/>
  <c r="Q207" i="2"/>
  <c r="Y64" i="3"/>
  <c r="Y53" i="3"/>
  <c r="AP75" i="3"/>
  <c r="AP64" i="3"/>
  <c r="AP53" i="3"/>
  <c r="AX75" i="3"/>
  <c r="AX72" i="3" s="1"/>
  <c r="AX64" i="3"/>
  <c r="AX53" i="3"/>
  <c r="AL52" i="3"/>
  <c r="AL349" i="2"/>
  <c r="BC52" i="3"/>
  <c r="BC349" i="2"/>
  <c r="F56" i="3"/>
  <c r="F462" i="2"/>
  <c r="N56" i="3"/>
  <c r="N462" i="2"/>
  <c r="AD56" i="3"/>
  <c r="AD462" i="2"/>
  <c r="AN56" i="3"/>
  <c r="AN462" i="2"/>
  <c r="AV56" i="3"/>
  <c r="AV469" i="2"/>
  <c r="AV462" i="2"/>
  <c r="AJ57" i="3"/>
  <c r="AJ352" i="2"/>
  <c r="BA57" i="3"/>
  <c r="BA352" i="2"/>
  <c r="AF54" i="3"/>
  <c r="AF462" i="2"/>
  <c r="AF374" i="2"/>
  <c r="AI60" i="3"/>
  <c r="AI362" i="2"/>
  <c r="Y221" i="2"/>
  <c r="Y222" i="2" s="1"/>
  <c r="Y223" i="2" s="1"/>
  <c r="Y224" i="2" s="1"/>
  <c r="AP221" i="2"/>
  <c r="AX221" i="2"/>
  <c r="I7" i="3"/>
  <c r="I450" i="2"/>
  <c r="Q7" i="3"/>
  <c r="Q450" i="2"/>
  <c r="Y7" i="3"/>
  <c r="Y450" i="2"/>
  <c r="AP7" i="3"/>
  <c r="AP450" i="2"/>
  <c r="AX7" i="3"/>
  <c r="AX450" i="2"/>
  <c r="E88" i="3"/>
  <c r="E8" i="3"/>
  <c r="E451" i="2"/>
  <c r="M88" i="3"/>
  <c r="M89" i="3" s="1"/>
  <c r="M8" i="3"/>
  <c r="M451" i="2"/>
  <c r="U88" i="3"/>
  <c r="U8" i="3"/>
  <c r="U451" i="2"/>
  <c r="AC88" i="3"/>
  <c r="AC8" i="3"/>
  <c r="AC451" i="2"/>
  <c r="AT88" i="3"/>
  <c r="AT8" i="3"/>
  <c r="AT451" i="2"/>
  <c r="E232" i="2"/>
  <c r="M232" i="2"/>
  <c r="U232" i="2"/>
  <c r="AC232" i="2"/>
  <c r="AT232" i="2"/>
  <c r="I234" i="2"/>
  <c r="Q234" i="2"/>
  <c r="Y234" i="2"/>
  <c r="AP234" i="2"/>
  <c r="AX234" i="2"/>
  <c r="R58" i="3"/>
  <c r="F317" i="2"/>
  <c r="F320" i="2" s="1"/>
  <c r="AL317" i="2"/>
  <c r="AL320" i="2" s="1"/>
  <c r="P320" i="2"/>
  <c r="AA336" i="2"/>
  <c r="AQ336" i="2"/>
  <c r="G357" i="2"/>
  <c r="P357" i="2"/>
  <c r="AN357" i="2"/>
  <c r="BB350" i="2"/>
  <c r="H85" i="3"/>
  <c r="G56" i="3"/>
  <c r="G462" i="2"/>
  <c r="O56" i="3"/>
  <c r="O462" i="2"/>
  <c r="W56" i="3"/>
  <c r="W462" i="2"/>
  <c r="AE56" i="3"/>
  <c r="AE462" i="2"/>
  <c r="AO56" i="3"/>
  <c r="AO462" i="2"/>
  <c r="AW56" i="3"/>
  <c r="AW469" i="2"/>
  <c r="AW462" i="2"/>
  <c r="AJ60" i="3"/>
  <c r="AJ362" i="2"/>
  <c r="BA60" i="3"/>
  <c r="BA362" i="2"/>
  <c r="AG59" i="3"/>
  <c r="AG366" i="2"/>
  <c r="J7" i="3"/>
  <c r="J450" i="2"/>
  <c r="R7" i="3"/>
  <c r="R450" i="2"/>
  <c r="Z7" i="3"/>
  <c r="Z450" i="2"/>
  <c r="AQ7" i="3"/>
  <c r="AQ450" i="2"/>
  <c r="F88" i="3"/>
  <c r="F8" i="3"/>
  <c r="F451" i="2"/>
  <c r="N88" i="3"/>
  <c r="N89" i="3" s="1"/>
  <c r="N8" i="3"/>
  <c r="N451" i="2"/>
  <c r="V88" i="3"/>
  <c r="V8" i="3"/>
  <c r="V451" i="2"/>
  <c r="AD88" i="3"/>
  <c r="AD89" i="3" s="1"/>
  <c r="AD8" i="3"/>
  <c r="AD451" i="2"/>
  <c r="AU88" i="3"/>
  <c r="AU89" i="3" s="1"/>
  <c r="AU90" i="3" s="1"/>
  <c r="AU8" i="3"/>
  <c r="AU451" i="2"/>
  <c r="F232" i="2"/>
  <c r="N232" i="2"/>
  <c r="V232" i="2"/>
  <c r="AD232" i="2"/>
  <c r="AU232" i="2"/>
  <c r="J278" i="2"/>
  <c r="J288" i="2" s="1"/>
  <c r="J329" i="2"/>
  <c r="R278" i="2"/>
  <c r="R288" i="2" s="1"/>
  <c r="R333" i="2"/>
  <c r="R171" i="2" s="1"/>
  <c r="V58" i="3"/>
  <c r="V357" i="2"/>
  <c r="V457" i="2"/>
  <c r="J375" i="2"/>
  <c r="G320" i="2"/>
  <c r="AB320" i="2"/>
  <c r="AN320" i="2"/>
  <c r="AN323" i="2" s="1"/>
  <c r="AO322" i="2" s="1"/>
  <c r="AO323" i="2" s="1"/>
  <c r="AP322" i="2" s="1"/>
  <c r="AP323" i="2" s="1"/>
  <c r="AQ322" i="2" s="1"/>
  <c r="AQ323" i="2" s="1"/>
  <c r="C322" i="2" s="1"/>
  <c r="D322" i="2" s="1"/>
  <c r="E322" i="2" s="1"/>
  <c r="AV320" i="2"/>
  <c r="F61" i="3"/>
  <c r="AB336" i="2"/>
  <c r="AR336" i="2"/>
  <c r="D58" i="3"/>
  <c r="H357" i="2"/>
  <c r="Z457" i="2"/>
  <c r="Z357" i="2"/>
  <c r="AG407" i="2"/>
  <c r="AF408" i="2"/>
  <c r="Y85" i="3"/>
  <c r="Y455" i="2"/>
  <c r="E58" i="3"/>
  <c r="M58" i="3"/>
  <c r="U58" i="3"/>
  <c r="AC58" i="3"/>
  <c r="C457" i="2"/>
  <c r="K457" i="2"/>
  <c r="S457" i="2"/>
  <c r="AA457" i="2"/>
  <c r="AR457" i="2"/>
  <c r="D375" i="2"/>
  <c r="L375" i="2"/>
  <c r="T375" i="2"/>
  <c r="AB375" i="2"/>
  <c r="E61" i="3"/>
  <c r="N85" i="3"/>
  <c r="AD403" i="2"/>
  <c r="AD416" i="2" s="1"/>
  <c r="AD387" i="2"/>
  <c r="C85" i="3"/>
  <c r="C455" i="2"/>
  <c r="X85" i="3"/>
  <c r="X445" i="2"/>
  <c r="V415" i="2"/>
  <c r="V416" i="2" s="1"/>
  <c r="AD424" i="2"/>
  <c r="J317" i="2"/>
  <c r="J320" i="2" s="1"/>
  <c r="Z317" i="2"/>
  <c r="Z320" i="2" s="1"/>
  <c r="R61" i="3"/>
  <c r="F327" i="2"/>
  <c r="F336" i="2" s="1"/>
  <c r="N327" i="2"/>
  <c r="V327" i="2"/>
  <c r="V336" i="2" s="1"/>
  <c r="AD327" i="2"/>
  <c r="AD336" i="2" s="1"/>
  <c r="AU58" i="3"/>
  <c r="D457" i="2"/>
  <c r="L457" i="2"/>
  <c r="T457" i="2"/>
  <c r="AS457" i="2"/>
  <c r="AA357" i="2"/>
  <c r="E375" i="2"/>
  <c r="U375" i="2"/>
  <c r="AC375" i="2"/>
  <c r="AS375" i="2"/>
  <c r="R416" i="2"/>
  <c r="AO85" i="3"/>
  <c r="AW85" i="3"/>
  <c r="AU85" i="3"/>
  <c r="AU445" i="2"/>
  <c r="AU455" i="2"/>
  <c r="R94" i="3"/>
  <c r="R95" i="3" s="1"/>
  <c r="R432" i="2"/>
  <c r="R443" i="2" s="1"/>
  <c r="AD80" i="3"/>
  <c r="AB457" i="2"/>
  <c r="AT10" i="3"/>
  <c r="G58" i="3"/>
  <c r="O58" i="3"/>
  <c r="W58" i="3"/>
  <c r="AE58" i="3"/>
  <c r="AN58" i="3"/>
  <c r="AV58" i="3"/>
  <c r="E457" i="2"/>
  <c r="U457" i="2"/>
  <c r="AC457" i="2"/>
  <c r="AT457" i="2"/>
  <c r="F360" i="2"/>
  <c r="N360" i="2"/>
  <c r="V360" i="2"/>
  <c r="AD360" i="2"/>
  <c r="AY362" i="2"/>
  <c r="AY217" i="2" s="1"/>
  <c r="AG439" i="2"/>
  <c r="AY366" i="2"/>
  <c r="AY218" i="2" s="1"/>
  <c r="P416" i="2"/>
  <c r="AA85" i="3"/>
  <c r="AP85" i="3"/>
  <c r="AP455" i="2"/>
  <c r="AX85" i="3"/>
  <c r="AX455" i="2"/>
  <c r="AQ94" i="3"/>
  <c r="AQ95" i="3" s="1"/>
  <c r="AQ432" i="2"/>
  <c r="F10" i="3"/>
  <c r="N10" i="3"/>
  <c r="V10" i="3"/>
  <c r="AD10" i="3"/>
  <c r="AU10" i="3"/>
  <c r="F299" i="2"/>
  <c r="N299" i="2"/>
  <c r="N320" i="2" s="1"/>
  <c r="V299" i="2"/>
  <c r="AD299" i="2"/>
  <c r="Z61" i="3"/>
  <c r="E336" i="2"/>
  <c r="M336" i="2"/>
  <c r="U336" i="2"/>
  <c r="AC336" i="2"/>
  <c r="AT336" i="2"/>
  <c r="AU457" i="2"/>
  <c r="AU357" i="2"/>
  <c r="S357" i="2"/>
  <c r="AV467" i="2" s="1"/>
  <c r="AC357" i="2"/>
  <c r="G375" i="2"/>
  <c r="O375" i="2"/>
  <c r="W375" i="2"/>
  <c r="AE375" i="2"/>
  <c r="AY360" i="2"/>
  <c r="AU375" i="2"/>
  <c r="AA61" i="3"/>
  <c r="AQ61" i="3"/>
  <c r="Z416" i="2"/>
  <c r="AB85" i="3"/>
  <c r="AB455" i="2"/>
  <c r="L85" i="3"/>
  <c r="L455" i="2"/>
  <c r="L445" i="2"/>
  <c r="Z80" i="3"/>
  <c r="Z81" i="3" s="1"/>
  <c r="Z443" i="2"/>
  <c r="AU336" i="2"/>
  <c r="AP58" i="3"/>
  <c r="AX58" i="3"/>
  <c r="G457" i="2"/>
  <c r="O457" i="2"/>
  <c r="W457" i="2"/>
  <c r="AE457" i="2"/>
  <c r="AN457" i="2"/>
  <c r="AV457" i="2"/>
  <c r="AV357" i="2"/>
  <c r="T357" i="2"/>
  <c r="AE357" i="2"/>
  <c r="AN375" i="2"/>
  <c r="AV375" i="2"/>
  <c r="S61" i="3"/>
  <c r="S85" i="3"/>
  <c r="S445" i="2"/>
  <c r="S455" i="2"/>
  <c r="AR85" i="3"/>
  <c r="AR455" i="2"/>
  <c r="G336" i="2"/>
  <c r="O336" i="2"/>
  <c r="W336" i="2"/>
  <c r="AE336" i="2"/>
  <c r="AN336" i="2"/>
  <c r="AV336" i="2"/>
  <c r="AQ58" i="3"/>
  <c r="H457" i="2"/>
  <c r="P457" i="2"/>
  <c r="X457" i="2"/>
  <c r="AO457" i="2"/>
  <c r="AW457" i="2"/>
  <c r="K357" i="2"/>
  <c r="AT467" i="2" s="1"/>
  <c r="U357" i="2"/>
  <c r="AF357" i="2"/>
  <c r="AR357" i="2"/>
  <c r="I375" i="2"/>
  <c r="I378" i="2" s="1"/>
  <c r="Q375" i="2"/>
  <c r="Y375" i="2"/>
  <c r="Y378" i="2" s="1"/>
  <c r="K61" i="3"/>
  <c r="AC61" i="3"/>
  <c r="AS61" i="3"/>
  <c r="I85" i="3"/>
  <c r="AS85" i="3"/>
  <c r="AS86" i="3" s="1"/>
  <c r="AS455" i="2"/>
  <c r="J415" i="2"/>
  <c r="J416" i="2" s="1"/>
  <c r="T85" i="3"/>
  <c r="N94" i="3"/>
  <c r="N432" i="2"/>
  <c r="J80" i="3"/>
  <c r="J81" i="3" s="1"/>
  <c r="J443" i="2"/>
  <c r="U80" i="3"/>
  <c r="H336" i="2"/>
  <c r="P336" i="2"/>
  <c r="X336" i="2"/>
  <c r="AO336" i="2"/>
  <c r="AW336" i="2"/>
  <c r="AR58" i="3"/>
  <c r="I457" i="2"/>
  <c r="I357" i="2"/>
  <c r="Q457" i="2"/>
  <c r="Q357" i="2"/>
  <c r="Y457" i="2"/>
  <c r="Y357" i="2"/>
  <c r="AP357" i="2"/>
  <c r="AP457" i="2"/>
  <c r="AX457" i="2"/>
  <c r="AX357" i="2"/>
  <c r="C357" i="2"/>
  <c r="AR467" i="2" s="1"/>
  <c r="L357" i="2"/>
  <c r="W357" i="2"/>
  <c r="AW467" i="2" s="1"/>
  <c r="AS357" i="2"/>
  <c r="AP375" i="2"/>
  <c r="AP378" i="2" s="1"/>
  <c r="AX375" i="2"/>
  <c r="AX378" i="2" s="1"/>
  <c r="C61" i="3"/>
  <c r="U61" i="3"/>
  <c r="AT61" i="3"/>
  <c r="AD386" i="2"/>
  <c r="V387" i="2"/>
  <c r="K85" i="3"/>
  <c r="D61" i="3"/>
  <c r="L61" i="3"/>
  <c r="T61" i="3"/>
  <c r="AB61" i="3"/>
  <c r="AR61" i="3"/>
  <c r="AZ61" i="3"/>
  <c r="AR94" i="3"/>
  <c r="AR95" i="3" s="1"/>
  <c r="AR432" i="2"/>
  <c r="V80" i="3"/>
  <c r="V443" i="2"/>
  <c r="AQ80" i="3"/>
  <c r="AQ443" i="2"/>
  <c r="AF456" i="2"/>
  <c r="AQ85" i="3"/>
  <c r="AQ86" i="3" s="1"/>
  <c r="AQ455" i="2"/>
  <c r="AY436" i="2"/>
  <c r="AC80" i="3"/>
  <c r="AC81" i="3" s="1"/>
  <c r="AC443" i="2"/>
  <c r="G61" i="3"/>
  <c r="O61" i="3"/>
  <c r="W61" i="3"/>
  <c r="AE61" i="3"/>
  <c r="AU61" i="3"/>
  <c r="C94" i="3"/>
  <c r="C432" i="2"/>
  <c r="C443" i="2" s="1"/>
  <c r="C445" i="2" s="1"/>
  <c r="K94" i="3"/>
  <c r="K95" i="3" s="1"/>
  <c r="K432" i="2"/>
  <c r="K443" i="2" s="1"/>
  <c r="K445" i="2" s="1"/>
  <c r="S94" i="3"/>
  <c r="S95" i="3" s="1"/>
  <c r="S432" i="2"/>
  <c r="AA94" i="3"/>
  <c r="AA95" i="3" s="1"/>
  <c r="AA432" i="2"/>
  <c r="AA443" i="2" s="1"/>
  <c r="AA445" i="2" s="1"/>
  <c r="AU94" i="3"/>
  <c r="AU95" i="3" s="1"/>
  <c r="AU432" i="2"/>
  <c r="M80" i="3"/>
  <c r="M81" i="3" s="1"/>
  <c r="H61" i="3"/>
  <c r="P61" i="3"/>
  <c r="X61" i="3"/>
  <c r="AN61" i="3"/>
  <c r="AV61" i="3"/>
  <c r="E416" i="2"/>
  <c r="M416" i="2"/>
  <c r="U416" i="2"/>
  <c r="AC416" i="2"/>
  <c r="AT416" i="2"/>
  <c r="AD415" i="2"/>
  <c r="F441" i="2"/>
  <c r="AJ435" i="2"/>
  <c r="E80" i="3"/>
  <c r="AQ445" i="2"/>
  <c r="I61" i="3"/>
  <c r="Q61" i="3"/>
  <c r="Y61" i="3"/>
  <c r="AO61" i="3"/>
  <c r="AW61" i="3"/>
  <c r="AG380" i="2"/>
  <c r="AF383" i="2"/>
  <c r="D85" i="3"/>
  <c r="Q85" i="3"/>
  <c r="Q445" i="2"/>
  <c r="E94" i="3"/>
  <c r="E432" i="2"/>
  <c r="E443" i="2" s="1"/>
  <c r="M94" i="3"/>
  <c r="M432" i="2"/>
  <c r="M443" i="2" s="1"/>
  <c r="U94" i="3"/>
  <c r="U95" i="3" s="1"/>
  <c r="U432" i="2"/>
  <c r="U443" i="2" s="1"/>
  <c r="AC95" i="3"/>
  <c r="AP61" i="3"/>
  <c r="AX61" i="3"/>
  <c r="G416" i="2"/>
  <c r="O416" i="2"/>
  <c r="W416" i="2"/>
  <c r="AA455" i="2" s="1"/>
  <c r="AE416" i="2"/>
  <c r="AN416" i="2"/>
  <c r="AO455" i="2" s="1"/>
  <c r="AV416" i="2"/>
  <c r="F415" i="2"/>
  <c r="F416" i="2" s="1"/>
  <c r="AH406" i="2"/>
  <c r="F94" i="3"/>
  <c r="F95" i="3" s="1"/>
  <c r="F432" i="2"/>
  <c r="N441" i="2"/>
  <c r="T95" i="3"/>
  <c r="AB95" i="3"/>
  <c r="AS95" i="3"/>
  <c r="H432" i="2"/>
  <c r="H443" i="2" s="1"/>
  <c r="H445" i="2" s="1"/>
  <c r="P432" i="2"/>
  <c r="P443" i="2" s="1"/>
  <c r="X432" i="2"/>
  <c r="AF432" i="2"/>
  <c r="AO432" i="2"/>
  <c r="AW432" i="2"/>
  <c r="AW443" i="2" s="1"/>
  <c r="AW445" i="2" s="1"/>
  <c r="K81" i="3"/>
  <c r="S81" i="3"/>
  <c r="AA81" i="3"/>
  <c r="I443" i="2"/>
  <c r="I445" i="2" s="1"/>
  <c r="S443" i="2"/>
  <c r="AU443" i="2"/>
  <c r="L81" i="3"/>
  <c r="T81" i="3"/>
  <c r="AB81" i="3"/>
  <c r="T443" i="2"/>
  <c r="T445" i="2" s="1"/>
  <c r="G95" i="3"/>
  <c r="O95" i="3"/>
  <c r="W95" i="3"/>
  <c r="AV95" i="3"/>
  <c r="AU81" i="3"/>
  <c r="AE443" i="2"/>
  <c r="AO443" i="2"/>
  <c r="AO445" i="2" s="1"/>
  <c r="AX443" i="2"/>
  <c r="AX445" i="2" s="1"/>
  <c r="H95" i="3"/>
  <c r="P95" i="3"/>
  <c r="X95" i="3"/>
  <c r="D432" i="2"/>
  <c r="D443" i="2" s="1"/>
  <c r="D445" i="2" s="1"/>
  <c r="L432" i="2"/>
  <c r="L443" i="2" s="1"/>
  <c r="T432" i="2"/>
  <c r="AB432" i="2"/>
  <c r="AB443" i="2" s="1"/>
  <c r="AB445" i="2" s="1"/>
  <c r="AS432" i="2"/>
  <c r="AS443" i="2" s="1"/>
  <c r="AS445" i="2" s="1"/>
  <c r="AE81" i="3"/>
  <c r="W443" i="2"/>
  <c r="AP443" i="2"/>
  <c r="AP445" i="2" s="1"/>
  <c r="I95" i="3"/>
  <c r="Q95" i="3"/>
  <c r="Y95" i="3"/>
  <c r="AP95" i="3"/>
  <c r="AX95" i="3"/>
  <c r="AC432" i="2"/>
  <c r="AT432" i="2"/>
  <c r="AT443" i="2" s="1"/>
  <c r="O443" i="2"/>
  <c r="X443" i="2"/>
  <c r="AR443" i="2"/>
  <c r="AR445" i="2" s="1"/>
  <c r="Y81" i="3"/>
  <c r="Y443" i="2"/>
  <c r="Y445" i="2" s="1"/>
  <c r="AA117" i="2" l="1"/>
  <c r="AA120" i="2"/>
  <c r="AA125" i="2" s="1"/>
  <c r="F85" i="3"/>
  <c r="F455" i="2"/>
  <c r="V85" i="3"/>
  <c r="V445" i="2"/>
  <c r="V455" i="2"/>
  <c r="AO235" i="2"/>
  <c r="AO59" i="7" s="1"/>
  <c r="AO238" i="2"/>
  <c r="AO239" i="2" s="1"/>
  <c r="L73" i="3"/>
  <c r="E45" i="3"/>
  <c r="AJ457" i="2"/>
  <c r="AJ357" i="2"/>
  <c r="S45" i="3"/>
  <c r="AZ27" i="3"/>
  <c r="AZ44" i="7"/>
  <c r="AQ238" i="2"/>
  <c r="AQ239" i="2" s="1"/>
  <c r="AQ235" i="2"/>
  <c r="AQ59" i="7" s="1"/>
  <c r="L173" i="2"/>
  <c r="L96" i="2"/>
  <c r="R120" i="2"/>
  <c r="R125" i="2" s="1"/>
  <c r="AU40" i="3"/>
  <c r="AU97" i="2"/>
  <c r="AU8" i="7"/>
  <c r="R117" i="2"/>
  <c r="Z166" i="2"/>
  <c r="Z110" i="2"/>
  <c r="Z113" i="2" s="1"/>
  <c r="Z115" i="2" s="1"/>
  <c r="AQ81" i="3"/>
  <c r="AR81" i="3"/>
  <c r="N336" i="2"/>
  <c r="N20" i="3"/>
  <c r="N23" i="3"/>
  <c r="S100" i="3" s="1"/>
  <c r="N452" i="2"/>
  <c r="N389" i="2"/>
  <c r="N387" i="2"/>
  <c r="N386" i="2"/>
  <c r="N164" i="2"/>
  <c r="N167" i="2" s="1"/>
  <c r="N90" i="2"/>
  <c r="N92" i="2" s="1"/>
  <c r="N13" i="2"/>
  <c r="N16" i="3" s="1"/>
  <c r="N95" i="2"/>
  <c r="N89" i="2"/>
  <c r="N7" i="7"/>
  <c r="P386" i="2"/>
  <c r="P391" i="2" s="1"/>
  <c r="P63" i="7" s="1"/>
  <c r="Q388" i="2"/>
  <c r="Q393" i="2" s="1"/>
  <c r="Q65" i="7" s="1"/>
  <c r="Q387" i="2"/>
  <c r="Q392" i="2" s="1"/>
  <c r="Q64" i="7" s="1"/>
  <c r="Q386" i="2"/>
  <c r="Q391" i="2" s="1"/>
  <c r="Q63" i="7" s="1"/>
  <c r="O389" i="2"/>
  <c r="O394" i="2" s="1"/>
  <c r="O66" i="7" s="1"/>
  <c r="O388" i="2"/>
  <c r="O393" i="2" s="1"/>
  <c r="O65" i="7" s="1"/>
  <c r="O387" i="2"/>
  <c r="P389" i="2"/>
  <c r="P387" i="2"/>
  <c r="Q389" i="2"/>
  <c r="N388" i="2"/>
  <c r="AW73" i="3"/>
  <c r="AQ40" i="3"/>
  <c r="AQ241" i="2"/>
  <c r="AQ97" i="2"/>
  <c r="AQ8" i="7"/>
  <c r="U81" i="3"/>
  <c r="W81" i="3"/>
  <c r="X81" i="3"/>
  <c r="AZ366" i="2"/>
  <c r="AZ218" i="2" s="1"/>
  <c r="AV346" i="2"/>
  <c r="AV18" i="7" s="1"/>
  <c r="AV207" i="2"/>
  <c r="F322" i="2"/>
  <c r="AR322" i="2" s="1"/>
  <c r="AR323" i="2" s="1"/>
  <c r="G322" i="2" s="1"/>
  <c r="H322" i="2" s="1"/>
  <c r="E323" i="2"/>
  <c r="J346" i="2"/>
  <c r="J18" i="7" s="1"/>
  <c r="J207" i="2"/>
  <c r="P388" i="2"/>
  <c r="H458" i="2"/>
  <c r="H40" i="7"/>
  <c r="AN73" i="3"/>
  <c r="AN243" i="2"/>
  <c r="AN242" i="2"/>
  <c r="AC173" i="2"/>
  <c r="AC96" i="2"/>
  <c r="AC461" i="2" s="1"/>
  <c r="C173" i="2"/>
  <c r="C96" i="2"/>
  <c r="U89" i="3"/>
  <c r="AF391" i="2"/>
  <c r="AF63" i="7" s="1"/>
  <c r="AJ386" i="2"/>
  <c r="I24" i="3"/>
  <c r="I45" i="3" s="1"/>
  <c r="I90" i="2"/>
  <c r="I92" i="2" s="1"/>
  <c r="I89" i="2"/>
  <c r="I164" i="2"/>
  <c r="I167" i="2" s="1"/>
  <c r="AA92" i="3"/>
  <c r="AA179" i="2"/>
  <c r="AA14" i="7"/>
  <c r="AI18" i="3"/>
  <c r="AI31" i="2"/>
  <c r="AI29" i="2"/>
  <c r="AI160" i="2" s="1"/>
  <c r="AZ27" i="2"/>
  <c r="AI34" i="7"/>
  <c r="T137" i="2"/>
  <c r="T168" i="2" s="1"/>
  <c r="AV459" i="2"/>
  <c r="AP517" i="2"/>
  <c r="AP515" i="2"/>
  <c r="AP513" i="2" s="1"/>
  <c r="AP257" i="2" s="1"/>
  <c r="AP508" i="2"/>
  <c r="AP506" i="2" s="1"/>
  <c r="AP256" i="2" s="1"/>
  <c r="AP510" i="2"/>
  <c r="AP522" i="2"/>
  <c r="AP520" i="2" s="1"/>
  <c r="AP524" i="2"/>
  <c r="E85" i="3"/>
  <c r="E445" i="2"/>
  <c r="E455" i="2"/>
  <c r="I455" i="2"/>
  <c r="M346" i="2"/>
  <c r="M378" i="2" s="1"/>
  <c r="M207" i="2"/>
  <c r="M18" i="7"/>
  <c r="AH387" i="2"/>
  <c r="S173" i="2"/>
  <c r="S96" i="2"/>
  <c r="AR459" i="2"/>
  <c r="AR168" i="2"/>
  <c r="AY59" i="3"/>
  <c r="AY55" i="7"/>
  <c r="T394" i="2"/>
  <c r="T66" i="7" s="1"/>
  <c r="D25" i="3"/>
  <c r="D46" i="3" s="1"/>
  <c r="D95" i="2"/>
  <c r="D167" i="2"/>
  <c r="V83" i="2"/>
  <c r="V38" i="7" s="1"/>
  <c r="V33" i="2"/>
  <c r="H40" i="3"/>
  <c r="H97" i="2"/>
  <c r="H8" i="7"/>
  <c r="AY406" i="2"/>
  <c r="AH386" i="2"/>
  <c r="AD391" i="2"/>
  <c r="AD63" i="7" s="1"/>
  <c r="P207" i="2"/>
  <c r="P346" i="2"/>
  <c r="P18" i="7" s="1"/>
  <c r="J85" i="3"/>
  <c r="J445" i="2"/>
  <c r="J455" i="2"/>
  <c r="N455" i="2"/>
  <c r="C323" i="2"/>
  <c r="O386" i="2"/>
  <c r="O391" i="2" s="1"/>
  <c r="O63" i="7" s="1"/>
  <c r="AW100" i="3"/>
  <c r="AW45" i="3"/>
  <c r="AO100" i="3"/>
  <c r="AO26" i="3"/>
  <c r="AO45" i="3"/>
  <c r="AO46" i="3"/>
  <c r="AP2" i="3"/>
  <c r="AQ5" i="2"/>
  <c r="AP5" i="7"/>
  <c r="AP40" i="3"/>
  <c r="AP97" i="2"/>
  <c r="AP8" i="7"/>
  <c r="G85" i="3"/>
  <c r="G86" i="3" s="1"/>
  <c r="G445" i="2"/>
  <c r="G455" i="2"/>
  <c r="M85" i="3"/>
  <c r="M86" i="3" s="1"/>
  <c r="M455" i="2"/>
  <c r="M445" i="2"/>
  <c r="Q455" i="2"/>
  <c r="X346" i="2"/>
  <c r="X378" i="2" s="1"/>
  <c r="X207" i="2"/>
  <c r="X18" i="7"/>
  <c r="AR86" i="3"/>
  <c r="AS468" i="2"/>
  <c r="U346" i="2"/>
  <c r="U207" i="2"/>
  <c r="U18" i="7"/>
  <c r="AX86" i="3"/>
  <c r="F375" i="2"/>
  <c r="F217" i="2"/>
  <c r="AX467" i="2"/>
  <c r="V346" i="2"/>
  <c r="V207" i="2"/>
  <c r="V18" i="7"/>
  <c r="AD94" i="3"/>
  <c r="AD432" i="2"/>
  <c r="AD443" i="2" s="1"/>
  <c r="V89" i="3"/>
  <c r="AX465" i="2"/>
  <c r="AA346" i="2"/>
  <c r="AA207" i="2"/>
  <c r="AA18" i="7"/>
  <c r="AP238" i="2"/>
  <c r="AP239" i="2" s="1"/>
  <c r="AP235" i="2"/>
  <c r="AP59" i="7" s="1"/>
  <c r="BC457" i="2"/>
  <c r="BC357" i="2"/>
  <c r="AP55" i="3"/>
  <c r="AP62" i="3" s="1"/>
  <c r="AP117" i="3" s="1"/>
  <c r="AP65" i="3"/>
  <c r="AP67" i="3" s="1"/>
  <c r="Q51" i="3"/>
  <c r="Q221" i="2"/>
  <c r="Q222" i="2" s="1"/>
  <c r="Q223" i="2" s="1"/>
  <c r="Q224" i="2" s="1"/>
  <c r="Q208" i="2"/>
  <c r="D323" i="2"/>
  <c r="AW238" i="2"/>
  <c r="AW239" i="2" s="1"/>
  <c r="AW235" i="2"/>
  <c r="AW59" i="7" s="1"/>
  <c r="T73" i="3"/>
  <c r="AB89" i="3"/>
  <c r="AB90" i="3" s="1"/>
  <c r="AT392" i="2"/>
  <c r="AT64" i="7" s="1"/>
  <c r="AG388" i="2"/>
  <c r="AK388" i="2" s="1"/>
  <c r="AC393" i="2"/>
  <c r="AC65" i="7" s="1"/>
  <c r="U100" i="3"/>
  <c r="U26" i="3"/>
  <c r="S89" i="3"/>
  <c r="S90" i="3" s="1"/>
  <c r="AZ28" i="3"/>
  <c r="AZ43" i="7"/>
  <c r="AZ16" i="7"/>
  <c r="AS391" i="2"/>
  <c r="AS63" i="7" s="1"/>
  <c r="AB392" i="2"/>
  <c r="AB64" i="7" s="1"/>
  <c r="T393" i="2"/>
  <c r="T65" i="7" s="1"/>
  <c r="L389" i="2"/>
  <c r="L394" i="2" s="1"/>
  <c r="L66" i="7" s="1"/>
  <c r="S378" i="2"/>
  <c r="J73" i="3"/>
  <c r="K100" i="3"/>
  <c r="K26" i="3"/>
  <c r="T25" i="3"/>
  <c r="T46" i="3" s="1"/>
  <c r="T95" i="2"/>
  <c r="H89" i="3"/>
  <c r="G89" i="3"/>
  <c r="M32" i="3"/>
  <c r="M15" i="7"/>
  <c r="AV392" i="2"/>
  <c r="AV64" i="7" s="1"/>
  <c r="H389" i="2"/>
  <c r="AO73" i="3"/>
  <c r="AO243" i="2"/>
  <c r="AO242" i="2"/>
  <c r="Y392" i="2"/>
  <c r="Y64" i="7" s="1"/>
  <c r="G387" i="2"/>
  <c r="K25" i="3"/>
  <c r="K46" i="3" s="1"/>
  <c r="K95" i="2"/>
  <c r="K167" i="2"/>
  <c r="O173" i="2"/>
  <c r="O96" i="2"/>
  <c r="AY27" i="3"/>
  <c r="AY44" i="7"/>
  <c r="AF96" i="2"/>
  <c r="AF461" i="2" s="1"/>
  <c r="AF173" i="2"/>
  <c r="W173" i="2"/>
  <c r="W96" i="2"/>
  <c r="O40" i="3"/>
  <c r="O97" i="2"/>
  <c r="O8" i="7"/>
  <c r="F40" i="3"/>
  <c r="F97" i="2"/>
  <c r="F8" i="7"/>
  <c r="AH24" i="3"/>
  <c r="AH45" i="3" s="1"/>
  <c r="AH89" i="2"/>
  <c r="AH90" i="2"/>
  <c r="AH92" i="2" s="1"/>
  <c r="AB46" i="3"/>
  <c r="AK19" i="3"/>
  <c r="AK36" i="2"/>
  <c r="AK32" i="2"/>
  <c r="AK35" i="7"/>
  <c r="AV89" i="3"/>
  <c r="AV90" i="3" s="1"/>
  <c r="AO394" i="2"/>
  <c r="AO66" i="7" s="1"/>
  <c r="AE46" i="3"/>
  <c r="AD83" i="2"/>
  <c r="AD38" i="7" s="1"/>
  <c r="AD33" i="2"/>
  <c r="AV458" i="2"/>
  <c r="AV40" i="7"/>
  <c r="U46" i="3"/>
  <c r="Q24" i="3"/>
  <c r="Q45" i="3" s="1"/>
  <c r="Q90" i="2"/>
  <c r="Q92" i="2" s="1"/>
  <c r="Q89" i="2"/>
  <c r="C40" i="3"/>
  <c r="C97" i="2"/>
  <c r="C8" i="7"/>
  <c r="I40" i="3"/>
  <c r="I97" i="2"/>
  <c r="I8" i="7"/>
  <c r="AQ1" i="3"/>
  <c r="AQ3" i="2"/>
  <c r="AQ3" i="7" s="1"/>
  <c r="AQ4" i="7"/>
  <c r="C4" i="2"/>
  <c r="AK435" i="2"/>
  <c r="AJ264" i="2"/>
  <c r="AJ10" i="3" s="1"/>
  <c r="E346" i="2"/>
  <c r="E207" i="2"/>
  <c r="E18" i="7"/>
  <c r="AH439" i="2"/>
  <c r="AY439" i="2" s="1"/>
  <c r="AI439" i="2" s="1"/>
  <c r="AJ439" i="2" s="1"/>
  <c r="AK439" i="2" s="1"/>
  <c r="AL439" i="2" s="1"/>
  <c r="AZ439" i="2" s="1"/>
  <c r="BA439" i="2" s="1"/>
  <c r="BB439" i="2" s="1"/>
  <c r="BC439" i="2" s="1"/>
  <c r="R85" i="3"/>
  <c r="R445" i="2"/>
  <c r="R455" i="2"/>
  <c r="F346" i="2"/>
  <c r="F18" i="7" s="1"/>
  <c r="F207" i="2"/>
  <c r="AD85" i="3"/>
  <c r="AD445" i="2"/>
  <c r="AD455" i="2"/>
  <c r="L378" i="2"/>
  <c r="H378" i="2"/>
  <c r="R28" i="3"/>
  <c r="R163" i="2"/>
  <c r="R16" i="7"/>
  <c r="R43" i="7"/>
  <c r="AX222" i="2"/>
  <c r="AX223" i="2" s="1"/>
  <c r="AX224" i="2" s="1"/>
  <c r="AL457" i="2"/>
  <c r="AL357" i="2"/>
  <c r="F20" i="3"/>
  <c r="F23" i="3"/>
  <c r="F164" i="2"/>
  <c r="F167" i="2" s="1"/>
  <c r="F95" i="2"/>
  <c r="F89" i="2"/>
  <c r="F7" i="7"/>
  <c r="U392" i="2"/>
  <c r="U64" i="7" s="1"/>
  <c r="D346" i="2"/>
  <c r="D18" i="7" s="1"/>
  <c r="D207" i="2"/>
  <c r="BB457" i="2"/>
  <c r="BB357" i="2"/>
  <c r="M393" i="2"/>
  <c r="M65" i="7" s="1"/>
  <c r="AD320" i="2"/>
  <c r="AR90" i="3"/>
  <c r="AI457" i="2"/>
  <c r="AZ349" i="2"/>
  <c r="AI357" i="2"/>
  <c r="AA26" i="3"/>
  <c r="T346" i="2"/>
  <c r="T378" i="2" s="1"/>
  <c r="T453" i="2" s="1"/>
  <c r="T207" i="2"/>
  <c r="T18" i="7"/>
  <c r="R320" i="2"/>
  <c r="Y73" i="3"/>
  <c r="Q89" i="3"/>
  <c r="AD20" i="3"/>
  <c r="AD23" i="3"/>
  <c r="AD389" i="2"/>
  <c r="AD388" i="2"/>
  <c r="AD164" i="2"/>
  <c r="AD167" i="2" s="1"/>
  <c r="AD89" i="2"/>
  <c r="AD13" i="2"/>
  <c r="AD16" i="3" s="1"/>
  <c r="AD7" i="7"/>
  <c r="X89" i="3"/>
  <c r="X90" i="3" s="1"/>
  <c r="W89" i="3"/>
  <c r="W90" i="3" s="1"/>
  <c r="E32" i="3"/>
  <c r="E15" i="7"/>
  <c r="M25" i="3"/>
  <c r="M46" i="3" s="1"/>
  <c r="M95" i="2"/>
  <c r="AV394" i="2"/>
  <c r="AV66" i="7" s="1"/>
  <c r="Q100" i="3"/>
  <c r="H100" i="3"/>
  <c r="H26" i="3"/>
  <c r="G389" i="2"/>
  <c r="AR25" i="3"/>
  <c r="AR46" i="3" s="1"/>
  <c r="AR167" i="2"/>
  <c r="AR95" i="2"/>
  <c r="C25" i="3"/>
  <c r="C46" i="3" s="1"/>
  <c r="C95" i="2"/>
  <c r="S64" i="3"/>
  <c r="S53" i="3"/>
  <c r="AF387" i="2"/>
  <c r="N120" i="2"/>
  <c r="N125" i="2" s="1"/>
  <c r="N168" i="2" s="1"/>
  <c r="N117" i="2"/>
  <c r="AY19" i="3"/>
  <c r="AY35" i="7"/>
  <c r="AQ173" i="2"/>
  <c r="AQ96" i="2"/>
  <c r="AQ461" i="2" s="1"/>
  <c r="O458" i="2"/>
  <c r="O40" i="7"/>
  <c r="AW137" i="2"/>
  <c r="AW168" i="2" s="1"/>
  <c r="AH13" i="2"/>
  <c r="AH16" i="3" s="1"/>
  <c r="F90" i="2"/>
  <c r="F92" i="2" s="1"/>
  <c r="U394" i="2"/>
  <c r="U66" i="7" s="1"/>
  <c r="X458" i="2"/>
  <c r="X40" i="7"/>
  <c r="Z20" i="3"/>
  <c r="Z23" i="3"/>
  <c r="Z388" i="2"/>
  <c r="Z386" i="2"/>
  <c r="Z389" i="2"/>
  <c r="Z387" i="2"/>
  <c r="Z392" i="2" s="1"/>
  <c r="Z64" i="7" s="1"/>
  <c r="Z164" i="2"/>
  <c r="Z167" i="2" s="1"/>
  <c r="Z13" i="2"/>
  <c r="Z16" i="3" s="1"/>
  <c r="Z90" i="2"/>
  <c r="Z92" i="2" s="1"/>
  <c r="Z7" i="7"/>
  <c r="AY29" i="2"/>
  <c r="AB173" i="2"/>
  <c r="AB96" i="2"/>
  <c r="AE100" i="3"/>
  <c r="AE26" i="3"/>
  <c r="Z89" i="2"/>
  <c r="H207" i="2"/>
  <c r="H346" i="2"/>
  <c r="H18" i="7"/>
  <c r="AN346" i="2"/>
  <c r="AN18" i="7" s="1"/>
  <c r="AN207" i="2"/>
  <c r="AU346" i="2"/>
  <c r="AU18" i="7" s="1"/>
  <c r="AU207" i="2"/>
  <c r="AV85" i="3"/>
  <c r="AV86" i="3" s="1"/>
  <c r="AV445" i="2"/>
  <c r="AV455" i="2"/>
  <c r="F80" i="3"/>
  <c r="F443" i="2"/>
  <c r="F445" i="2" s="1"/>
  <c r="V81" i="3"/>
  <c r="AE346" i="2"/>
  <c r="AE18" i="7" s="1"/>
  <c r="AE207" i="2"/>
  <c r="L86" i="3"/>
  <c r="AP86" i="3"/>
  <c r="AY60" i="3"/>
  <c r="AY54" i="7"/>
  <c r="X455" i="2"/>
  <c r="AU73" i="3"/>
  <c r="AU242" i="2"/>
  <c r="AU243" i="2"/>
  <c r="AT89" i="3"/>
  <c r="AT90" i="3" s="1"/>
  <c r="AP222" i="2"/>
  <c r="AP223" i="2" s="1"/>
  <c r="AP224" i="2" s="1"/>
  <c r="P378" i="2"/>
  <c r="T89" i="3"/>
  <c r="T90" i="3" s="1"/>
  <c r="AF437" i="2"/>
  <c r="AY334" i="2"/>
  <c r="AC100" i="3"/>
  <c r="AC26" i="3"/>
  <c r="AR73" i="3"/>
  <c r="AR243" i="2"/>
  <c r="AR242" i="2"/>
  <c r="K89" i="3"/>
  <c r="K90" i="3" s="1"/>
  <c r="L100" i="3"/>
  <c r="L346" i="2"/>
  <c r="L207" i="2"/>
  <c r="L18" i="7"/>
  <c r="R336" i="2"/>
  <c r="AQ90" i="3"/>
  <c r="AZ66" i="3"/>
  <c r="AZ53" i="7"/>
  <c r="AR100" i="3"/>
  <c r="S391" i="2"/>
  <c r="S63" i="7" s="1"/>
  <c r="K387" i="2"/>
  <c r="K392" i="2" s="1"/>
  <c r="K64" i="7" s="1"/>
  <c r="G73" i="3"/>
  <c r="AP100" i="3"/>
  <c r="AP26" i="3"/>
  <c r="AP73" i="3"/>
  <c r="AP72" i="3"/>
  <c r="AP243" i="2"/>
  <c r="AP242" i="2"/>
  <c r="AN47" i="3"/>
  <c r="AN31" i="3"/>
  <c r="AG457" i="2"/>
  <c r="AG357" i="2"/>
  <c r="AY349" i="2"/>
  <c r="AS25" i="3"/>
  <c r="AS46" i="3" s="1"/>
  <c r="AS95" i="2"/>
  <c r="AU24" i="3"/>
  <c r="AU45" i="3" s="1"/>
  <c r="AU164" i="2"/>
  <c r="AU167" i="2" s="1"/>
  <c r="AU90" i="2"/>
  <c r="AU92" i="2" s="1"/>
  <c r="AU89" i="2"/>
  <c r="R217" i="2"/>
  <c r="AV32" i="3"/>
  <c r="AV15" i="7"/>
  <c r="X393" i="2"/>
  <c r="X65" i="7" s="1"/>
  <c r="AF388" i="2"/>
  <c r="W393" i="2"/>
  <c r="W65" i="7" s="1"/>
  <c r="R20" i="3"/>
  <c r="R23" i="3"/>
  <c r="R452" i="2"/>
  <c r="R389" i="2"/>
  <c r="R394" i="2" s="1"/>
  <c r="R66" i="7" s="1"/>
  <c r="R387" i="2"/>
  <c r="R392" i="2" s="1"/>
  <c r="R64" i="7" s="1"/>
  <c r="R388" i="2"/>
  <c r="R393" i="2" s="1"/>
  <c r="R65" i="7" s="1"/>
  <c r="R386" i="2"/>
  <c r="R391" i="2" s="1"/>
  <c r="R63" i="7" s="1"/>
  <c r="R164" i="2"/>
  <c r="R167" i="2" s="1"/>
  <c r="R97" i="2"/>
  <c r="R13" i="2"/>
  <c r="R16" i="3" s="1"/>
  <c r="R95" i="2"/>
  <c r="R7" i="7"/>
  <c r="V91" i="2"/>
  <c r="Z452" i="2"/>
  <c r="AQ391" i="2"/>
  <c r="AQ63" i="7" s="1"/>
  <c r="AC46" i="3"/>
  <c r="X32" i="3"/>
  <c r="X15" i="7"/>
  <c r="O46" i="3"/>
  <c r="AD15" i="3"/>
  <c r="AD31" i="7"/>
  <c r="AW167" i="2"/>
  <c r="AO458" i="2"/>
  <c r="AO40" i="7"/>
  <c r="AO40" i="3"/>
  <c r="AO241" i="2"/>
  <c r="AO97" i="2"/>
  <c r="AO8" i="7"/>
  <c r="P40" i="3"/>
  <c r="P97" i="2"/>
  <c r="P8" i="7"/>
  <c r="F45" i="3"/>
  <c r="AD110" i="2"/>
  <c r="AD113" i="2" s="1"/>
  <c r="AD115" i="2" s="1"/>
  <c r="X46" i="3"/>
  <c r="AC458" i="2"/>
  <c r="AC40" i="7"/>
  <c r="AL37" i="2"/>
  <c r="AG20" i="3"/>
  <c r="AG23" i="3"/>
  <c r="AG402" i="2"/>
  <c r="AG166" i="2"/>
  <c r="AY160" i="2"/>
  <c r="AY452" i="2" s="1"/>
  <c r="AG13" i="2"/>
  <c r="AG16" i="3" s="1"/>
  <c r="AG7" i="7"/>
  <c r="AE173" i="2"/>
  <c r="AE96" i="2"/>
  <c r="AE461" i="2" s="1"/>
  <c r="Z45" i="3"/>
  <c r="B539" i="2"/>
  <c r="BC499" i="2"/>
  <c r="BC26" i="7" s="1"/>
  <c r="BC498" i="2"/>
  <c r="BC25" i="7" s="1"/>
  <c r="BC495" i="2"/>
  <c r="BC22" i="7" s="1"/>
  <c r="BC500" i="2"/>
  <c r="BC27" i="7" s="1"/>
  <c r="BC497" i="2"/>
  <c r="BC24" i="7" s="1"/>
  <c r="BC496" i="2"/>
  <c r="BC23" i="7" s="1"/>
  <c r="A2" i="7"/>
  <c r="A2" i="2"/>
  <c r="B540" i="2" s="1"/>
  <c r="AQ91" i="2"/>
  <c r="I100" i="3"/>
  <c r="I26" i="3"/>
  <c r="AU459" i="2"/>
  <c r="L95" i="3"/>
  <c r="AN85" i="3"/>
  <c r="AN86" i="3" s="1"/>
  <c r="AN455" i="2"/>
  <c r="AN445" i="2"/>
  <c r="D455" i="2"/>
  <c r="AI436" i="2"/>
  <c r="AS96" i="3"/>
  <c r="Q378" i="2"/>
  <c r="AW465" i="2"/>
  <c r="W346" i="2"/>
  <c r="W18" i="7" s="1"/>
  <c r="W207" i="2"/>
  <c r="AR346" i="2"/>
  <c r="AR378" i="2" s="1"/>
  <c r="AR453" i="2" s="1"/>
  <c r="AR207" i="2"/>
  <c r="AD73" i="3"/>
  <c r="AT73" i="3"/>
  <c r="M90" i="3"/>
  <c r="AX65" i="3"/>
  <c r="AX67" i="3" s="1"/>
  <c r="AX55" i="3"/>
  <c r="AX62" i="3" s="1"/>
  <c r="AX117" i="3" s="1"/>
  <c r="Y65" i="3"/>
  <c r="Y67" i="3" s="1"/>
  <c r="Y55" i="3"/>
  <c r="Y62" i="3" s="1"/>
  <c r="Y117" i="3" s="1"/>
  <c r="AK457" i="2"/>
  <c r="AK357" i="2"/>
  <c r="AT100" i="3"/>
  <c r="U391" i="2"/>
  <c r="U63" i="7" s="1"/>
  <c r="M389" i="2"/>
  <c r="M394" i="2" s="1"/>
  <c r="M66" i="7" s="1"/>
  <c r="AA73" i="3"/>
  <c r="T100" i="3"/>
  <c r="T26" i="3"/>
  <c r="AU238" i="2"/>
  <c r="AU239" i="2" s="1"/>
  <c r="AU235" i="2"/>
  <c r="AU59" i="7" s="1"/>
  <c r="J89" i="3"/>
  <c r="J90" i="3" s="1"/>
  <c r="R52" i="3"/>
  <c r="R17" i="7"/>
  <c r="R50" i="7"/>
  <c r="C45" i="3"/>
  <c r="AA391" i="2"/>
  <c r="AA63" i="7" s="1"/>
  <c r="S392" i="2"/>
  <c r="S64" i="7" s="1"/>
  <c r="R457" i="2"/>
  <c r="AG88" i="3"/>
  <c r="AG89" i="3" s="1"/>
  <c r="AG8" i="3"/>
  <c r="AG451" i="2"/>
  <c r="AH230" i="2"/>
  <c r="AG228" i="2"/>
  <c r="AG420" i="2" s="1"/>
  <c r="AP45" i="3"/>
  <c r="AX100" i="3"/>
  <c r="AX26" i="3"/>
  <c r="X73" i="3"/>
  <c r="AZ350" i="2"/>
  <c r="AZ212" i="2" s="1"/>
  <c r="AP46" i="3"/>
  <c r="W73" i="3"/>
  <c r="AH457" i="2"/>
  <c r="AH357" i="2"/>
  <c r="AC32" i="3"/>
  <c r="AC15" i="7"/>
  <c r="E25" i="3"/>
  <c r="E46" i="3" s="1"/>
  <c r="E167" i="2"/>
  <c r="E95" i="2"/>
  <c r="H45" i="3"/>
  <c r="AV100" i="3"/>
  <c r="AV26" i="3"/>
  <c r="Q173" i="2"/>
  <c r="Q96" i="2"/>
  <c r="H96" i="2"/>
  <c r="H461" i="2" s="1"/>
  <c r="H173" i="2"/>
  <c r="K40" i="3"/>
  <c r="K97" i="2"/>
  <c r="K8" i="7"/>
  <c r="Y100" i="3"/>
  <c r="Y26" i="3"/>
  <c r="P100" i="3"/>
  <c r="P26" i="3"/>
  <c r="AZ334" i="2"/>
  <c r="AX25" i="3"/>
  <c r="AX46" i="3" s="1"/>
  <c r="AX95" i="2"/>
  <c r="X394" i="2"/>
  <c r="X66" i="7" s="1"/>
  <c r="AF389" i="2"/>
  <c r="W394" i="2"/>
  <c r="W66" i="7" s="1"/>
  <c r="P458" i="2"/>
  <c r="P40" i="7"/>
  <c r="AQ393" i="2"/>
  <c r="AQ65" i="7" s="1"/>
  <c r="M40" i="3"/>
  <c r="M97" i="2"/>
  <c r="M8" i="7"/>
  <c r="Z14" i="3"/>
  <c r="Z30" i="7"/>
  <c r="AW391" i="2"/>
  <c r="AW63" i="7" s="1"/>
  <c r="AO96" i="2"/>
  <c r="AO461" i="2" s="1"/>
  <c r="AO173" i="2"/>
  <c r="I458" i="2"/>
  <c r="I40" i="7"/>
  <c r="L40" i="3"/>
  <c r="L97" i="2"/>
  <c r="L8" i="7"/>
  <c r="AS459" i="2"/>
  <c r="AS168" i="2"/>
  <c r="AE386" i="2"/>
  <c r="W40" i="3"/>
  <c r="W97" i="2"/>
  <c r="W8" i="7"/>
  <c r="V110" i="2"/>
  <c r="V113" i="2" s="1"/>
  <c r="V115" i="2" s="1"/>
  <c r="I51" i="3"/>
  <c r="I221" i="2"/>
  <c r="I222" i="2" s="1"/>
  <c r="I223" i="2" s="1"/>
  <c r="I224" i="2" s="1"/>
  <c r="I208" i="2"/>
  <c r="AQ45" i="3"/>
  <c r="AN40" i="3"/>
  <c r="AN241" i="2"/>
  <c r="AN97" i="2"/>
  <c r="AN8" i="7"/>
  <c r="Q40" i="3"/>
  <c r="Q97" i="2"/>
  <c r="Q8" i="7"/>
  <c r="G101" i="3"/>
  <c r="G114" i="3"/>
  <c r="G48" i="3"/>
  <c r="Y40" i="3"/>
  <c r="Y97" i="2"/>
  <c r="Y8" i="7"/>
  <c r="X40" i="3"/>
  <c r="X97" i="2"/>
  <c r="X8" i="7"/>
  <c r="AE85" i="3"/>
  <c r="AE445" i="2"/>
  <c r="AT85" i="3"/>
  <c r="AT86" i="3" s="1"/>
  <c r="AT455" i="2"/>
  <c r="AT445" i="2"/>
  <c r="AU465" i="2"/>
  <c r="O346" i="2"/>
  <c r="O207" i="2"/>
  <c r="O18" i="7"/>
  <c r="AV378" i="2"/>
  <c r="AE378" i="2"/>
  <c r="AD375" i="2"/>
  <c r="AD217" i="2"/>
  <c r="AW455" i="2"/>
  <c r="U378" i="2"/>
  <c r="AG408" i="2"/>
  <c r="AH408" i="2" s="1"/>
  <c r="AY408" i="2" s="1"/>
  <c r="AI408" i="2" s="1"/>
  <c r="AJ408" i="2" s="1"/>
  <c r="AK408" i="2" s="1"/>
  <c r="AL408" i="2" s="1"/>
  <c r="AZ408" i="2" s="1"/>
  <c r="BA408" i="2" s="1"/>
  <c r="BB408" i="2" s="1"/>
  <c r="BC408" i="2" s="1"/>
  <c r="AB346" i="2"/>
  <c r="AB378" i="2" s="1"/>
  <c r="AB207" i="2"/>
  <c r="G323" i="2"/>
  <c r="V73" i="3"/>
  <c r="AD90" i="3"/>
  <c r="F323" i="2"/>
  <c r="AC73" i="3"/>
  <c r="AZ362" i="2"/>
  <c r="AU394" i="2"/>
  <c r="AU66" i="7" s="1"/>
  <c r="AS89" i="3"/>
  <c r="AS90" i="3" s="1"/>
  <c r="AG387" i="2"/>
  <c r="AK387" i="2" s="1"/>
  <c r="AC392" i="2"/>
  <c r="AC64" i="7" s="1"/>
  <c r="U393" i="2"/>
  <c r="U65" i="7" s="1"/>
  <c r="AR465" i="2"/>
  <c r="C346" i="2"/>
  <c r="AR466" i="2" s="1"/>
  <c r="C207" i="2"/>
  <c r="AV235" i="2"/>
  <c r="AV59" i="7" s="1"/>
  <c r="AV238" i="2"/>
  <c r="AV239" i="2" s="1"/>
  <c r="S73" i="3"/>
  <c r="AA90" i="3"/>
  <c r="AB100" i="3"/>
  <c r="AB26" i="3"/>
  <c r="D26" i="3"/>
  <c r="AQ73" i="3"/>
  <c r="AQ243" i="2"/>
  <c r="AQ242" i="2"/>
  <c r="S393" i="2"/>
  <c r="S65" i="7" s="1"/>
  <c r="K394" i="2"/>
  <c r="K66" i="7" s="1"/>
  <c r="AS346" i="2"/>
  <c r="AS378" i="2" s="1"/>
  <c r="AS207" i="2"/>
  <c r="I89" i="3"/>
  <c r="AE32" i="3"/>
  <c r="AE15" i="7"/>
  <c r="J20" i="3"/>
  <c r="J23" i="3"/>
  <c r="O100" i="3" s="1"/>
  <c r="J452" i="2"/>
  <c r="J389" i="2"/>
  <c r="J387" i="2"/>
  <c r="J388" i="2"/>
  <c r="J386" i="2"/>
  <c r="J164" i="2"/>
  <c r="J167" i="2" s="1"/>
  <c r="J89" i="2"/>
  <c r="J90" i="2"/>
  <c r="J92" i="2" s="1"/>
  <c r="J95" i="2"/>
  <c r="J13" i="2"/>
  <c r="J16" i="3" s="1"/>
  <c r="J7" i="7"/>
  <c r="P89" i="3"/>
  <c r="O89" i="3"/>
  <c r="AV173" i="2"/>
  <c r="AV96" i="2"/>
  <c r="AV461" i="2" s="1"/>
  <c r="AN96" i="2"/>
  <c r="AN461" i="2" s="1"/>
  <c r="AN173" i="2"/>
  <c r="H386" i="2"/>
  <c r="L391" i="2" s="1"/>
  <c r="L63" i="7" s="1"/>
  <c r="G24" i="3"/>
  <c r="G45" i="3" s="1"/>
  <c r="G90" i="2"/>
  <c r="G92" i="2" s="1"/>
  <c r="G89" i="2"/>
  <c r="G100" i="3"/>
  <c r="AN32" i="3"/>
  <c r="AN15" i="7"/>
  <c r="X24" i="3"/>
  <c r="X45" i="3" s="1"/>
  <c r="X90" i="2"/>
  <c r="X92" i="2" s="1"/>
  <c r="X89" i="2"/>
  <c r="X100" i="3"/>
  <c r="AW25" i="3"/>
  <c r="AW46" i="3" s="1"/>
  <c r="AW95" i="2"/>
  <c r="AK18" i="3"/>
  <c r="AK29" i="2"/>
  <c r="AK160" i="2" s="1"/>
  <c r="AK452" i="2" s="1"/>
  <c r="AK35" i="2"/>
  <c r="AK37" i="2" s="1"/>
  <c r="AK31" i="2"/>
  <c r="AK33" i="2" s="1"/>
  <c r="AK163" i="2" s="1"/>
  <c r="AK34" i="7"/>
  <c r="AQ392" i="2"/>
  <c r="AQ64" i="7" s="1"/>
  <c r="P32" i="3"/>
  <c r="P15" i="7"/>
  <c r="AF120" i="2"/>
  <c r="AF125" i="2" s="1"/>
  <c r="AF137" i="2" s="1"/>
  <c r="AF168" i="2" s="1"/>
  <c r="AG37" i="2"/>
  <c r="AY35" i="2"/>
  <c r="AY37" i="2" s="1"/>
  <c r="AV73" i="3"/>
  <c r="AV243" i="2"/>
  <c r="AV242" i="2"/>
  <c r="AW392" i="2"/>
  <c r="AW64" i="7" s="1"/>
  <c r="AO391" i="2"/>
  <c r="AO63" i="7" s="1"/>
  <c r="AV85" i="2"/>
  <c r="AV53" i="2"/>
  <c r="S40" i="3"/>
  <c r="S97" i="2"/>
  <c r="S8" i="7"/>
  <c r="AY84" i="2"/>
  <c r="AY39" i="7" s="1"/>
  <c r="AE387" i="2"/>
  <c r="AC40" i="3"/>
  <c r="AC97" i="2"/>
  <c r="AC8" i="7"/>
  <c r="AV56" i="2"/>
  <c r="AV59" i="2" s="1"/>
  <c r="N80" i="3"/>
  <c r="N443" i="2"/>
  <c r="N445" i="2" s="1"/>
  <c r="W85" i="3"/>
  <c r="W445" i="2"/>
  <c r="W455" i="2"/>
  <c r="M95" i="3"/>
  <c r="AC85" i="3"/>
  <c r="AC455" i="2"/>
  <c r="AC445" i="2"/>
  <c r="AQ96" i="3"/>
  <c r="K455" i="2"/>
  <c r="AW207" i="2"/>
  <c r="AW346" i="2"/>
  <c r="AW378" i="2" s="1"/>
  <c r="AW453" i="2" s="1"/>
  <c r="N95" i="3"/>
  <c r="AS465" i="2"/>
  <c r="G346" i="2"/>
  <c r="AS466" i="2" s="1"/>
  <c r="G207" i="2"/>
  <c r="AN378" i="2"/>
  <c r="AW468" i="2"/>
  <c r="AT346" i="2"/>
  <c r="AT378" i="2" s="1"/>
  <c r="AT207" i="2"/>
  <c r="AT243" i="2" s="1"/>
  <c r="AT18" i="7"/>
  <c r="V375" i="2"/>
  <c r="V378" i="2" s="1"/>
  <c r="V217" i="2"/>
  <c r="AD81" i="3"/>
  <c r="AW86" i="3"/>
  <c r="N86" i="3"/>
  <c r="AH407" i="2"/>
  <c r="AG409" i="2"/>
  <c r="AG415" i="2" s="1"/>
  <c r="J378" i="2"/>
  <c r="N73" i="3"/>
  <c r="F89" i="3"/>
  <c r="AS467" i="2"/>
  <c r="U73" i="3"/>
  <c r="AC89" i="3"/>
  <c r="AC90" i="3" s="1"/>
  <c r="AU467" i="2"/>
  <c r="AS73" i="3"/>
  <c r="AS243" i="2"/>
  <c r="AS242" i="2"/>
  <c r="L90" i="3"/>
  <c r="AZ352" i="2"/>
  <c r="AZ213" i="2" s="1"/>
  <c r="AG389" i="2"/>
  <c r="AK389" i="2" s="1"/>
  <c r="AC394" i="2"/>
  <c r="AC66" i="7" s="1"/>
  <c r="K73" i="3"/>
  <c r="AS100" i="3"/>
  <c r="AS26" i="3"/>
  <c r="T391" i="2"/>
  <c r="T63" i="7" s="1"/>
  <c r="L387" i="2"/>
  <c r="L392" i="2" s="1"/>
  <c r="L64" i="7" s="1"/>
  <c r="V95" i="3"/>
  <c r="Z73" i="3"/>
  <c r="Z89" i="3"/>
  <c r="Z90" i="3" s="1"/>
  <c r="AY352" i="2"/>
  <c r="AY213" i="2" s="1"/>
  <c r="S394" i="2"/>
  <c r="S66" i="7" s="1"/>
  <c r="AY427" i="2"/>
  <c r="AX96" i="2"/>
  <c r="AX173" i="2"/>
  <c r="AP173" i="2"/>
  <c r="AP96" i="2"/>
  <c r="AP461" i="2" s="1"/>
  <c r="U32" i="3"/>
  <c r="U15" i="7"/>
  <c r="AT25" i="3"/>
  <c r="AT46" i="3" s="1"/>
  <c r="AT95" i="2"/>
  <c r="AY28" i="3"/>
  <c r="AY16" i="7"/>
  <c r="AY43" i="7"/>
  <c r="H387" i="2"/>
  <c r="AY350" i="2"/>
  <c r="AY212" i="2" s="1"/>
  <c r="Y173" i="2"/>
  <c r="Y96" i="2"/>
  <c r="Y461" i="2" s="1"/>
  <c r="P96" i="2"/>
  <c r="P461" i="2" s="1"/>
  <c r="P173" i="2"/>
  <c r="G164" i="2"/>
  <c r="G167" i="2" s="1"/>
  <c r="AV40" i="3"/>
  <c r="AV241" i="2"/>
  <c r="AV97" i="2"/>
  <c r="AV8" i="7"/>
  <c r="S25" i="3"/>
  <c r="S46" i="3" s="1"/>
  <c r="S95" i="2"/>
  <c r="O24" i="3"/>
  <c r="O45" i="3" s="1"/>
  <c r="O90" i="2"/>
  <c r="O92" i="2" s="1"/>
  <c r="O89" i="2"/>
  <c r="O26" i="3"/>
  <c r="AT238" i="2"/>
  <c r="AT239" i="2" s="1"/>
  <c r="AT235" i="2"/>
  <c r="AT59" i="7" s="1"/>
  <c r="AU32" i="3"/>
  <c r="AU15" i="7"/>
  <c r="Q46" i="3"/>
  <c r="AF100" i="3"/>
  <c r="AF26" i="3"/>
  <c r="AS238" i="2"/>
  <c r="AS239" i="2" s="1"/>
  <c r="AS235" i="2"/>
  <c r="AS59" i="7" s="1"/>
  <c r="AO524" i="2"/>
  <c r="AO508" i="2"/>
  <c r="AO506" i="2" s="1"/>
  <c r="AO256" i="2" s="1"/>
  <c r="AO510" i="2"/>
  <c r="AO522" i="2"/>
  <c r="AO520" i="2" s="1"/>
  <c r="AO517" i="2"/>
  <c r="AO515" i="2"/>
  <c r="AO513" i="2" s="1"/>
  <c r="AO257" i="2" s="1"/>
  <c r="AS167" i="2"/>
  <c r="AQ394" i="2"/>
  <c r="AQ66" i="7" s="1"/>
  <c r="AY31" i="2"/>
  <c r="AG33" i="2"/>
  <c r="AG163" i="2" s="1"/>
  <c r="AW393" i="2"/>
  <c r="AW65" i="7" s="1"/>
  <c r="AO392" i="2"/>
  <c r="AO64" i="7" s="1"/>
  <c r="AI19" i="3"/>
  <c r="AI452" i="2"/>
  <c r="AI36" i="2"/>
  <c r="AI32" i="2"/>
  <c r="AZ28" i="2"/>
  <c r="AI35" i="7"/>
  <c r="AE458" i="2"/>
  <c r="AE40" i="7"/>
  <c r="AB120" i="2"/>
  <c r="AB125" i="2" s="1"/>
  <c r="AB137" i="2" s="1"/>
  <c r="AB168" i="2" s="1"/>
  <c r="AB117" i="2"/>
  <c r="AE388" i="2"/>
  <c r="I386" i="2"/>
  <c r="M391" i="2" s="1"/>
  <c r="M63" i="7" s="1"/>
  <c r="AF458" i="2"/>
  <c r="AF40" i="7"/>
  <c r="O85" i="3"/>
  <c r="O86" i="3" s="1"/>
  <c r="O455" i="2"/>
  <c r="O445" i="2"/>
  <c r="U85" i="3"/>
  <c r="U86" i="3" s="1"/>
  <c r="U455" i="2"/>
  <c r="U445" i="2"/>
  <c r="K86" i="3"/>
  <c r="AO346" i="2"/>
  <c r="AO378" i="2" s="1"/>
  <c r="AO207" i="2"/>
  <c r="T455" i="2"/>
  <c r="I86" i="3"/>
  <c r="Z85" i="3"/>
  <c r="Z86" i="3" s="1"/>
  <c r="Z445" i="2"/>
  <c r="Z455" i="2"/>
  <c r="AU468" i="2"/>
  <c r="O378" i="2"/>
  <c r="AC346" i="2"/>
  <c r="AC18" i="7" s="1"/>
  <c r="AC207" i="2"/>
  <c r="P85" i="3"/>
  <c r="P86" i="3" s="1"/>
  <c r="P445" i="2"/>
  <c r="P455" i="2"/>
  <c r="N375" i="2"/>
  <c r="N217" i="2"/>
  <c r="E378" i="2"/>
  <c r="I453" i="2" s="1"/>
  <c r="AD346" i="2"/>
  <c r="AD18" i="7" s="1"/>
  <c r="AD207" i="2"/>
  <c r="AF409" i="2"/>
  <c r="AF415" i="2" s="1"/>
  <c r="AF416" i="2" s="1"/>
  <c r="F73" i="3"/>
  <c r="H455" i="2"/>
  <c r="AQ346" i="2"/>
  <c r="AQ378" i="2" s="1"/>
  <c r="AQ207" i="2"/>
  <c r="AQ18" i="7"/>
  <c r="AX235" i="2"/>
  <c r="AX59" i="7" s="1"/>
  <c r="AX238" i="2"/>
  <c r="AX239" i="2" s="1"/>
  <c r="M73" i="3"/>
  <c r="AU100" i="3"/>
  <c r="AU26" i="3"/>
  <c r="Z346" i="2"/>
  <c r="Z378" i="2" s="1"/>
  <c r="Z453" i="2" s="1"/>
  <c r="Z207" i="2"/>
  <c r="Z18" i="7"/>
  <c r="AB73" i="3"/>
  <c r="AT393" i="2"/>
  <c r="AT65" i="7" s="1"/>
  <c r="AC391" i="2"/>
  <c r="AC63" i="7" s="1"/>
  <c r="AG386" i="2"/>
  <c r="AK386" i="2" s="1"/>
  <c r="M100" i="3"/>
  <c r="M26" i="3"/>
  <c r="K378" i="2"/>
  <c r="BA457" i="2"/>
  <c r="BA357" i="2"/>
  <c r="D45" i="3"/>
  <c r="AB391" i="2"/>
  <c r="AB63" i="7" s="1"/>
  <c r="T392" i="2"/>
  <c r="T64" i="7" s="1"/>
  <c r="L388" i="2"/>
  <c r="R73" i="3"/>
  <c r="AT465" i="2"/>
  <c r="K346" i="2"/>
  <c r="K207" i="2"/>
  <c r="AV466" i="2"/>
  <c r="S18" i="7"/>
  <c r="Y89" i="3"/>
  <c r="Y90" i="3" s="1"/>
  <c r="V25" i="3"/>
  <c r="V46" i="3" s="1"/>
  <c r="V95" i="2"/>
  <c r="AF89" i="3"/>
  <c r="AX45" i="3"/>
  <c r="AE89" i="3"/>
  <c r="AE90" i="3" s="1"/>
  <c r="AV391" i="2"/>
  <c r="AV63" i="7" s="1"/>
  <c r="H388" i="2"/>
  <c r="L25" i="3"/>
  <c r="L46" i="3" s="1"/>
  <c r="L95" i="2"/>
  <c r="AN46" i="3"/>
  <c r="Y391" i="2"/>
  <c r="Y63" i="7" s="1"/>
  <c r="G386" i="2"/>
  <c r="K391" i="2" s="1"/>
  <c r="K63" i="7" s="1"/>
  <c r="X164" i="2"/>
  <c r="X167" i="2" s="1"/>
  <c r="AD25" i="3"/>
  <c r="AD46" i="3" s="1"/>
  <c r="AD95" i="2"/>
  <c r="W24" i="3"/>
  <c r="W45" i="3" s="1"/>
  <c r="W90" i="2"/>
  <c r="W92" i="2" s="1"/>
  <c r="W89" i="2"/>
  <c r="W100" i="3"/>
  <c r="W26" i="3"/>
  <c r="AT32" i="3"/>
  <c r="AT15" i="7"/>
  <c r="AT167" i="2"/>
  <c r="AL20" i="3"/>
  <c r="AL23" i="3"/>
  <c r="AL166" i="2"/>
  <c r="AL25" i="3" s="1"/>
  <c r="AL13" i="2"/>
  <c r="AL16" i="3" s="1"/>
  <c r="AL7" i="7"/>
  <c r="T167" i="2"/>
  <c r="AQ100" i="3"/>
  <c r="AQ26" i="3"/>
  <c r="F117" i="2"/>
  <c r="H32" i="3"/>
  <c r="H15" i="7"/>
  <c r="AB458" i="2"/>
  <c r="AB40" i="7"/>
  <c r="AJ23" i="3"/>
  <c r="AJ20" i="3"/>
  <c r="AJ399" i="2"/>
  <c r="AJ166" i="2"/>
  <c r="AJ25" i="3" s="1"/>
  <c r="AJ13" i="2"/>
  <c r="AJ16" i="3" s="1"/>
  <c r="AJ7" i="7"/>
  <c r="M167" i="2"/>
  <c r="AW394" i="2"/>
  <c r="AW66" i="7" s="1"/>
  <c r="AO393" i="2"/>
  <c r="AO65" i="7" s="1"/>
  <c r="AE40" i="3"/>
  <c r="AE97" i="2"/>
  <c r="AE8" i="7"/>
  <c r="AB461" i="2"/>
  <c r="AJ19" i="3"/>
  <c r="AJ452" i="2"/>
  <c r="AJ32" i="2"/>
  <c r="AJ33" i="2" s="1"/>
  <c r="AJ163" i="2" s="1"/>
  <c r="AJ164" i="2" s="1"/>
  <c r="AJ167" i="2" s="1"/>
  <c r="AJ35" i="7"/>
  <c r="AT459" i="2"/>
  <c r="AT168" i="2"/>
  <c r="AH164" i="2"/>
  <c r="AH167" i="2" s="1"/>
  <c r="E40" i="3"/>
  <c r="G74" i="3" s="1"/>
  <c r="G71" i="3" s="1"/>
  <c r="E97" i="2"/>
  <c r="E8" i="7"/>
  <c r="J40" i="3"/>
  <c r="J97" i="2"/>
  <c r="J8" i="7"/>
  <c r="AL33" i="2"/>
  <c r="AL163" i="2" s="1"/>
  <c r="AE389" i="2"/>
  <c r="U173" i="2"/>
  <c r="U96" i="2"/>
  <c r="U461" i="2" s="1"/>
  <c r="V20" i="3"/>
  <c r="V23" i="3"/>
  <c r="AA100" i="3" s="1"/>
  <c r="V389" i="2"/>
  <c r="V394" i="2" s="1"/>
  <c r="V66" i="7" s="1"/>
  <c r="V388" i="2"/>
  <c r="V393" i="2" s="1"/>
  <c r="V65" i="7" s="1"/>
  <c r="V386" i="2"/>
  <c r="V391" i="2" s="1"/>
  <c r="V63" i="7" s="1"/>
  <c r="V164" i="2"/>
  <c r="V167" i="2" s="1"/>
  <c r="V13" i="2"/>
  <c r="V16" i="3" s="1"/>
  <c r="V7" i="7"/>
  <c r="I387" i="2"/>
  <c r="M392" i="2" s="1"/>
  <c r="M64" i="7" s="1"/>
  <c r="U40" i="3"/>
  <c r="U97" i="2"/>
  <c r="U8" i="7"/>
  <c r="V90" i="2"/>
  <c r="V92" i="2" s="1"/>
  <c r="D40" i="3"/>
  <c r="D97" i="2"/>
  <c r="D8" i="7"/>
  <c r="AF46" i="3"/>
  <c r="AX40" i="3"/>
  <c r="AX241" i="2"/>
  <c r="AX97" i="2"/>
  <c r="AX8" i="7"/>
  <c r="AV58" i="2"/>
  <c r="AN517" i="2"/>
  <c r="AN515" i="2"/>
  <c r="AN513" i="2" s="1"/>
  <c r="AN257" i="2" s="1"/>
  <c r="AN524" i="2"/>
  <c r="AN522" i="2"/>
  <c r="AN520" i="2" s="1"/>
  <c r="AN508" i="2"/>
  <c r="AN506" i="2" s="1"/>
  <c r="AN256" i="2" s="1"/>
  <c r="AN510" i="2"/>
  <c r="AN531" i="2" l="1"/>
  <c r="AN529" i="2"/>
  <c r="AN527" i="2" s="1"/>
  <c r="AN530" i="2"/>
  <c r="A259" i="2"/>
  <c r="A257" i="2"/>
  <c r="A260" i="2"/>
  <c r="A258" i="2"/>
  <c r="A256" i="2"/>
  <c r="A3" i="2"/>
  <c r="A3" i="7"/>
  <c r="AO529" i="2"/>
  <c r="AO527" i="2" s="1"/>
  <c r="AP531" i="2"/>
  <c r="AP530" i="2"/>
  <c r="AP529" i="2"/>
  <c r="AP527" i="2" s="1"/>
  <c r="AP259" i="2" s="1"/>
  <c r="AO530" i="2"/>
  <c r="B543" i="2"/>
  <c r="AO531" i="2"/>
  <c r="AQ530" i="2"/>
  <c r="AJ173" i="2"/>
  <c r="AJ168" i="2"/>
  <c r="AJ96" i="2"/>
  <c r="AS453" i="2"/>
  <c r="AZ217" i="2"/>
  <c r="AT96" i="3"/>
  <c r="H92" i="3"/>
  <c r="H179" i="2"/>
  <c r="H14" i="7"/>
  <c r="H19" i="7" s="1"/>
  <c r="E173" i="2"/>
  <c r="E96" i="2"/>
  <c r="V173" i="2"/>
  <c r="V96" i="2"/>
  <c r="V461" i="2" s="1"/>
  <c r="AH173" i="2"/>
  <c r="AH168" i="2"/>
  <c r="AH96" i="2"/>
  <c r="M173" i="2"/>
  <c r="M96" i="2"/>
  <c r="AL46" i="3"/>
  <c r="V40" i="7"/>
  <c r="V458" i="2"/>
  <c r="K51" i="3"/>
  <c r="K208" i="2"/>
  <c r="K221" i="2"/>
  <c r="K222" i="2" s="1"/>
  <c r="K223" i="2" s="1"/>
  <c r="K224" i="2" s="1"/>
  <c r="N378" i="2"/>
  <c r="N453" i="2" s="1"/>
  <c r="AO258" i="2"/>
  <c r="AO260" i="2" s="1"/>
  <c r="AF47" i="3"/>
  <c r="AF31" i="3"/>
  <c r="O47" i="3"/>
  <c r="O31" i="3"/>
  <c r="O36" i="3" s="1"/>
  <c r="AY56" i="3"/>
  <c r="AY51" i="7"/>
  <c r="AT458" i="2"/>
  <c r="AT40" i="7"/>
  <c r="AW96" i="3"/>
  <c r="W378" i="2"/>
  <c r="W453" i="2" s="1"/>
  <c r="N81" i="3"/>
  <c r="Q81" i="3"/>
  <c r="P81" i="3"/>
  <c r="O81" i="3"/>
  <c r="AB31" i="3"/>
  <c r="AB36" i="3" s="1"/>
  <c r="AB47" i="3"/>
  <c r="AD60" i="3"/>
  <c r="AD54" i="7"/>
  <c r="AE86" i="3"/>
  <c r="Y47" i="3"/>
  <c r="Y31" i="3"/>
  <c r="Y36" i="3" s="1"/>
  <c r="Q92" i="3"/>
  <c r="Q179" i="2"/>
  <c r="Q14" i="7"/>
  <c r="Q19" i="7" s="1"/>
  <c r="AN96" i="3"/>
  <c r="AN97" i="3" s="1"/>
  <c r="AG400" i="2"/>
  <c r="AR26" i="3"/>
  <c r="AU378" i="2"/>
  <c r="AU453" i="2" s="1"/>
  <c r="H51" i="3"/>
  <c r="H221" i="2"/>
  <c r="H222" i="2" s="1"/>
  <c r="H223" i="2" s="1"/>
  <c r="H224" i="2" s="1"/>
  <c r="H208" i="2"/>
  <c r="Z393" i="2"/>
  <c r="Z65" i="7" s="1"/>
  <c r="H47" i="3"/>
  <c r="H31" i="3"/>
  <c r="H36" i="3" s="1"/>
  <c r="AD393" i="2"/>
  <c r="AD65" i="7" s="1"/>
  <c r="AH388" i="2"/>
  <c r="R24" i="3"/>
  <c r="R45" i="3" s="1"/>
  <c r="R89" i="2"/>
  <c r="R90" i="2"/>
  <c r="R92" i="2" s="1"/>
  <c r="F51" i="3"/>
  <c r="F221" i="2"/>
  <c r="F222" i="2" s="1"/>
  <c r="F223" i="2" s="1"/>
  <c r="F224" i="2" s="1"/>
  <c r="F208" i="2"/>
  <c r="W92" i="3"/>
  <c r="W179" i="2"/>
  <c r="W14" i="7"/>
  <c r="W19" i="7" s="1"/>
  <c r="K458" i="2"/>
  <c r="K40" i="7"/>
  <c r="AX466" i="2"/>
  <c r="AA378" i="2"/>
  <c r="AA453" i="2" s="1"/>
  <c r="V392" i="2"/>
  <c r="V64" i="7" s="1"/>
  <c r="G96" i="3"/>
  <c r="AW26" i="3"/>
  <c r="AA19" i="7"/>
  <c r="AQ101" i="3"/>
  <c r="AQ114" i="3"/>
  <c r="AQ74" i="3"/>
  <c r="AQ71" i="3" s="1"/>
  <c r="AQ48" i="3"/>
  <c r="N393" i="2"/>
  <c r="N65" i="7" s="1"/>
  <c r="N173" i="2"/>
  <c r="N96" i="2"/>
  <c r="Z120" i="2"/>
  <c r="Z125" i="2" s="1"/>
  <c r="Z117" i="2"/>
  <c r="AU114" i="3"/>
  <c r="AU101" i="3"/>
  <c r="AU74" i="3"/>
  <c r="AU71" i="3" s="1"/>
  <c r="AU48" i="3"/>
  <c r="E26" i="3"/>
  <c r="AJ36" i="2"/>
  <c r="AJ37" i="2" s="1"/>
  <c r="D114" i="3"/>
  <c r="D48" i="3"/>
  <c r="AE394" i="2"/>
  <c r="AE66" i="7" s="1"/>
  <c r="AI389" i="2"/>
  <c r="L393" i="2"/>
  <c r="L65" i="7" s="1"/>
  <c r="AO51" i="3"/>
  <c r="AO221" i="2"/>
  <c r="AO208" i="2"/>
  <c r="O96" i="3"/>
  <c r="AL24" i="3"/>
  <c r="AL45" i="3" s="1"/>
  <c r="AL90" i="2"/>
  <c r="AL92" i="2" s="1"/>
  <c r="AL89" i="2"/>
  <c r="AT40" i="3"/>
  <c r="AT97" i="2"/>
  <c r="AT241" i="2"/>
  <c r="AT8" i="7"/>
  <c r="AD40" i="7"/>
  <c r="AD458" i="2"/>
  <c r="AO453" i="2"/>
  <c r="AY229" i="2"/>
  <c r="AI229" i="2" s="1"/>
  <c r="AW18" i="7"/>
  <c r="X26" i="3"/>
  <c r="G26" i="3"/>
  <c r="J40" i="7"/>
  <c r="J458" i="2"/>
  <c r="AS18" i="7"/>
  <c r="C18" i="7"/>
  <c r="AB18" i="7"/>
  <c r="AD378" i="2"/>
  <c r="AD453" i="2" s="1"/>
  <c r="L114" i="3"/>
  <c r="L101" i="3"/>
  <c r="L74" i="3"/>
  <c r="L71" i="3" s="1"/>
  <c r="L48" i="3"/>
  <c r="AJ389" i="2"/>
  <c r="AJ422" i="2" s="1"/>
  <c r="AF394" i="2"/>
  <c r="AF66" i="7" s="1"/>
  <c r="AV47" i="3"/>
  <c r="AV31" i="3"/>
  <c r="AV36" i="3" s="1"/>
  <c r="AZ56" i="3"/>
  <c r="AZ51" i="7"/>
  <c r="AC378" i="2"/>
  <c r="AB453" i="2" s="1"/>
  <c r="AG26" i="3"/>
  <c r="AD120" i="2"/>
  <c r="AD125" i="2" s="1"/>
  <c r="AD137" i="2" s="1"/>
  <c r="AD168" i="2" s="1"/>
  <c r="AD117" i="2"/>
  <c r="AO101" i="3"/>
  <c r="AO114" i="3"/>
  <c r="AO74" i="3"/>
  <c r="AO71" i="3" s="1"/>
  <c r="AO48" i="3"/>
  <c r="AS458" i="2"/>
  <c r="AS40" i="7"/>
  <c r="AS461" i="2"/>
  <c r="L26" i="3"/>
  <c r="D378" i="2"/>
  <c r="L96" i="3"/>
  <c r="AU51" i="3"/>
  <c r="AU221" i="2"/>
  <c r="AU208" i="2"/>
  <c r="Z100" i="3"/>
  <c r="AW40" i="3"/>
  <c r="AW241" i="2"/>
  <c r="AW97" i="2"/>
  <c r="AW8" i="7"/>
  <c r="AD394" i="2"/>
  <c r="AD66" i="7" s="1"/>
  <c r="AH389" i="2"/>
  <c r="AZ467" i="2"/>
  <c r="F461" i="2"/>
  <c r="F91" i="2"/>
  <c r="F114" i="3"/>
  <c r="F74" i="3"/>
  <c r="F71" i="3" s="1"/>
  <c r="F48" i="3"/>
  <c r="AF92" i="3"/>
  <c r="AF179" i="2"/>
  <c r="AF14" i="7"/>
  <c r="G378" i="2"/>
  <c r="AQ2" i="3"/>
  <c r="C5" i="2"/>
  <c r="AR5" i="2"/>
  <c r="AQ5" i="7"/>
  <c r="H114" i="3"/>
  <c r="H101" i="3"/>
  <c r="H74" i="3"/>
  <c r="H71" i="3" s="1"/>
  <c r="H48" i="3"/>
  <c r="H86" i="3"/>
  <c r="AL387" i="2"/>
  <c r="AL400" i="2" s="1"/>
  <c r="AZ400" i="2" s="1"/>
  <c r="AH400" i="2"/>
  <c r="AY400" i="2" s="1"/>
  <c r="T40" i="3"/>
  <c r="T97" i="2"/>
  <c r="T8" i="7"/>
  <c r="AA183" i="2"/>
  <c r="AA195" i="2"/>
  <c r="AA47" i="7" s="1"/>
  <c r="AA194" i="2"/>
  <c r="AA46" i="7" s="1"/>
  <c r="AZ59" i="3"/>
  <c r="AZ55" i="7"/>
  <c r="Q394" i="2"/>
  <c r="Q66" i="7" s="1"/>
  <c r="N391" i="2"/>
  <c r="N63" i="7" s="1"/>
  <c r="Z25" i="3"/>
  <c r="Z46" i="3" s="1"/>
  <c r="Z95" i="2"/>
  <c r="V86" i="3"/>
  <c r="O461" i="2"/>
  <c r="O91" i="2"/>
  <c r="AV101" i="3"/>
  <c r="AV114" i="3"/>
  <c r="AV74" i="3"/>
  <c r="AV71" i="3" s="1"/>
  <c r="AV48" i="3"/>
  <c r="V60" i="3"/>
  <c r="V54" i="7"/>
  <c r="AB86" i="3"/>
  <c r="AC86" i="3"/>
  <c r="AF40" i="3"/>
  <c r="AF97" i="2"/>
  <c r="AF8" i="7"/>
  <c r="AK24" i="3"/>
  <c r="AK90" i="2"/>
  <c r="AK92" i="2" s="1"/>
  <c r="AK89" i="2"/>
  <c r="J100" i="3"/>
  <c r="J26" i="3"/>
  <c r="J45" i="3"/>
  <c r="J46" i="3"/>
  <c r="AS51" i="3"/>
  <c r="AS208" i="2"/>
  <c r="AS221" i="2"/>
  <c r="C51" i="3"/>
  <c r="C208" i="2"/>
  <c r="C221" i="2"/>
  <c r="C222" i="2" s="1"/>
  <c r="C223" i="2" s="1"/>
  <c r="C224" i="2" s="1"/>
  <c r="AB51" i="3"/>
  <c r="AB208" i="2"/>
  <c r="AB221" i="2"/>
  <c r="AB222" i="2" s="1"/>
  <c r="AB223" i="2" s="1"/>
  <c r="AB224" i="2" s="1"/>
  <c r="AX453" i="2"/>
  <c r="AN114" i="3"/>
  <c r="AN74" i="3"/>
  <c r="AN71" i="3" s="1"/>
  <c r="AN48" i="3"/>
  <c r="W101" i="3"/>
  <c r="W114" i="3"/>
  <c r="W74" i="3"/>
  <c r="W71" i="3" s="1"/>
  <c r="W48" i="3"/>
  <c r="T31" i="3"/>
  <c r="T36" i="3" s="1"/>
  <c r="T47" i="3"/>
  <c r="AT26" i="3"/>
  <c r="AT242" i="2"/>
  <c r="AY20" i="3"/>
  <c r="AY23" i="3"/>
  <c r="AY13" i="2"/>
  <c r="AY16" i="3" s="1"/>
  <c r="AY7" i="7"/>
  <c r="R40" i="7"/>
  <c r="R458" i="2"/>
  <c r="P453" i="2"/>
  <c r="S86" i="3"/>
  <c r="C458" i="2"/>
  <c r="C40" i="7"/>
  <c r="C461" i="2"/>
  <c r="Q26" i="3"/>
  <c r="AD100" i="3"/>
  <c r="AD26" i="3"/>
  <c r="AZ457" i="2"/>
  <c r="AZ357" i="2"/>
  <c r="AZ210" i="2"/>
  <c r="F40" i="7"/>
  <c r="F458" i="2"/>
  <c r="H453" i="2"/>
  <c r="AL435" i="2"/>
  <c r="AK264" i="2"/>
  <c r="AK10" i="3" s="1"/>
  <c r="C114" i="3"/>
  <c r="C48" i="3"/>
  <c r="K47" i="3"/>
  <c r="K31" i="3"/>
  <c r="K36" i="3" s="1"/>
  <c r="V90" i="3"/>
  <c r="F60" i="3"/>
  <c r="F54" i="7"/>
  <c r="P51" i="3"/>
  <c r="P221" i="2"/>
  <c r="P222" i="2" s="1"/>
  <c r="P223" i="2" s="1"/>
  <c r="P224" i="2" s="1"/>
  <c r="P208" i="2"/>
  <c r="AD392" i="2"/>
  <c r="AD64" i="7" s="1"/>
  <c r="AV468" i="2"/>
  <c r="P392" i="2"/>
  <c r="P64" i="7" s="1"/>
  <c r="N392" i="2"/>
  <c r="N64" i="7" s="1"/>
  <c r="N346" i="2"/>
  <c r="N18" i="7" s="1"/>
  <c r="N207" i="2"/>
  <c r="AL26" i="3"/>
  <c r="I96" i="3"/>
  <c r="AQ31" i="3"/>
  <c r="AQ36" i="3" s="1"/>
  <c r="AQ47" i="3"/>
  <c r="AU47" i="3"/>
  <c r="AU31" i="3"/>
  <c r="AU36" i="3" s="1"/>
  <c r="AF85" i="3"/>
  <c r="AF86" i="3" s="1"/>
  <c r="K96" i="3"/>
  <c r="AG24" i="3"/>
  <c r="AG45" i="3" s="1"/>
  <c r="AG89" i="2"/>
  <c r="AG90" i="2"/>
  <c r="AG92" i="2" s="1"/>
  <c r="AY163" i="2"/>
  <c r="W31" i="3"/>
  <c r="W36" i="3" s="1"/>
  <c r="W47" i="3"/>
  <c r="X96" i="2"/>
  <c r="X461" i="2" s="1"/>
  <c r="X173" i="2"/>
  <c r="K453" i="2"/>
  <c r="AQ51" i="3"/>
  <c r="AQ221" i="2"/>
  <c r="AQ208" i="2"/>
  <c r="P96" i="3"/>
  <c r="Z96" i="3"/>
  <c r="AZ19" i="3"/>
  <c r="AZ8" i="2"/>
  <c r="BA28" i="2"/>
  <c r="AZ35" i="7"/>
  <c r="AY33" i="2"/>
  <c r="AY83" i="2"/>
  <c r="AY38" i="7" s="1"/>
  <c r="G96" i="2"/>
  <c r="G173" i="2"/>
  <c r="AN453" i="2"/>
  <c r="AN381" i="2"/>
  <c r="AW51" i="3"/>
  <c r="AW221" i="2"/>
  <c r="AW208" i="2"/>
  <c r="S101" i="3"/>
  <c r="S114" i="3"/>
  <c r="S74" i="3"/>
  <c r="S71" i="3" s="1"/>
  <c r="S48" i="3"/>
  <c r="X91" i="2"/>
  <c r="G461" i="2"/>
  <c r="G91" i="2"/>
  <c r="AV92" i="3"/>
  <c r="AV93" i="3" s="1"/>
  <c r="AV179" i="2"/>
  <c r="AV14" i="7"/>
  <c r="AV19" i="7" s="1"/>
  <c r="J91" i="2"/>
  <c r="AE391" i="2"/>
  <c r="AE63" i="7" s="1"/>
  <c r="AI386" i="2"/>
  <c r="AX458" i="2"/>
  <c r="AX40" i="7"/>
  <c r="AX461" i="2"/>
  <c r="AH88" i="3"/>
  <c r="AH89" i="3" s="1"/>
  <c r="AH8" i="3"/>
  <c r="AH451" i="2"/>
  <c r="AH228" i="2"/>
  <c r="AH420" i="2" s="1"/>
  <c r="AR18" i="7"/>
  <c r="B4" i="7"/>
  <c r="B4" i="2"/>
  <c r="B3" i="7" s="1"/>
  <c r="B3" i="2" s="1"/>
  <c r="AG25" i="3"/>
  <c r="AG46" i="3" s="1"/>
  <c r="AY166" i="2"/>
  <c r="R100" i="3"/>
  <c r="R26" i="3"/>
  <c r="R48" i="3"/>
  <c r="R46" i="3"/>
  <c r="AY457" i="2"/>
  <c r="AY357" i="2"/>
  <c r="AY210" i="2"/>
  <c r="AC47" i="3"/>
  <c r="AC31" i="3"/>
  <c r="AC36" i="3" s="1"/>
  <c r="F81" i="3"/>
  <c r="I81" i="3"/>
  <c r="I90" i="3" s="1"/>
  <c r="H81" i="3"/>
  <c r="G81" i="3"/>
  <c r="Z91" i="2"/>
  <c r="N40" i="3"/>
  <c r="N97" i="2"/>
  <c r="N8" i="7"/>
  <c r="T51" i="3"/>
  <c r="T208" i="2"/>
  <c r="T221" i="2"/>
  <c r="T222" i="2" s="1"/>
  <c r="T223" i="2" s="1"/>
  <c r="T224" i="2" s="1"/>
  <c r="F173" i="2"/>
  <c r="F96" i="2"/>
  <c r="L453" i="2"/>
  <c r="Q461" i="2"/>
  <c r="Q91" i="2"/>
  <c r="Q103" i="3"/>
  <c r="Q64" i="3"/>
  <c r="Q53" i="3"/>
  <c r="F378" i="2"/>
  <c r="F453" i="2" s="1"/>
  <c r="AR468" i="2"/>
  <c r="AR96" i="3"/>
  <c r="AP258" i="2"/>
  <c r="AP260" i="2" s="1"/>
  <c r="AZ18" i="3"/>
  <c r="AZ29" i="2"/>
  <c r="BA27" i="2"/>
  <c r="AZ7" i="2"/>
  <c r="AZ34" i="7"/>
  <c r="U90" i="3"/>
  <c r="AC92" i="3"/>
  <c r="AC179" i="2"/>
  <c r="AC14" i="7"/>
  <c r="AC19" i="7" s="1"/>
  <c r="AW242" i="2"/>
  <c r="P394" i="2"/>
  <c r="P66" i="7" s="1"/>
  <c r="N394" i="2"/>
  <c r="N66" i="7" s="1"/>
  <c r="S26" i="3"/>
  <c r="AN258" i="2"/>
  <c r="AN260" i="2" s="1"/>
  <c r="AX114" i="3"/>
  <c r="AX74" i="3"/>
  <c r="AX71" i="3" s="1"/>
  <c r="AX48" i="3"/>
  <c r="U114" i="3"/>
  <c r="U101" i="3"/>
  <c r="U74" i="3"/>
  <c r="U71" i="3" s="1"/>
  <c r="U48" i="3"/>
  <c r="V74" i="3"/>
  <c r="V71" i="3" s="1"/>
  <c r="V100" i="3"/>
  <c r="V26" i="3"/>
  <c r="V48" i="3"/>
  <c r="J101" i="3"/>
  <c r="J114" i="3"/>
  <c r="J74" i="3"/>
  <c r="J71" i="3" s="1"/>
  <c r="J48" i="3"/>
  <c r="AJ46" i="3"/>
  <c r="T173" i="2"/>
  <c r="T96" i="2"/>
  <c r="T461" i="2" s="1"/>
  <c r="AT468" i="2"/>
  <c r="AQ453" i="2"/>
  <c r="AD51" i="3"/>
  <c r="AD221" i="2"/>
  <c r="AD222" i="2" s="1"/>
  <c r="AD223" i="2" s="1"/>
  <c r="AD224" i="2" s="1"/>
  <c r="AD208" i="2"/>
  <c r="AY467" i="2"/>
  <c r="AE393" i="2"/>
  <c r="AE65" i="7" s="1"/>
  <c r="AI388" i="2"/>
  <c r="AZ32" i="2"/>
  <c r="AZ84" i="2" s="1"/>
  <c r="AZ39" i="7" s="1"/>
  <c r="P92" i="3"/>
  <c r="P179" i="2"/>
  <c r="P14" i="7"/>
  <c r="P19" i="7" s="1"/>
  <c r="AY57" i="3"/>
  <c r="AY52" i="7"/>
  <c r="J453" i="2"/>
  <c r="AA86" i="3"/>
  <c r="G18" i="7"/>
  <c r="AP453" i="2"/>
  <c r="AK23" i="3"/>
  <c r="AK20" i="3"/>
  <c r="AK399" i="2"/>
  <c r="AK402" i="2"/>
  <c r="AK400" i="2"/>
  <c r="AL339" i="2" s="1"/>
  <c r="AK422" i="2"/>
  <c r="AK341" i="2" s="1"/>
  <c r="AK166" i="2"/>
  <c r="AK25" i="3" s="1"/>
  <c r="AK46" i="3" s="1"/>
  <c r="AK164" i="2"/>
  <c r="AK167" i="2" s="1"/>
  <c r="AK13" i="2"/>
  <c r="AK16" i="3" s="1"/>
  <c r="AK7" i="7"/>
  <c r="O90" i="3"/>
  <c r="J173" i="2"/>
  <c r="J96" i="2"/>
  <c r="J461" i="2" s="1"/>
  <c r="AX468" i="2"/>
  <c r="AV453" i="2"/>
  <c r="X114" i="3"/>
  <c r="X101" i="3"/>
  <c r="X74" i="3"/>
  <c r="X71" i="3" s="1"/>
  <c r="X48" i="3"/>
  <c r="AS40" i="3"/>
  <c r="AS97" i="2"/>
  <c r="AS241" i="2"/>
  <c r="AS8" i="7"/>
  <c r="AO92" i="3"/>
  <c r="AO93" i="3" s="1"/>
  <c r="AO179" i="2"/>
  <c r="AO14" i="7"/>
  <c r="M114" i="3"/>
  <c r="M101" i="3"/>
  <c r="M74" i="3"/>
  <c r="M71" i="3" s="1"/>
  <c r="M48" i="3"/>
  <c r="R101" i="3"/>
  <c r="K101" i="3"/>
  <c r="K114" i="3"/>
  <c r="K74" i="3"/>
  <c r="K71" i="3" s="1"/>
  <c r="K48" i="3"/>
  <c r="E458" i="2"/>
  <c r="E40" i="7"/>
  <c r="E461" i="2"/>
  <c r="AR51" i="3"/>
  <c r="AR208" i="2"/>
  <c r="AR221" i="2"/>
  <c r="W51" i="3"/>
  <c r="W221" i="2"/>
  <c r="W222" i="2" s="1"/>
  <c r="W223" i="2" s="1"/>
  <c r="W224" i="2" s="1"/>
  <c r="W208" i="2"/>
  <c r="AJ436" i="2"/>
  <c r="AG164" i="2"/>
  <c r="AG167" i="2" s="1"/>
  <c r="AW96" i="2"/>
  <c r="AW461" i="2" s="1"/>
  <c r="AW173" i="2"/>
  <c r="R60" i="3"/>
  <c r="R54" i="7"/>
  <c r="AU86" i="3"/>
  <c r="AE51" i="3"/>
  <c r="AE221" i="2"/>
  <c r="AE222" i="2" s="1"/>
  <c r="AE223" i="2" s="1"/>
  <c r="AE224" i="2" s="1"/>
  <c r="AE208" i="2"/>
  <c r="AN51" i="3"/>
  <c r="AN221" i="2"/>
  <c r="AN208" i="2"/>
  <c r="AE31" i="3"/>
  <c r="AE36" i="3" s="1"/>
  <c r="AE47" i="3"/>
  <c r="Z173" i="2"/>
  <c r="Z96" i="2"/>
  <c r="AF392" i="2"/>
  <c r="AF64" i="7" s="1"/>
  <c r="AJ387" i="2"/>
  <c r="AJ400" i="2" s="1"/>
  <c r="AR458" i="2"/>
  <c r="AR40" i="7"/>
  <c r="AR461" i="2"/>
  <c r="F26" i="3"/>
  <c r="F46" i="3"/>
  <c r="R86" i="3"/>
  <c r="C530" i="2"/>
  <c r="C1" i="3"/>
  <c r="C504" i="2"/>
  <c r="C531" i="2" s="1"/>
  <c r="D4" i="2"/>
  <c r="C4" i="7"/>
  <c r="C3" i="2"/>
  <c r="C3" i="7" s="1"/>
  <c r="O101" i="3"/>
  <c r="O114" i="3"/>
  <c r="O74" i="3"/>
  <c r="O71" i="3" s="1"/>
  <c r="O48" i="3"/>
  <c r="U47" i="3"/>
  <c r="U31" i="3"/>
  <c r="U36" i="3" s="1"/>
  <c r="AX96" i="3"/>
  <c r="AX97" i="3" s="1"/>
  <c r="T86" i="3"/>
  <c r="M96" i="3"/>
  <c r="AP241" i="2"/>
  <c r="AL386" i="2"/>
  <c r="AL399" i="2" s="1"/>
  <c r="AZ399" i="2" s="1"/>
  <c r="AH399" i="2"/>
  <c r="AY399" i="2" s="1"/>
  <c r="D173" i="2"/>
  <c r="D96" i="2"/>
  <c r="AR40" i="3"/>
  <c r="AR241" i="2"/>
  <c r="AR97" i="2"/>
  <c r="AR8" i="7"/>
  <c r="M51" i="3"/>
  <c r="M208" i="2"/>
  <c r="M221" i="2"/>
  <c r="M222" i="2" s="1"/>
  <c r="M223" i="2" s="1"/>
  <c r="M224" i="2" s="1"/>
  <c r="AI23" i="3"/>
  <c r="AI20" i="3"/>
  <c r="AI422" i="2"/>
  <c r="AI399" i="2"/>
  <c r="AJ337" i="2" s="1"/>
  <c r="AI402" i="2"/>
  <c r="AJ340" i="2" s="1"/>
  <c r="AI166" i="2"/>
  <c r="AZ160" i="2"/>
  <c r="AZ452" i="2" s="1"/>
  <c r="AI13" i="2"/>
  <c r="AI16" i="3" s="1"/>
  <c r="AI7" i="7"/>
  <c r="I173" i="2"/>
  <c r="I96" i="2"/>
  <c r="I461" i="2" s="1"/>
  <c r="I322" i="2"/>
  <c r="H323" i="2"/>
  <c r="AW243" i="2"/>
  <c r="O392" i="2"/>
  <c r="O64" i="7" s="1"/>
  <c r="N461" i="2"/>
  <c r="N91" i="2"/>
  <c r="L92" i="3"/>
  <c r="L179" i="2"/>
  <c r="L14" i="7"/>
  <c r="L19" i="7" s="1"/>
  <c r="F86" i="3"/>
  <c r="F96" i="3" s="1"/>
  <c r="AW466" i="2"/>
  <c r="I47" i="3"/>
  <c r="I31" i="3"/>
  <c r="I36" i="3" s="1"/>
  <c r="AG340" i="2"/>
  <c r="P114" i="3"/>
  <c r="P101" i="3"/>
  <c r="P74" i="3"/>
  <c r="P71" i="3" s="1"/>
  <c r="P48" i="3"/>
  <c r="R173" i="2"/>
  <c r="R96" i="2"/>
  <c r="AU91" i="2"/>
  <c r="R346" i="2"/>
  <c r="R378" i="2" s="1"/>
  <c r="R207" i="2"/>
  <c r="S65" i="3"/>
  <c r="S67" i="3" s="1"/>
  <c r="S55" i="3"/>
  <c r="S62" i="3" s="1"/>
  <c r="S117" i="3" s="1"/>
  <c r="AR173" i="2"/>
  <c r="AR96" i="2"/>
  <c r="M458" i="2"/>
  <c r="M40" i="7"/>
  <c r="M461" i="2"/>
  <c r="C26" i="3"/>
  <c r="D51" i="3"/>
  <c r="D208" i="2"/>
  <c r="D221" i="2"/>
  <c r="D222" i="2" s="1"/>
  <c r="D223" i="2" s="1"/>
  <c r="D224" i="2" s="1"/>
  <c r="AH461" i="2"/>
  <c r="AH91" i="2"/>
  <c r="H90" i="3"/>
  <c r="AD95" i="3"/>
  <c r="AF95" i="3"/>
  <c r="AE95" i="3"/>
  <c r="AP114" i="3"/>
  <c r="AP101" i="3"/>
  <c r="AP74" i="3"/>
  <c r="AP71" i="3" s="1"/>
  <c r="AP48" i="3"/>
  <c r="AO31" i="3"/>
  <c r="AO36" i="3" s="1"/>
  <c r="AO47" i="3"/>
  <c r="AI406" i="2"/>
  <c r="D458" i="2"/>
  <c r="D40" i="7"/>
  <c r="D461" i="2"/>
  <c r="AI33" i="2"/>
  <c r="AI163" i="2" s="1"/>
  <c r="AZ31" i="2"/>
  <c r="I91" i="2"/>
  <c r="AO86" i="3"/>
  <c r="P393" i="2"/>
  <c r="P65" i="7" s="1"/>
  <c r="N40" i="7"/>
  <c r="N458" i="2"/>
  <c r="N100" i="3"/>
  <c r="N26" i="3"/>
  <c r="N46" i="3"/>
  <c r="N45" i="3"/>
  <c r="AA137" i="2"/>
  <c r="AA168" i="2" s="1"/>
  <c r="AX459" i="2"/>
  <c r="AJ24" i="3"/>
  <c r="AJ45" i="3" s="1"/>
  <c r="AJ90" i="2"/>
  <c r="AJ92" i="2" s="1"/>
  <c r="AJ89" i="2"/>
  <c r="W461" i="2"/>
  <c r="W91" i="2"/>
  <c r="M47" i="3"/>
  <c r="M31" i="3"/>
  <c r="M36" i="3" s="1"/>
  <c r="U96" i="3"/>
  <c r="S458" i="2"/>
  <c r="S40" i="7"/>
  <c r="S461" i="2"/>
  <c r="G51" i="3"/>
  <c r="G221" i="2"/>
  <c r="G222" i="2" s="1"/>
  <c r="G223" i="2" s="1"/>
  <c r="G224" i="2" s="1"/>
  <c r="G208" i="2"/>
  <c r="P90" i="3"/>
  <c r="AK337" i="2"/>
  <c r="E453" i="2"/>
  <c r="AB40" i="3"/>
  <c r="AB97" i="2"/>
  <c r="AB8" i="7"/>
  <c r="AY407" i="2"/>
  <c r="AH409" i="2"/>
  <c r="AH415" i="2" s="1"/>
  <c r="AT51" i="3"/>
  <c r="AT208" i="2"/>
  <c r="AT221" i="2"/>
  <c r="W86" i="3"/>
  <c r="AW458" i="2"/>
  <c r="AW40" i="7"/>
  <c r="D31" i="3"/>
  <c r="D36" i="3" s="1"/>
  <c r="D47" i="3"/>
  <c r="U453" i="2"/>
  <c r="O51" i="3"/>
  <c r="O221" i="2"/>
  <c r="O222" i="2" s="1"/>
  <c r="O223" i="2" s="1"/>
  <c r="O224" i="2" s="1"/>
  <c r="O208" i="2"/>
  <c r="Q101" i="3"/>
  <c r="Q114" i="3"/>
  <c r="Q74" i="3"/>
  <c r="Q71" i="3" s="1"/>
  <c r="Q48" i="3"/>
  <c r="V101" i="3"/>
  <c r="R74" i="3"/>
  <c r="R71" i="3" s="1"/>
  <c r="I64" i="3"/>
  <c r="I53" i="3"/>
  <c r="AX47" i="3"/>
  <c r="AX31" i="3"/>
  <c r="AX36" i="3" s="1"/>
  <c r="Y86" i="3"/>
  <c r="AG399" i="2"/>
  <c r="AN36" i="3"/>
  <c r="AG437" i="2"/>
  <c r="AV96" i="3"/>
  <c r="Z394" i="2"/>
  <c r="Z66" i="7" s="1"/>
  <c r="AQ92" i="3"/>
  <c r="AQ93" i="3" s="1"/>
  <c r="AQ179" i="2"/>
  <c r="AQ14" i="7"/>
  <c r="AQ19" i="7" s="1"/>
  <c r="AD91" i="2"/>
  <c r="AD86" i="3"/>
  <c r="I101" i="3"/>
  <c r="I114" i="3"/>
  <c r="I74" i="3"/>
  <c r="I71" i="3" s="1"/>
  <c r="I48" i="3"/>
  <c r="O92" i="3"/>
  <c r="O179" i="2"/>
  <c r="O14" i="7"/>
  <c r="O19" i="7" s="1"/>
  <c r="T458" i="2"/>
  <c r="T40" i="7"/>
  <c r="U51" i="3"/>
  <c r="U208" i="2"/>
  <c r="U221" i="2"/>
  <c r="U222" i="2" s="1"/>
  <c r="U223" i="2" s="1"/>
  <c r="U224" i="2" s="1"/>
  <c r="X51" i="3"/>
  <c r="X221" i="2"/>
  <c r="X222" i="2" s="1"/>
  <c r="X223" i="2" s="1"/>
  <c r="X224" i="2" s="1"/>
  <c r="X208" i="2"/>
  <c r="AI35" i="2"/>
  <c r="AV51" i="3"/>
  <c r="AV221" i="2"/>
  <c r="AV208" i="2"/>
  <c r="Q86" i="3"/>
  <c r="AU241" i="2"/>
  <c r="AE114" i="3"/>
  <c r="AE48" i="3"/>
  <c r="AC51" i="3"/>
  <c r="AC208" i="2"/>
  <c r="AC221" i="2"/>
  <c r="AC222" i="2" s="1"/>
  <c r="AC223" i="2" s="1"/>
  <c r="AC224" i="2" s="1"/>
  <c r="AZ36" i="2"/>
  <c r="AS173" i="2"/>
  <c r="AS96" i="2"/>
  <c r="AP92" i="3"/>
  <c r="AP93" i="3" s="1"/>
  <c r="AP179" i="2"/>
  <c r="AP14" i="7"/>
  <c r="AP19" i="7" s="1"/>
  <c r="AC114" i="3"/>
  <c r="AC101" i="3"/>
  <c r="AC48" i="3"/>
  <c r="P47" i="3"/>
  <c r="P31" i="3"/>
  <c r="P36" i="3" s="1"/>
  <c r="U92" i="3"/>
  <c r="U179" i="2"/>
  <c r="U14" i="7"/>
  <c r="U19" i="7" s="1"/>
  <c r="E114" i="3"/>
  <c r="E48" i="3"/>
  <c r="AL164" i="2"/>
  <c r="AL167" i="2" s="1"/>
  <c r="AT173" i="2"/>
  <c r="AT96" i="2"/>
  <c r="AT461" i="2" s="1"/>
  <c r="L458" i="2"/>
  <c r="L40" i="7"/>
  <c r="L461" i="2"/>
  <c r="K18" i="7"/>
  <c r="Z51" i="3"/>
  <c r="Z221" i="2"/>
  <c r="Z222" i="2" s="1"/>
  <c r="Z223" i="2" s="1"/>
  <c r="Z224" i="2" s="1"/>
  <c r="Z208" i="2"/>
  <c r="N60" i="3"/>
  <c r="N54" i="7"/>
  <c r="O453" i="2"/>
  <c r="AO18" i="7"/>
  <c r="Y92" i="3"/>
  <c r="Y179" i="2"/>
  <c r="Y14" i="7"/>
  <c r="Y19" i="7" s="1"/>
  <c r="AX92" i="3"/>
  <c r="AX93" i="3" s="1"/>
  <c r="AX179" i="2"/>
  <c r="AX14" i="7"/>
  <c r="AX19" i="7" s="1"/>
  <c r="AS31" i="3"/>
  <c r="AS36" i="3" s="1"/>
  <c r="AS47" i="3"/>
  <c r="AZ57" i="3"/>
  <c r="AZ52" i="7"/>
  <c r="F90" i="3"/>
  <c r="N96" i="3"/>
  <c r="AT453" i="2"/>
  <c r="AQ97" i="3"/>
  <c r="AE392" i="2"/>
  <c r="AE64" i="7" s="1"/>
  <c r="AI387" i="2"/>
  <c r="AI400" i="2" s="1"/>
  <c r="AJ339" i="2" s="1"/>
  <c r="AN92" i="3"/>
  <c r="AN93" i="3" s="1"/>
  <c r="AN179" i="2"/>
  <c r="AN14" i="7"/>
  <c r="AN19" i="7" s="1"/>
  <c r="AU466" i="2"/>
  <c r="AE455" i="2"/>
  <c r="Y101" i="3"/>
  <c r="Y114" i="3"/>
  <c r="Y74" i="3"/>
  <c r="Y71" i="3" s="1"/>
  <c r="Y48" i="3"/>
  <c r="V117" i="2"/>
  <c r="C378" i="2"/>
  <c r="C453" i="2" s="1"/>
  <c r="X86" i="3"/>
  <c r="Q453" i="2"/>
  <c r="AE92" i="3"/>
  <c r="AE179" i="2"/>
  <c r="AE14" i="7"/>
  <c r="AE19" i="7" s="1"/>
  <c r="AG422" i="2"/>
  <c r="AG341" i="2" s="1"/>
  <c r="AH26" i="3"/>
  <c r="AJ388" i="2"/>
  <c r="AJ402" i="2" s="1"/>
  <c r="AK340" i="2" s="1"/>
  <c r="AF393" i="2"/>
  <c r="AF65" i="7" s="1"/>
  <c r="AU173" i="2"/>
  <c r="AU96" i="2"/>
  <c r="AU461" i="2" s="1"/>
  <c r="AP47" i="3"/>
  <c r="AP31" i="3"/>
  <c r="AP36" i="3" s="1"/>
  <c r="L51" i="3"/>
  <c r="L208" i="2"/>
  <c r="L221" i="2"/>
  <c r="L222" i="2" s="1"/>
  <c r="L223" i="2" s="1"/>
  <c r="L224" i="2" s="1"/>
  <c r="AP96" i="3"/>
  <c r="AP97" i="3" s="1"/>
  <c r="Y453" i="2"/>
  <c r="AB92" i="3"/>
  <c r="AB179" i="2"/>
  <c r="AB14" i="7"/>
  <c r="AB19" i="7" s="1"/>
  <c r="Z391" i="2"/>
  <c r="Z63" i="7" s="1"/>
  <c r="AD173" i="2"/>
  <c r="AD96" i="2"/>
  <c r="AD461" i="2" s="1"/>
  <c r="AA31" i="3"/>
  <c r="AA36" i="3" s="1"/>
  <c r="AA47" i="3"/>
  <c r="E51" i="3"/>
  <c r="E208" i="2"/>
  <c r="E221" i="2"/>
  <c r="E222" i="2" s="1"/>
  <c r="E223" i="2" s="1"/>
  <c r="E224" i="2" s="1"/>
  <c r="AQ504" i="2"/>
  <c r="AQ531" i="2" s="1"/>
  <c r="V45" i="3"/>
  <c r="K173" i="2"/>
  <c r="K96" i="2"/>
  <c r="K461" i="2" s="1"/>
  <c r="AA51" i="3"/>
  <c r="AA208" i="2"/>
  <c r="AA221" i="2"/>
  <c r="AA222" i="2" s="1"/>
  <c r="AA223" i="2" s="1"/>
  <c r="AA224" i="2" s="1"/>
  <c r="V51" i="3"/>
  <c r="V221" i="2"/>
  <c r="V222" i="2" s="1"/>
  <c r="V223" i="2" s="1"/>
  <c r="V224" i="2" s="1"/>
  <c r="V208" i="2"/>
  <c r="X453" i="2"/>
  <c r="AD45" i="3"/>
  <c r="J86" i="3"/>
  <c r="S92" i="3"/>
  <c r="S179" i="2"/>
  <c r="S14" i="7"/>
  <c r="S19" i="7" s="1"/>
  <c r="C92" i="3"/>
  <c r="C179" i="2"/>
  <c r="C14" i="7"/>
  <c r="C19" i="7" s="1"/>
  <c r="J51" i="3"/>
  <c r="J221" i="2"/>
  <c r="J222" i="2" s="1"/>
  <c r="J223" i="2" s="1"/>
  <c r="J224" i="2" s="1"/>
  <c r="J208" i="2"/>
  <c r="AO259" i="2" l="1"/>
  <c r="AO246" i="2" s="1"/>
  <c r="AO4" i="3"/>
  <c r="AO6" i="3" s="1"/>
  <c r="AO11" i="3" s="1"/>
  <c r="AO108" i="3" s="1"/>
  <c r="AP246" i="2"/>
  <c r="AP247" i="2" s="1"/>
  <c r="AN259" i="2"/>
  <c r="AN246" i="2" s="1"/>
  <c r="AN4" i="3"/>
  <c r="J103" i="3"/>
  <c r="J64" i="3"/>
  <c r="J75" i="3"/>
  <c r="J72" i="3" s="1"/>
  <c r="J53" i="3"/>
  <c r="AE93" i="3"/>
  <c r="AX83" i="3"/>
  <c r="AX84" i="3" s="1"/>
  <c r="AX37" i="3"/>
  <c r="AK173" i="2"/>
  <c r="AK168" i="2"/>
  <c r="AK96" i="2"/>
  <c r="R461" i="2"/>
  <c r="R91" i="2"/>
  <c r="AZ60" i="3"/>
  <c r="AZ54" i="7"/>
  <c r="K92" i="3"/>
  <c r="K179" i="2"/>
  <c r="K14" i="7"/>
  <c r="K19" i="7" s="1"/>
  <c r="AU92" i="3"/>
  <c r="AU93" i="3" s="1"/>
  <c r="AU179" i="2"/>
  <c r="AU14" i="7"/>
  <c r="AU19" i="7" s="1"/>
  <c r="Q96" i="3"/>
  <c r="D83" i="3"/>
  <c r="D37" i="3"/>
  <c r="M83" i="3"/>
  <c r="M37" i="3"/>
  <c r="AA40" i="3"/>
  <c r="AA97" i="2"/>
  <c r="AA8" i="7"/>
  <c r="R453" i="2"/>
  <c r="L183" i="2"/>
  <c r="L195" i="2"/>
  <c r="L47" i="7" s="1"/>
  <c r="L194" i="2"/>
  <c r="L46" i="7" s="1"/>
  <c r="AI25" i="3"/>
  <c r="AI46" i="3" s="1"/>
  <c r="AZ166" i="2"/>
  <c r="AI337" i="2"/>
  <c r="AY386" i="2"/>
  <c r="AY391" i="2" s="1"/>
  <c r="AY63" i="7" s="1"/>
  <c r="U83" i="3"/>
  <c r="U37" i="3"/>
  <c r="D1" i="3"/>
  <c r="D530" i="2"/>
  <c r="D3" i="2"/>
  <c r="D3" i="7" s="1"/>
  <c r="D4" i="7"/>
  <c r="E4" i="2"/>
  <c r="F47" i="3"/>
  <c r="F31" i="3"/>
  <c r="F36" i="3" s="1"/>
  <c r="AG173" i="2"/>
  <c r="AG96" i="2"/>
  <c r="AG168" i="2"/>
  <c r="AR103" i="3"/>
  <c r="AR75" i="3"/>
  <c r="AR72" i="3" s="1"/>
  <c r="AR64" i="3"/>
  <c r="AR53" i="3"/>
  <c r="S31" i="3"/>
  <c r="S36" i="3" s="1"/>
  <c r="S47" i="3"/>
  <c r="G90" i="3"/>
  <c r="T103" i="3"/>
  <c r="T64" i="3"/>
  <c r="T53" i="3"/>
  <c r="Y103" i="3"/>
  <c r="AY52" i="3"/>
  <c r="AY17" i="7"/>
  <c r="AY50" i="7"/>
  <c r="AW103" i="3"/>
  <c r="AW75" i="3"/>
  <c r="AW72" i="3" s="1"/>
  <c r="AW64" i="3"/>
  <c r="AW53" i="3"/>
  <c r="AZ435" i="2"/>
  <c r="AL264" i="2"/>
  <c r="AL10" i="3" s="1"/>
  <c r="AT47" i="3"/>
  <c r="AT31" i="3"/>
  <c r="AT36" i="3" s="1"/>
  <c r="J47" i="3"/>
  <c r="J31" i="3"/>
  <c r="J36" i="3" s="1"/>
  <c r="AC96" i="3"/>
  <c r="T114" i="3"/>
  <c r="T101" i="3"/>
  <c r="T74" i="3"/>
  <c r="T71" i="3" s="1"/>
  <c r="T48" i="3"/>
  <c r="AF93" i="3"/>
  <c r="AL389" i="2"/>
  <c r="AL422" i="2" s="1"/>
  <c r="AH422" i="2"/>
  <c r="AD40" i="3"/>
  <c r="AD97" i="2"/>
  <c r="AD8" i="7"/>
  <c r="X47" i="3"/>
  <c r="X31" i="3"/>
  <c r="X36" i="3" s="1"/>
  <c r="AT466" i="2"/>
  <c r="H103" i="3"/>
  <c r="H75" i="3"/>
  <c r="H72" i="3" s="1"/>
  <c r="H64" i="3"/>
  <c r="H53" i="3"/>
  <c r="N90" i="3"/>
  <c r="E92" i="3"/>
  <c r="E179" i="2"/>
  <c r="E14" i="7"/>
  <c r="E19" i="7" s="1"/>
  <c r="AQ529" i="2"/>
  <c r="AQ527" i="2" s="1"/>
  <c r="AQ259" i="2" s="1"/>
  <c r="O183" i="2"/>
  <c r="O195" i="2"/>
  <c r="O47" i="7" s="1"/>
  <c r="O194" i="2"/>
  <c r="O46" i="7" s="1"/>
  <c r="AT103" i="3"/>
  <c r="AT64" i="3"/>
  <c r="AT75" i="3"/>
  <c r="AT72" i="3" s="1"/>
  <c r="AT53" i="3"/>
  <c r="R51" i="3"/>
  <c r="U75" i="3" s="1"/>
  <c r="U72" i="3" s="1"/>
  <c r="R221" i="2"/>
  <c r="R222" i="2" s="1"/>
  <c r="R223" i="2" s="1"/>
  <c r="R224" i="2" s="1"/>
  <c r="R208" i="2"/>
  <c r="AF182" i="2"/>
  <c r="AD92" i="3"/>
  <c r="AD93" i="3" s="1"/>
  <c r="AD179" i="2"/>
  <c r="AD14" i="7"/>
  <c r="AD19" i="7" s="1"/>
  <c r="X96" i="3"/>
  <c r="AH437" i="2"/>
  <c r="AO96" i="3"/>
  <c r="AO97" i="3" s="1"/>
  <c r="AR92" i="3"/>
  <c r="AR93" i="3" s="1"/>
  <c r="AR179" i="2"/>
  <c r="AR14" i="7"/>
  <c r="AR19" i="7" s="1"/>
  <c r="J322" i="2"/>
  <c r="I323" i="2"/>
  <c r="AA96" i="3"/>
  <c r="AR97" i="3"/>
  <c r="AN456" i="2"/>
  <c r="AN383" i="2"/>
  <c r="AO380" i="2"/>
  <c r="AO381" i="2" s="1"/>
  <c r="BA19" i="3"/>
  <c r="BA452" i="2"/>
  <c r="BA32" i="2"/>
  <c r="BA36" i="2" s="1"/>
  <c r="BB28" i="2"/>
  <c r="BA35" i="7"/>
  <c r="W83" i="3"/>
  <c r="W37" i="3"/>
  <c r="AL47" i="3"/>
  <c r="C64" i="3"/>
  <c r="C53" i="3"/>
  <c r="AB96" i="3"/>
  <c r="AY387" i="2"/>
  <c r="AY392" i="2" s="1"/>
  <c r="AY64" i="7" s="1"/>
  <c r="AI339" i="2"/>
  <c r="AR2" i="3"/>
  <c r="AS5" i="2"/>
  <c r="G5" i="2"/>
  <c r="AR5" i="7"/>
  <c r="AU222" i="2"/>
  <c r="AU223" i="2" s="1"/>
  <c r="AU224" i="2" s="1"/>
  <c r="AG47" i="3"/>
  <c r="AV83" i="3"/>
  <c r="AV84" i="3" s="1"/>
  <c r="AV37" i="3"/>
  <c r="W183" i="2"/>
  <c r="W195" i="2"/>
  <c r="W47" i="7" s="1"/>
  <c r="W194" i="2"/>
  <c r="W46" i="7" s="1"/>
  <c r="AL388" i="2"/>
  <c r="AL402" i="2" s="1"/>
  <c r="AZ402" i="2" s="1"/>
  <c r="AH402" i="2"/>
  <c r="M92" i="3"/>
  <c r="M179" i="2"/>
  <c r="M14" i="7"/>
  <c r="M19" i="7" s="1"/>
  <c r="AZ15" i="3"/>
  <c r="AZ31" i="7"/>
  <c r="AQ222" i="2"/>
  <c r="AQ223" i="2" s="1"/>
  <c r="AQ224" i="2" s="1"/>
  <c r="AY24" i="3"/>
  <c r="AY45" i="3" s="1"/>
  <c r="AY89" i="2"/>
  <c r="AY90" i="2"/>
  <c r="AY92" i="2" s="1"/>
  <c r="AF96" i="3"/>
  <c r="AF97" i="3" s="1"/>
  <c r="K83" i="3"/>
  <c r="K37" i="3"/>
  <c r="Q47" i="3"/>
  <c r="Q31" i="3"/>
  <c r="Q36" i="3" s="1"/>
  <c r="T83" i="3"/>
  <c r="T37" i="3"/>
  <c r="AK461" i="2"/>
  <c r="AK91" i="2"/>
  <c r="AJ26" i="3"/>
  <c r="AZ387" i="2"/>
  <c r="C2" i="3"/>
  <c r="D5" i="2"/>
  <c r="C5" i="7"/>
  <c r="AU103" i="3"/>
  <c r="AU75" i="3"/>
  <c r="AU72" i="3" s="1"/>
  <c r="AU64" i="3"/>
  <c r="AU53" i="3"/>
  <c r="Q195" i="2"/>
  <c r="Q47" i="7" s="1"/>
  <c r="Q183" i="2"/>
  <c r="Q194" i="2"/>
  <c r="Q46" i="7" s="1"/>
  <c r="H183" i="2"/>
  <c r="H195" i="2"/>
  <c r="H47" i="7" s="1"/>
  <c r="H194" i="2"/>
  <c r="H46" i="7" s="1"/>
  <c r="AS83" i="3"/>
  <c r="AS84" i="3" s="1"/>
  <c r="AS37" i="3"/>
  <c r="AY409" i="2"/>
  <c r="AY415" i="2" s="1"/>
  <c r="AI407" i="2"/>
  <c r="AZ386" i="2"/>
  <c r="BB260" i="2"/>
  <c r="AK260" i="2"/>
  <c r="BA260" i="2"/>
  <c r="AJ260" i="2"/>
  <c r="AZ260" i="2"/>
  <c r="AI260" i="2"/>
  <c r="AY260" i="2"/>
  <c r="AH260" i="2"/>
  <c r="AG260" i="2"/>
  <c r="BC260" i="2"/>
  <c r="AL260" i="2"/>
  <c r="AH4" i="3"/>
  <c r="AJ4" i="3"/>
  <c r="AY4" i="3"/>
  <c r="AL4" i="3"/>
  <c r="AK4" i="3"/>
  <c r="AZ4" i="3"/>
  <c r="BC4" i="3"/>
  <c r="AG4" i="3"/>
  <c r="BA4" i="3"/>
  <c r="BB4" i="3"/>
  <c r="AI4" i="3"/>
  <c r="C529" i="2"/>
  <c r="AU96" i="3"/>
  <c r="AU97" i="3" s="1"/>
  <c r="AU87" i="3"/>
  <c r="AK436" i="2"/>
  <c r="V103" i="3"/>
  <c r="V75" i="3"/>
  <c r="V72" i="3" s="1"/>
  <c r="V64" i="3"/>
  <c r="V53" i="3"/>
  <c r="AX183" i="2"/>
  <c r="AX195" i="2"/>
  <c r="AX47" i="7" s="1"/>
  <c r="AX194" i="2"/>
  <c r="AX46" i="7" s="1"/>
  <c r="AV103" i="3"/>
  <c r="AV75" i="3"/>
  <c r="AV72" i="3" s="1"/>
  <c r="AV64" i="3"/>
  <c r="AV53" i="3"/>
  <c r="AN83" i="3"/>
  <c r="AN84" i="3" s="1"/>
  <c r="AN37" i="3"/>
  <c r="D64" i="3"/>
  <c r="D53" i="3"/>
  <c r="AS101" i="3"/>
  <c r="AS114" i="3"/>
  <c r="AS74" i="3"/>
  <c r="AS71" i="3" s="1"/>
  <c r="AS48" i="3"/>
  <c r="J92" i="3"/>
  <c r="J179" i="2"/>
  <c r="J14" i="7"/>
  <c r="J19" i="7" s="1"/>
  <c r="T92" i="3"/>
  <c r="T93" i="3" s="1"/>
  <c r="T179" i="2"/>
  <c r="T14" i="7"/>
  <c r="T19" i="7" s="1"/>
  <c r="V31" i="3"/>
  <c r="V36" i="3" s="1"/>
  <c r="V47" i="3"/>
  <c r="BA18" i="3"/>
  <c r="BA29" i="2"/>
  <c r="BA160" i="2" s="1"/>
  <c r="BB27" i="2"/>
  <c r="BA31" i="2"/>
  <c r="BA33" i="2" s="1"/>
  <c r="BA163" i="2" s="1"/>
  <c r="BA34" i="7"/>
  <c r="AC83" i="3"/>
  <c r="AC37" i="3"/>
  <c r="V453" i="2"/>
  <c r="AQ103" i="3"/>
  <c r="AQ64" i="3"/>
  <c r="AQ75" i="3"/>
  <c r="AQ72" i="3" s="1"/>
  <c r="AQ53" i="3"/>
  <c r="AU83" i="3"/>
  <c r="AU84" i="3" s="1"/>
  <c r="AU91" i="3" s="1"/>
  <c r="AU37" i="3"/>
  <c r="AG424" i="2"/>
  <c r="AS222" i="2"/>
  <c r="AS223" i="2" s="1"/>
  <c r="AS224" i="2" s="1"/>
  <c r="H96" i="3"/>
  <c r="H83" i="3"/>
  <c r="H37" i="3"/>
  <c r="AR31" i="3"/>
  <c r="AR36" i="3" s="1"/>
  <c r="AR47" i="3"/>
  <c r="AB83" i="3"/>
  <c r="AB37" i="3"/>
  <c r="O83" i="3"/>
  <c r="O37" i="3"/>
  <c r="AH40" i="3"/>
  <c r="AH97" i="2"/>
  <c r="AH8" i="7"/>
  <c r="AZ23" i="3"/>
  <c r="AZ20" i="3"/>
  <c r="AZ13" i="2"/>
  <c r="AZ16" i="3" s="1"/>
  <c r="AZ7" i="7"/>
  <c r="D92" i="3"/>
  <c r="D179" i="2"/>
  <c r="D14" i="7"/>
  <c r="D19" i="7" s="1"/>
  <c r="AY25" i="3"/>
  <c r="AY46" i="3" s="1"/>
  <c r="AY95" i="2"/>
  <c r="AY40" i="7" s="1"/>
  <c r="AD47" i="3"/>
  <c r="AD31" i="3"/>
  <c r="AD36" i="3" s="1"/>
  <c r="AF114" i="3"/>
  <c r="AF101" i="3"/>
  <c r="AF74" i="3"/>
  <c r="AF71" i="3" s="1"/>
  <c r="AF48" i="3"/>
  <c r="G47" i="3"/>
  <c r="G31" i="3"/>
  <c r="G36" i="3" s="1"/>
  <c r="I55" i="3"/>
  <c r="I62" i="3" s="1"/>
  <c r="I117" i="3" s="1"/>
  <c r="I65" i="3"/>
  <c r="I67" i="3" s="1"/>
  <c r="G103" i="3"/>
  <c r="G75" i="3"/>
  <c r="G72" i="3" s="1"/>
  <c r="G64" i="3"/>
  <c r="G53" i="3"/>
  <c r="AJ406" i="2"/>
  <c r="AJ58" i="3"/>
  <c r="Q90" i="3"/>
  <c r="AZ14" i="3"/>
  <c r="AZ30" i="7"/>
  <c r="AH47" i="3"/>
  <c r="AP195" i="2"/>
  <c r="AP47" i="7" s="1"/>
  <c r="AP183" i="2"/>
  <c r="AP194" i="2"/>
  <c r="AP46" i="7" s="1"/>
  <c r="I75" i="3"/>
  <c r="I72" i="3" s="1"/>
  <c r="I83" i="3"/>
  <c r="I37" i="3"/>
  <c r="I92" i="3"/>
  <c r="I179" i="2"/>
  <c r="I14" i="7"/>
  <c r="I19" i="7" s="1"/>
  <c r="AE83" i="3"/>
  <c r="AE37" i="3"/>
  <c r="S183" i="2"/>
  <c r="S194" i="2"/>
  <c r="S46" i="7" s="1"/>
  <c r="S195" i="2"/>
  <c r="S47" i="7" s="1"/>
  <c r="AB183" i="2"/>
  <c r="AB195" i="2"/>
  <c r="AB47" i="7" s="1"/>
  <c r="AB194" i="2"/>
  <c r="AB46" i="7" s="1"/>
  <c r="L103" i="3"/>
  <c r="L75" i="3"/>
  <c r="L72" i="3" s="1"/>
  <c r="L64" i="3"/>
  <c r="L53" i="3"/>
  <c r="P83" i="3"/>
  <c r="P37" i="3"/>
  <c r="AI37" i="2"/>
  <c r="AZ35" i="2"/>
  <c r="AZ37" i="2" s="1"/>
  <c r="AH337" i="2"/>
  <c r="AG337" i="2"/>
  <c r="I103" i="3"/>
  <c r="W96" i="3"/>
  <c r="AB114" i="3"/>
  <c r="AB101" i="3"/>
  <c r="AB48" i="3"/>
  <c r="AJ461" i="2"/>
  <c r="AJ91" i="2"/>
  <c r="N31" i="3"/>
  <c r="N36" i="3" s="1"/>
  <c r="N47" i="3"/>
  <c r="AZ33" i="2"/>
  <c r="AZ83" i="2"/>
  <c r="AZ38" i="7" s="1"/>
  <c r="C47" i="3"/>
  <c r="C31" i="3"/>
  <c r="C36" i="3" s="1"/>
  <c r="R92" i="3"/>
  <c r="R93" i="3" s="1"/>
  <c r="R179" i="2"/>
  <c r="R14" i="7"/>
  <c r="AL337" i="2"/>
  <c r="AX101" i="3"/>
  <c r="Q65" i="3"/>
  <c r="Q67" i="3" s="1"/>
  <c r="Q55" i="3"/>
  <c r="Q62" i="3" s="1"/>
  <c r="Q117" i="3" s="1"/>
  <c r="N114" i="3"/>
  <c r="N101" i="3"/>
  <c r="N74" i="3"/>
  <c r="N71" i="3" s="1"/>
  <c r="N48" i="3"/>
  <c r="AY420" i="2"/>
  <c r="AH424" i="2"/>
  <c r="AV183" i="2"/>
  <c r="AV195" i="2"/>
  <c r="AV47" i="7" s="1"/>
  <c r="AV194" i="2"/>
  <c r="AV46" i="7" s="1"/>
  <c r="G92" i="3"/>
  <c r="G93" i="3" s="1"/>
  <c r="G97" i="3" s="1"/>
  <c r="G179" i="2"/>
  <c r="G14" i="7"/>
  <c r="G19" i="7" s="1"/>
  <c r="AG461" i="2"/>
  <c r="AG91" i="2"/>
  <c r="N51" i="3"/>
  <c r="N221" i="2"/>
  <c r="N222" i="2" s="1"/>
  <c r="N223" i="2" s="1"/>
  <c r="N224" i="2" s="1"/>
  <c r="N208" i="2"/>
  <c r="AZ52" i="3"/>
  <c r="AZ50" i="7"/>
  <c r="AZ17" i="7"/>
  <c r="AY164" i="2"/>
  <c r="AY167" i="2" s="1"/>
  <c r="AK45" i="3"/>
  <c r="V96" i="3"/>
  <c r="G453" i="2"/>
  <c r="AC453" i="2"/>
  <c r="AJ341" i="2"/>
  <c r="Z137" i="2"/>
  <c r="Z168" i="2" s="1"/>
  <c r="AW459" i="2"/>
  <c r="S453" i="2"/>
  <c r="Y83" i="3"/>
  <c r="Y37" i="3"/>
  <c r="K103" i="3"/>
  <c r="K75" i="3"/>
  <c r="K72" i="3" s="1"/>
  <c r="K64" i="3"/>
  <c r="K53" i="3"/>
  <c r="AH92" i="3"/>
  <c r="AH14" i="7"/>
  <c r="AL91" i="2"/>
  <c r="C183" i="2"/>
  <c r="C194" i="2"/>
  <c r="C46" i="7" s="1"/>
  <c r="C195" i="2"/>
  <c r="C47" i="7" s="1"/>
  <c r="M103" i="3"/>
  <c r="M64" i="3"/>
  <c r="M75" i="3"/>
  <c r="M72" i="3" s="1"/>
  <c r="M53" i="3"/>
  <c r="AE103" i="3"/>
  <c r="AE75" i="3"/>
  <c r="AE72" i="3" s="1"/>
  <c r="AE64" i="3"/>
  <c r="AE53" i="3"/>
  <c r="U103" i="3"/>
  <c r="U64" i="3"/>
  <c r="U53" i="3"/>
  <c r="AQ195" i="2"/>
  <c r="AQ47" i="7" s="1"/>
  <c r="AQ183" i="2"/>
  <c r="AQ194" i="2"/>
  <c r="AQ46" i="7" s="1"/>
  <c r="AP83" i="3"/>
  <c r="AP84" i="3" s="1"/>
  <c r="AP37" i="3"/>
  <c r="AN183" i="2"/>
  <c r="AN195" i="2"/>
  <c r="AN47" i="7" s="1"/>
  <c r="AN194" i="2"/>
  <c r="AN46" i="7" s="1"/>
  <c r="AT92" i="3"/>
  <c r="AT93" i="3" s="1"/>
  <c r="AT97" i="3" s="1"/>
  <c r="AT179" i="2"/>
  <c r="AT14" i="7"/>
  <c r="AT19" i="7" s="1"/>
  <c r="AD96" i="3"/>
  <c r="AD97" i="3" s="1"/>
  <c r="Y96" i="3"/>
  <c r="AI24" i="3"/>
  <c r="AI45" i="3" s="1"/>
  <c r="AZ163" i="2"/>
  <c r="AI89" i="2"/>
  <c r="AI90" i="2"/>
  <c r="AI92" i="2" s="1"/>
  <c r="AI164" i="2"/>
  <c r="AI167" i="2" s="1"/>
  <c r="W103" i="3"/>
  <c r="W75" i="3"/>
  <c r="W72" i="3" s="1"/>
  <c r="W64" i="3"/>
  <c r="W53" i="3"/>
  <c r="AO19" i="7"/>
  <c r="F92" i="3"/>
  <c r="F93" i="3" s="1"/>
  <c r="F179" i="2"/>
  <c r="F14" i="7"/>
  <c r="F19" i="7" s="1"/>
  <c r="R47" i="3"/>
  <c r="R31" i="3"/>
  <c r="R36" i="3" s="1"/>
  <c r="AY26" i="3"/>
  <c r="AS103" i="3"/>
  <c r="AS75" i="3"/>
  <c r="AS72" i="3" s="1"/>
  <c r="AS64" i="3"/>
  <c r="AS53" i="3"/>
  <c r="AX103" i="3"/>
  <c r="Z40" i="7"/>
  <c r="Z458" i="2"/>
  <c r="AA187" i="2"/>
  <c r="AA448" i="2"/>
  <c r="AA449" i="2"/>
  <c r="AW101" i="3"/>
  <c r="AW114" i="3"/>
  <c r="AW74" i="3"/>
  <c r="AW71" i="3" s="1"/>
  <c r="AW48" i="3"/>
  <c r="D453" i="2"/>
  <c r="AI427" i="2"/>
  <c r="AJ229" i="2"/>
  <c r="AO222" i="2"/>
  <c r="AO223" i="2" s="1"/>
  <c r="AO224" i="2" s="1"/>
  <c r="E47" i="3"/>
  <c r="E31" i="3"/>
  <c r="E36" i="3" s="1"/>
  <c r="AW47" i="3"/>
  <c r="AW31" i="3"/>
  <c r="AW36" i="3" s="1"/>
  <c r="F75" i="3"/>
  <c r="F72" i="3" s="1"/>
  <c r="F64" i="3"/>
  <c r="F53" i="3"/>
  <c r="AH339" i="2"/>
  <c r="AG339" i="2"/>
  <c r="AJ40" i="3"/>
  <c r="AJ97" i="2"/>
  <c r="AJ8" i="7"/>
  <c r="AA116" i="3"/>
  <c r="AA83" i="3"/>
  <c r="AA37" i="3"/>
  <c r="X103" i="3"/>
  <c r="X75" i="3"/>
  <c r="X72" i="3" s="1"/>
  <c r="X64" i="3"/>
  <c r="X53" i="3"/>
  <c r="Y75" i="3"/>
  <c r="Y72" i="3" s="1"/>
  <c r="AW222" i="2"/>
  <c r="AW223" i="2" s="1"/>
  <c r="AW224" i="2" s="1"/>
  <c r="C517" i="2"/>
  <c r="C522" i="2"/>
  <c r="C524" i="2"/>
  <c r="C510" i="2"/>
  <c r="C508" i="2"/>
  <c r="C515" i="2"/>
  <c r="Z92" i="3"/>
  <c r="AB93" i="3" s="1"/>
  <c r="Z179" i="2"/>
  <c r="Z14" i="7"/>
  <c r="Z19" i="7" s="1"/>
  <c r="AQ524" i="2"/>
  <c r="AQ522" i="2"/>
  <c r="AQ520" i="2" s="1"/>
  <c r="AQ508" i="2"/>
  <c r="AQ506" i="2" s="1"/>
  <c r="AQ256" i="2" s="1"/>
  <c r="AQ510" i="2"/>
  <c r="AQ517" i="2"/>
  <c r="AQ515" i="2"/>
  <c r="AQ513" i="2" s="1"/>
  <c r="AQ257" i="2" s="1"/>
  <c r="U183" i="2"/>
  <c r="U195" i="2"/>
  <c r="U47" i="7" s="1"/>
  <c r="U194" i="2"/>
  <c r="U46" i="7" s="1"/>
  <c r="AC103" i="3"/>
  <c r="AC75" i="3"/>
  <c r="AC72" i="3" s="1"/>
  <c r="AC53" i="3"/>
  <c r="AC64" i="3"/>
  <c r="AV222" i="2"/>
  <c r="AV223" i="2" s="1"/>
  <c r="AV224" i="2" s="1"/>
  <c r="S93" i="3"/>
  <c r="E64" i="3"/>
  <c r="E53" i="3"/>
  <c r="O103" i="3"/>
  <c r="O75" i="3"/>
  <c r="O72" i="3" s="1"/>
  <c r="O64" i="3"/>
  <c r="O53" i="3"/>
  <c r="AT222" i="2"/>
  <c r="AT223" i="2" s="1"/>
  <c r="AT224" i="2" s="1"/>
  <c r="AO83" i="3"/>
  <c r="AO84" i="3" s="1"/>
  <c r="AO91" i="3" s="1"/>
  <c r="AO37" i="3"/>
  <c r="AR101" i="3"/>
  <c r="AR114" i="3"/>
  <c r="AR74" i="3"/>
  <c r="AR71" i="3" s="1"/>
  <c r="AR48" i="3"/>
  <c r="T96" i="3"/>
  <c r="AN222" i="2"/>
  <c r="AN223" i="2" s="1"/>
  <c r="AN224" i="2" s="1"/>
  <c r="J96" i="3"/>
  <c r="AA103" i="3"/>
  <c r="AA75" i="3"/>
  <c r="AA72" i="3" s="1"/>
  <c r="AA64" i="3"/>
  <c r="AA53" i="3"/>
  <c r="AE183" i="2"/>
  <c r="AE195" i="2"/>
  <c r="AE47" i="7" s="1"/>
  <c r="AE194" i="2"/>
  <c r="AE46" i="7" s="1"/>
  <c r="Y195" i="2"/>
  <c r="Y47" i="7" s="1"/>
  <c r="Y183" i="2"/>
  <c r="Y194" i="2"/>
  <c r="Y46" i="7" s="1"/>
  <c r="Z103" i="3"/>
  <c r="Z64" i="3"/>
  <c r="Z75" i="3"/>
  <c r="Z72" i="3" s="1"/>
  <c r="Z53" i="3"/>
  <c r="AL173" i="2"/>
  <c r="AL168" i="2"/>
  <c r="AL96" i="2"/>
  <c r="AL461" i="2" s="1"/>
  <c r="AS92" i="3"/>
  <c r="AS93" i="3" s="1"/>
  <c r="AS97" i="3" s="1"/>
  <c r="AS179" i="2"/>
  <c r="AS14" i="7"/>
  <c r="AS19" i="7" s="1"/>
  <c r="AV97" i="3"/>
  <c r="AK58" i="3"/>
  <c r="M453" i="2"/>
  <c r="R18" i="7"/>
  <c r="F97" i="3"/>
  <c r="AI26" i="3"/>
  <c r="R96" i="3"/>
  <c r="R97" i="3" s="1"/>
  <c r="AK339" i="2"/>
  <c r="AN75" i="3"/>
  <c r="AN72" i="3" s="1"/>
  <c r="AN64" i="3"/>
  <c r="AN53" i="3"/>
  <c r="AW92" i="3"/>
  <c r="AW93" i="3" s="1"/>
  <c r="AW97" i="3" s="1"/>
  <c r="AW179" i="2"/>
  <c r="AW14" i="7"/>
  <c r="AW19" i="7" s="1"/>
  <c r="AR222" i="2"/>
  <c r="AR223" i="2" s="1"/>
  <c r="AR224" i="2" s="1"/>
  <c r="AO183" i="2"/>
  <c r="AO194" i="2"/>
  <c r="AO46" i="7" s="1"/>
  <c r="AO195" i="2"/>
  <c r="AO47" i="7" s="1"/>
  <c r="AK26" i="3"/>
  <c r="P183" i="2"/>
  <c r="P195" i="2"/>
  <c r="P47" i="7" s="1"/>
  <c r="P194" i="2"/>
  <c r="P46" i="7" s="1"/>
  <c r="AD103" i="3"/>
  <c r="AD75" i="3"/>
  <c r="AD72" i="3" s="1"/>
  <c r="AD64" i="3"/>
  <c r="AD53" i="3"/>
  <c r="AC183" i="2"/>
  <c r="AC195" i="2"/>
  <c r="AC47" i="7" s="1"/>
  <c r="AC194" i="2"/>
  <c r="AC46" i="7" s="1"/>
  <c r="AP4" i="3"/>
  <c r="Q75" i="3"/>
  <c r="Q72" i="3" s="1"/>
  <c r="Z461" i="2"/>
  <c r="X92" i="3"/>
  <c r="X93" i="3" s="1"/>
  <c r="X179" i="2"/>
  <c r="X14" i="7"/>
  <c r="X19" i="7" s="1"/>
  <c r="AQ83" i="3"/>
  <c r="AQ84" i="3" s="1"/>
  <c r="AQ37" i="3"/>
  <c r="P103" i="3"/>
  <c r="P75" i="3"/>
  <c r="P72" i="3" s="1"/>
  <c r="P64" i="3"/>
  <c r="P53" i="3"/>
  <c r="S96" i="3"/>
  <c r="S97" i="3" s="1"/>
  <c r="AB103" i="3"/>
  <c r="AB75" i="3"/>
  <c r="AB72" i="3" s="1"/>
  <c r="AB64" i="3"/>
  <c r="AB53" i="3"/>
  <c r="Z26" i="3"/>
  <c r="L47" i="3"/>
  <c r="L31" i="3"/>
  <c r="L36" i="3" s="1"/>
  <c r="AT114" i="3"/>
  <c r="AT101" i="3"/>
  <c r="AT74" i="3"/>
  <c r="AT71" i="3" s="1"/>
  <c r="AT48" i="3"/>
  <c r="AO103" i="3"/>
  <c r="AO75" i="3"/>
  <c r="AO72" i="3" s="1"/>
  <c r="AO64" i="3"/>
  <c r="AO53" i="3"/>
  <c r="AP103" i="3"/>
  <c r="N92" i="3"/>
  <c r="N93" i="3" s="1"/>
  <c r="N97" i="3" s="1"/>
  <c r="N179" i="2"/>
  <c r="N14" i="7"/>
  <c r="N19" i="7" s="1"/>
  <c r="AE96" i="3"/>
  <c r="AE97" i="3" s="1"/>
  <c r="V92" i="3"/>
  <c r="V179" i="2"/>
  <c r="V14" i="7"/>
  <c r="V19" i="7" s="1"/>
  <c r="AJ92" i="3"/>
  <c r="AJ14" i="7"/>
  <c r="AO109" i="3" l="1"/>
  <c r="AP252" i="2"/>
  <c r="AY230" i="2"/>
  <c r="AY228" i="2"/>
  <c r="C83" i="3"/>
  <c r="C37" i="3"/>
  <c r="L104" i="3"/>
  <c r="L65" i="3"/>
  <c r="L67" i="3" s="1"/>
  <c r="L55" i="3"/>
  <c r="L62" i="3" s="1"/>
  <c r="L117" i="3" s="1"/>
  <c r="AR83" i="3"/>
  <c r="AR84" i="3" s="1"/>
  <c r="AR37" i="3"/>
  <c r="BB18" i="3"/>
  <c r="BB35" i="2"/>
  <c r="BB29" i="2"/>
  <c r="BB160" i="2" s="1"/>
  <c r="BC27" i="2"/>
  <c r="BB31" i="2"/>
  <c r="BB34" i="7"/>
  <c r="AZ388" i="2"/>
  <c r="AZ339" i="2"/>
  <c r="AY437" i="2"/>
  <c r="AC93" i="3"/>
  <c r="X83" i="3"/>
  <c r="X37" i="3"/>
  <c r="AT83" i="3"/>
  <c r="AT84" i="3" s="1"/>
  <c r="AT37" i="3"/>
  <c r="T104" i="3"/>
  <c r="T65" i="3"/>
  <c r="T67" i="3" s="1"/>
  <c r="T55" i="3"/>
  <c r="T62" i="3" s="1"/>
  <c r="T117" i="3" s="1"/>
  <c r="Y104" i="3"/>
  <c r="AR104" i="3"/>
  <c r="AR65" i="3"/>
  <c r="AR67" i="3" s="1"/>
  <c r="AR55" i="3"/>
  <c r="AR62" i="3" s="1"/>
  <c r="AR117" i="3" s="1"/>
  <c r="P454" i="2"/>
  <c r="P187" i="2"/>
  <c r="P448" i="2"/>
  <c r="P449" i="2"/>
  <c r="AE187" i="2"/>
  <c r="AE448" i="2"/>
  <c r="AE449" i="2"/>
  <c r="U187" i="2"/>
  <c r="U448" i="2"/>
  <c r="U449" i="2"/>
  <c r="P93" i="3"/>
  <c r="P97" i="3" s="1"/>
  <c r="E83" i="3"/>
  <c r="E37" i="3"/>
  <c r="S187" i="2"/>
  <c r="S449" i="2"/>
  <c r="S448" i="2"/>
  <c r="BA23" i="3"/>
  <c r="BA20" i="3"/>
  <c r="BA166" i="2"/>
  <c r="BA25" i="3" s="1"/>
  <c r="BA13" i="2"/>
  <c r="BA16" i="3" s="1"/>
  <c r="BA164" i="2"/>
  <c r="BA167" i="2" s="1"/>
  <c r="BA7" i="7"/>
  <c r="AL340" i="2"/>
  <c r="D65" i="3"/>
  <c r="D67" i="3" s="1"/>
  <c r="D55" i="3"/>
  <c r="D62" i="3" s="1"/>
  <c r="D117" i="3" s="1"/>
  <c r="Q187" i="2"/>
  <c r="Q448" i="2"/>
  <c r="Q449" i="2"/>
  <c r="AS322" i="2"/>
  <c r="AS323" i="2" s="1"/>
  <c r="K322" i="2" s="1"/>
  <c r="J323" i="2"/>
  <c r="E1" i="3"/>
  <c r="E530" i="2"/>
  <c r="F4" i="2"/>
  <c r="E4" i="7"/>
  <c r="E3" i="2"/>
  <c r="E3" i="7" s="1"/>
  <c r="AU183" i="2"/>
  <c r="AU195" i="2"/>
  <c r="AU47" i="7" s="1"/>
  <c r="AU194" i="2"/>
  <c r="AU46" i="7" s="1"/>
  <c r="AN252" i="2"/>
  <c r="AN247" i="2"/>
  <c r="J104" i="3"/>
  <c r="J65" i="3"/>
  <c r="J67" i="3" s="1"/>
  <c r="J55" i="3"/>
  <c r="J62" i="3" s="1"/>
  <c r="J117" i="3" s="1"/>
  <c r="C520" i="2"/>
  <c r="A520" i="2"/>
  <c r="AZ24" i="3"/>
  <c r="AZ45" i="3" s="1"/>
  <c r="AZ90" i="2"/>
  <c r="AZ92" i="2" s="1"/>
  <c r="AZ89" i="2"/>
  <c r="AQ187" i="2"/>
  <c r="AQ449" i="2"/>
  <c r="AQ448" i="2"/>
  <c r="Z40" i="3"/>
  <c r="Z97" i="2"/>
  <c r="Z8" i="7"/>
  <c r="AY173" i="2"/>
  <c r="AY96" i="2"/>
  <c r="G104" i="3"/>
  <c r="G65" i="3"/>
  <c r="G67" i="3" s="1"/>
  <c r="G55" i="3"/>
  <c r="G62" i="3" s="1"/>
  <c r="G117" i="3" s="1"/>
  <c r="Z47" i="3"/>
  <c r="Z31" i="3"/>
  <c r="Z36" i="3" s="1"/>
  <c r="P104" i="3"/>
  <c r="P65" i="3"/>
  <c r="P67" i="3" s="1"/>
  <c r="P55" i="3"/>
  <c r="P62" i="3" s="1"/>
  <c r="P117" i="3" s="1"/>
  <c r="X183" i="2"/>
  <c r="X195" i="2"/>
  <c r="X47" i="7" s="1"/>
  <c r="X194" i="2"/>
  <c r="X46" i="7" s="1"/>
  <c r="AC187" i="2"/>
  <c r="AC449" i="2"/>
  <c r="AC448" i="2"/>
  <c r="AK47" i="3"/>
  <c r="AA104" i="3"/>
  <c r="AA65" i="3"/>
  <c r="AA67" i="3" s="1"/>
  <c r="AA55" i="3"/>
  <c r="AA62" i="3" s="1"/>
  <c r="AA117" i="3" s="1"/>
  <c r="Z195" i="2"/>
  <c r="Z47" i="7" s="1"/>
  <c r="Z183" i="2"/>
  <c r="Z194" i="2"/>
  <c r="Z46" i="7" s="1"/>
  <c r="AY339" i="2"/>
  <c r="R83" i="3"/>
  <c r="R37" i="3"/>
  <c r="U104" i="3"/>
  <c r="U55" i="3"/>
  <c r="U62" i="3" s="1"/>
  <c r="U117" i="3" s="1"/>
  <c r="U65" i="3"/>
  <c r="U67" i="3" s="1"/>
  <c r="M104" i="3"/>
  <c r="M55" i="3"/>
  <c r="M62" i="3" s="1"/>
  <c r="M117" i="3" s="1"/>
  <c r="M65" i="3"/>
  <c r="M67" i="3" s="1"/>
  <c r="G183" i="2"/>
  <c r="G195" i="2"/>
  <c r="G47" i="7" s="1"/>
  <c r="G194" i="2"/>
  <c r="G46" i="7" s="1"/>
  <c r="H84" i="3"/>
  <c r="AG94" i="3"/>
  <c r="AG95" i="3" s="1"/>
  <c r="BA35" i="2"/>
  <c r="BA37" i="2" s="1"/>
  <c r="AL436" i="2"/>
  <c r="AS87" i="3"/>
  <c r="AS91" i="3"/>
  <c r="AO456" i="2"/>
  <c r="AO383" i="2"/>
  <c r="AP380" i="2"/>
  <c r="AP381" i="2" s="1"/>
  <c r="X97" i="3"/>
  <c r="O187" i="2"/>
  <c r="O448" i="2"/>
  <c r="O449" i="2"/>
  <c r="T75" i="3"/>
  <c r="T72" i="3" s="1"/>
  <c r="L187" i="2"/>
  <c r="L449" i="2"/>
  <c r="L448" i="2"/>
  <c r="AY47" i="3"/>
  <c r="C187" i="2"/>
  <c r="C448" i="2"/>
  <c r="C449" i="2"/>
  <c r="AW183" i="2"/>
  <c r="AW194" i="2"/>
  <c r="AW46" i="7" s="1"/>
  <c r="AW195" i="2"/>
  <c r="AW47" i="7" s="1"/>
  <c r="AS183" i="2"/>
  <c r="AS194" i="2"/>
  <c r="AS46" i="7" s="1"/>
  <c r="AS195" i="2"/>
  <c r="AS47" i="7" s="1"/>
  <c r="Y97" i="3"/>
  <c r="AN454" i="2"/>
  <c r="AN187" i="2"/>
  <c r="AN449" i="2"/>
  <c r="AN448" i="2"/>
  <c r="H104" i="3"/>
  <c r="H65" i="3"/>
  <c r="H67" i="3" s="1"/>
  <c r="H55" i="3"/>
  <c r="H62" i="3" s="1"/>
  <c r="H117" i="3" s="1"/>
  <c r="AK40" i="3"/>
  <c r="AK97" i="2"/>
  <c r="AK8" i="7"/>
  <c r="N183" i="2"/>
  <c r="N194" i="2"/>
  <c r="N46" i="7" s="1"/>
  <c r="N195" i="2"/>
  <c r="N47" i="7" s="1"/>
  <c r="AB104" i="3"/>
  <c r="AB65" i="3"/>
  <c r="AB67" i="3" s="1"/>
  <c r="AB55" i="3"/>
  <c r="AB62" i="3" s="1"/>
  <c r="AB117" i="3" s="1"/>
  <c r="T97" i="3"/>
  <c r="AC104" i="3"/>
  <c r="AC65" i="3"/>
  <c r="AC67" i="3" s="1"/>
  <c r="AC55" i="3"/>
  <c r="AC62" i="3" s="1"/>
  <c r="AC117" i="3" s="1"/>
  <c r="C513" i="2"/>
  <c r="C257" i="2" s="1"/>
  <c r="A513" i="2"/>
  <c r="F65" i="3"/>
  <c r="F67" i="3" s="1"/>
  <c r="F55" i="3"/>
  <c r="F62" i="3" s="1"/>
  <c r="F117" i="3" s="1"/>
  <c r="AS104" i="3"/>
  <c r="AS65" i="3"/>
  <c r="AS67" i="3" s="1"/>
  <c r="AS55" i="3"/>
  <c r="AS62" i="3" s="1"/>
  <c r="AS117" i="3" s="1"/>
  <c r="AX104" i="3"/>
  <c r="AI173" i="2"/>
  <c r="AI168" i="2"/>
  <c r="AI96" i="2"/>
  <c r="Q91" i="3"/>
  <c r="J93" i="3"/>
  <c r="AN91" i="3"/>
  <c r="AN87" i="3"/>
  <c r="AX454" i="2"/>
  <c r="AX463" i="2"/>
  <c r="AX187" i="2"/>
  <c r="AX449" i="2"/>
  <c r="AX448" i="2"/>
  <c r="AU104" i="3"/>
  <c r="AU65" i="3"/>
  <c r="AU67" i="3" s="1"/>
  <c r="AU55" i="3"/>
  <c r="AU62" i="3" s="1"/>
  <c r="AU117" i="3" s="1"/>
  <c r="C65" i="3"/>
  <c r="C67" i="3" s="1"/>
  <c r="C55" i="3"/>
  <c r="C62" i="3" s="1"/>
  <c r="C117" i="3" s="1"/>
  <c r="AD183" i="2"/>
  <c r="AC454" i="2" s="1"/>
  <c r="AD194" i="2"/>
  <c r="AD46" i="7" s="1"/>
  <c r="AD195" i="2"/>
  <c r="AD47" i="7" s="1"/>
  <c r="AT104" i="3"/>
  <c r="AT55" i="3"/>
  <c r="AT62" i="3" s="1"/>
  <c r="AT117" i="3" s="1"/>
  <c r="AT65" i="3"/>
  <c r="AT67" i="3" s="1"/>
  <c r="AD114" i="3"/>
  <c r="AD101" i="3"/>
  <c r="AD74" i="3"/>
  <c r="AD71" i="3" s="1"/>
  <c r="AD48" i="3"/>
  <c r="AE74" i="3"/>
  <c r="AE71" i="3" s="1"/>
  <c r="BA435" i="2"/>
  <c r="AZ264" i="2"/>
  <c r="AZ10" i="3" s="1"/>
  <c r="AG40" i="3"/>
  <c r="AG97" i="2"/>
  <c r="AG8" i="7"/>
  <c r="AY168" i="2"/>
  <c r="D504" i="2"/>
  <c r="K183" i="2"/>
  <c r="K194" i="2"/>
  <c r="K46" i="7" s="1"/>
  <c r="K195" i="2"/>
  <c r="K47" i="7" s="1"/>
  <c r="AK92" i="3"/>
  <c r="AK14" i="7"/>
  <c r="AD104" i="3"/>
  <c r="AD65" i="3"/>
  <c r="AD67" i="3" s="1"/>
  <c r="AD55" i="3"/>
  <c r="AD62" i="3" s="1"/>
  <c r="AD117" i="3" s="1"/>
  <c r="H93" i="3"/>
  <c r="D2" i="3"/>
  <c r="E5" i="2"/>
  <c r="D5" i="7"/>
  <c r="AR195" i="2"/>
  <c r="AR47" i="7" s="1"/>
  <c r="AR183" i="2"/>
  <c r="AQ454" i="2" s="1"/>
  <c r="AR194" i="2"/>
  <c r="AR46" i="7" s="1"/>
  <c r="R103" i="3"/>
  <c r="R75" i="3"/>
  <c r="R72" i="3" s="1"/>
  <c r="R64" i="3"/>
  <c r="R53" i="3"/>
  <c r="S75" i="3"/>
  <c r="S72" i="3" s="1"/>
  <c r="AN65" i="3"/>
  <c r="AN67" i="3" s="1"/>
  <c r="AN55" i="3"/>
  <c r="AN62" i="3" s="1"/>
  <c r="AN117" i="3" s="1"/>
  <c r="Y454" i="2"/>
  <c r="Y187" i="2"/>
  <c r="Y449" i="2"/>
  <c r="Y448" i="2"/>
  <c r="E55" i="3"/>
  <c r="E62" i="3" s="1"/>
  <c r="E117" i="3" s="1"/>
  <c r="E65" i="3"/>
  <c r="E67" i="3" s="1"/>
  <c r="F183" i="2"/>
  <c r="F195" i="2"/>
  <c r="F47" i="7" s="1"/>
  <c r="F194" i="2"/>
  <c r="F46" i="7" s="1"/>
  <c r="AP91" i="3"/>
  <c r="AP87" i="3"/>
  <c r="R19" i="7"/>
  <c r="N83" i="3"/>
  <c r="O84" i="3" s="1"/>
  <c r="N37" i="3"/>
  <c r="AP454" i="2"/>
  <c r="AP187" i="2"/>
  <c r="AP448" i="2"/>
  <c r="AP449" i="2"/>
  <c r="AD83" i="3"/>
  <c r="AD84" i="3" s="1"/>
  <c r="AD37" i="3"/>
  <c r="H97" i="3"/>
  <c r="V83" i="3"/>
  <c r="V84" i="3" s="1"/>
  <c r="V37" i="3"/>
  <c r="V104" i="3"/>
  <c r="V65" i="3"/>
  <c r="V67" i="3" s="1"/>
  <c r="V55" i="3"/>
  <c r="V62" i="3" s="1"/>
  <c r="V117" i="3" s="1"/>
  <c r="A527" i="2"/>
  <c r="C527" i="2"/>
  <c r="C259" i="2" s="1"/>
  <c r="AZ391" i="2"/>
  <c r="AZ63" i="7" s="1"/>
  <c r="BA386" i="2"/>
  <c r="BB386" i="2" s="1"/>
  <c r="BC386" i="2" s="1"/>
  <c r="Q116" i="3"/>
  <c r="Q83" i="3"/>
  <c r="Q84" i="3" s="1"/>
  <c r="Q87" i="3" s="1"/>
  <c r="Q37" i="3"/>
  <c r="AY461" i="2"/>
  <c r="AY91" i="2"/>
  <c r="M183" i="2"/>
  <c r="Q454" i="2" s="1"/>
  <c r="M195" i="2"/>
  <c r="M47" i="7" s="1"/>
  <c r="M194" i="2"/>
  <c r="M46" i="7" s="1"/>
  <c r="AV87" i="3"/>
  <c r="AV91" i="3"/>
  <c r="G2" i="3"/>
  <c r="H5" i="2"/>
  <c r="G5" i="7"/>
  <c r="BB19" i="3"/>
  <c r="BB32" i="2"/>
  <c r="BB36" i="2" s="1"/>
  <c r="BC28" i="2"/>
  <c r="BB35" i="7"/>
  <c r="E183" i="2"/>
  <c r="E195" i="2"/>
  <c r="E47" i="7" s="1"/>
  <c r="E194" i="2"/>
  <c r="E46" i="7" s="1"/>
  <c r="AY422" i="2"/>
  <c r="AY424" i="2" s="1"/>
  <c r="AH341" i="2"/>
  <c r="AY341" i="2" s="1"/>
  <c r="AC97" i="3"/>
  <c r="AZ337" i="2"/>
  <c r="O93" i="3"/>
  <c r="O97" i="3" s="1"/>
  <c r="K93" i="3"/>
  <c r="K97" i="3" s="1"/>
  <c r="AN109" i="3"/>
  <c r="AN6" i="3"/>
  <c r="AN11" i="3" s="1"/>
  <c r="AN108" i="3" s="1"/>
  <c r="L116" i="3"/>
  <c r="L83" i="3"/>
  <c r="M84" i="3" s="1"/>
  <c r="L37" i="3"/>
  <c r="Z104" i="3"/>
  <c r="Z65" i="3"/>
  <c r="Z67" i="3" s="1"/>
  <c r="Z55" i="3"/>
  <c r="Z62" i="3" s="1"/>
  <c r="Z117" i="3" s="1"/>
  <c r="AI47" i="3"/>
  <c r="J195" i="2"/>
  <c r="J47" i="7" s="1"/>
  <c r="J183" i="2"/>
  <c r="J194" i="2"/>
  <c r="J46" i="7" s="1"/>
  <c r="AB97" i="3"/>
  <c r="C506" i="2"/>
  <c r="C256" i="2" s="1"/>
  <c r="A506" i="2"/>
  <c r="V183" i="2"/>
  <c r="U454" i="2" s="1"/>
  <c r="V195" i="2"/>
  <c r="V47" i="7" s="1"/>
  <c r="V194" i="2"/>
  <c r="V46" i="7" s="1"/>
  <c r="AO454" i="2"/>
  <c r="AO187" i="2"/>
  <c r="AO449" i="2"/>
  <c r="AO448" i="2"/>
  <c r="AL40" i="3"/>
  <c r="AL97" i="2"/>
  <c r="AL8" i="7"/>
  <c r="AQ258" i="2"/>
  <c r="AQ260" i="2" s="1"/>
  <c r="AQ246" i="2" s="1"/>
  <c r="AQ4" i="3"/>
  <c r="AP253" i="2"/>
  <c r="AP248" i="2"/>
  <c r="AJ114" i="3"/>
  <c r="AJ48" i="3"/>
  <c r="AJ427" i="2"/>
  <c r="AK229" i="2"/>
  <c r="AE104" i="3"/>
  <c r="AE65" i="3"/>
  <c r="AE67" i="3" s="1"/>
  <c r="AE55" i="3"/>
  <c r="AE62" i="3" s="1"/>
  <c r="AE117" i="3" s="1"/>
  <c r="N103" i="3"/>
  <c r="N75" i="3"/>
  <c r="N72" i="3" s="1"/>
  <c r="N64" i="3"/>
  <c r="N53" i="3"/>
  <c r="S103" i="3"/>
  <c r="AV454" i="2"/>
  <c r="AV187" i="2"/>
  <c r="AV448" i="2"/>
  <c r="AV449" i="2"/>
  <c r="R195" i="2"/>
  <c r="R47" i="7" s="1"/>
  <c r="R183" i="2"/>
  <c r="R194" i="2"/>
  <c r="R46" i="7" s="1"/>
  <c r="AB454" i="2"/>
  <c r="AB187" i="2"/>
  <c r="AB448" i="2"/>
  <c r="AB449" i="2"/>
  <c r="I195" i="2"/>
  <c r="I47" i="7" s="1"/>
  <c r="I183" i="2"/>
  <c r="I194" i="2"/>
  <c r="I46" i="7" s="1"/>
  <c r="AK406" i="2"/>
  <c r="I104" i="3"/>
  <c r="AZ164" i="2"/>
  <c r="AZ167" i="2" s="1"/>
  <c r="Q93" i="3"/>
  <c r="AQ104" i="3"/>
  <c r="AQ65" i="3"/>
  <c r="AQ67" i="3" s="1"/>
  <c r="AQ55" i="3"/>
  <c r="AQ62" i="3" s="1"/>
  <c r="AQ117" i="3" s="1"/>
  <c r="AV104" i="3"/>
  <c r="AV65" i="3"/>
  <c r="AV67" i="3" s="1"/>
  <c r="AV55" i="3"/>
  <c r="AV62" i="3" s="1"/>
  <c r="AV117" i="3" s="1"/>
  <c r="L93" i="3"/>
  <c r="L97" i="3" s="1"/>
  <c r="H187" i="2"/>
  <c r="H448" i="2"/>
  <c r="H449" i="2"/>
  <c r="AZ392" i="2"/>
  <c r="AZ64" i="7" s="1"/>
  <c r="BA387" i="2"/>
  <c r="BB387" i="2" s="1"/>
  <c r="BC387" i="2" s="1"/>
  <c r="M93" i="3"/>
  <c r="M97" i="3" s="1"/>
  <c r="AS2" i="3"/>
  <c r="K5" i="2"/>
  <c r="AT5" i="2"/>
  <c r="AS5" i="7"/>
  <c r="AO87" i="3"/>
  <c r="AF335" i="2"/>
  <c r="AF181" i="2"/>
  <c r="AZ422" i="2"/>
  <c r="AZ389" i="2" s="1"/>
  <c r="AL341" i="2"/>
  <c r="AL58" i="3" s="1"/>
  <c r="J83" i="3"/>
  <c r="J84" i="3" s="1"/>
  <c r="J37" i="3"/>
  <c r="AW104" i="3"/>
  <c r="AW65" i="3"/>
  <c r="AW67" i="3" s="1"/>
  <c r="AW55" i="3"/>
  <c r="AW62" i="3" s="1"/>
  <c r="AW117" i="3" s="1"/>
  <c r="AG92" i="3"/>
  <c r="AG93" i="3" s="1"/>
  <c r="AG14" i="7"/>
  <c r="AZ25" i="3"/>
  <c r="AZ46" i="3" s="1"/>
  <c r="AZ95" i="2"/>
  <c r="AZ40" i="7" s="1"/>
  <c r="AA101" i="3"/>
  <c r="AA114" i="3"/>
  <c r="AA74" i="3"/>
  <c r="AA71" i="3" s="1"/>
  <c r="AA48" i="3"/>
  <c r="AC74" i="3"/>
  <c r="AC71" i="3" s="1"/>
  <c r="AX91" i="3"/>
  <c r="AX87" i="3"/>
  <c r="W104" i="3"/>
  <c r="W65" i="3"/>
  <c r="W67" i="3" s="1"/>
  <c r="W55" i="3"/>
  <c r="W62" i="3" s="1"/>
  <c r="W117" i="3" s="1"/>
  <c r="Z93" i="3"/>
  <c r="Z97" i="3" s="1"/>
  <c r="AA93" i="3"/>
  <c r="X104" i="3"/>
  <c r="X65" i="3"/>
  <c r="X67" i="3" s="1"/>
  <c r="X55" i="3"/>
  <c r="X62" i="3" s="1"/>
  <c r="X117" i="3" s="1"/>
  <c r="D194" i="2"/>
  <c r="D46" i="7" s="1"/>
  <c r="D183" i="2"/>
  <c r="C454" i="2" s="1"/>
  <c r="D195" i="2"/>
  <c r="D47" i="7" s="1"/>
  <c r="W93" i="3"/>
  <c r="W97" i="3" s="1"/>
  <c r="W454" i="2"/>
  <c r="W187" i="2"/>
  <c r="W448" i="2"/>
  <c r="W449" i="2"/>
  <c r="V93" i="3"/>
  <c r="V97" i="3" s="1"/>
  <c r="AO111" i="3"/>
  <c r="AO104" i="3"/>
  <c r="AO110" i="3"/>
  <c r="AO65" i="3"/>
  <c r="AO67" i="3" s="1"/>
  <c r="AO55" i="3"/>
  <c r="AO62" i="3" s="1"/>
  <c r="AO117" i="3" s="1"/>
  <c r="AP104" i="3"/>
  <c r="AQ87" i="3"/>
  <c r="AQ91" i="3"/>
  <c r="AP109" i="3"/>
  <c r="AP6" i="3"/>
  <c r="AL92" i="3"/>
  <c r="AL14" i="7"/>
  <c r="J97" i="3"/>
  <c r="O104" i="3"/>
  <c r="O65" i="3"/>
  <c r="O67" i="3" s="1"/>
  <c r="O55" i="3"/>
  <c r="O62" i="3" s="1"/>
  <c r="O117" i="3" s="1"/>
  <c r="Y93" i="3"/>
  <c r="AW83" i="3"/>
  <c r="AW84" i="3" s="1"/>
  <c r="AW37" i="3"/>
  <c r="AA197" i="2"/>
  <c r="AA192" i="2"/>
  <c r="AA189" i="2"/>
  <c r="AA198" i="2" s="1"/>
  <c r="AA139" i="2" s="1"/>
  <c r="AA153" i="2" s="1"/>
  <c r="AI461" i="2"/>
  <c r="AI91" i="2"/>
  <c r="AT183" i="2"/>
  <c r="AT195" i="2"/>
  <c r="AT47" i="7" s="1"/>
  <c r="AT194" i="2"/>
  <c r="AT46" i="7" s="1"/>
  <c r="K104" i="3"/>
  <c r="K65" i="3"/>
  <c r="K67" i="3" s="1"/>
  <c r="K55" i="3"/>
  <c r="K62" i="3" s="1"/>
  <c r="K117" i="3" s="1"/>
  <c r="AH94" i="3"/>
  <c r="AH95" i="3" s="1"/>
  <c r="Q104" i="3"/>
  <c r="AG58" i="3"/>
  <c r="AY337" i="2"/>
  <c r="I93" i="3"/>
  <c r="I97" i="3" s="1"/>
  <c r="U93" i="3"/>
  <c r="U97" i="3" s="1"/>
  <c r="G83" i="3"/>
  <c r="G37" i="3"/>
  <c r="AH114" i="3"/>
  <c r="AH74" i="3"/>
  <c r="AH48" i="3"/>
  <c r="BA24" i="3"/>
  <c r="BA89" i="2"/>
  <c r="BA90" i="2"/>
  <c r="BA92" i="2" s="1"/>
  <c r="T194" i="2"/>
  <c r="T46" i="7" s="1"/>
  <c r="T183" i="2"/>
  <c r="AV463" i="2" s="1"/>
  <c r="T195" i="2"/>
  <c r="T47" i="7" s="1"/>
  <c r="AI409" i="2"/>
  <c r="AI415" i="2" s="1"/>
  <c r="AJ407" i="2"/>
  <c r="AJ47" i="3"/>
  <c r="AY402" i="2"/>
  <c r="AH340" i="2"/>
  <c r="AY340" i="2" s="1"/>
  <c r="AA97" i="3"/>
  <c r="AO252" i="2"/>
  <c r="AO247" i="2"/>
  <c r="S116" i="3"/>
  <c r="S83" i="3"/>
  <c r="S84" i="3" s="1"/>
  <c r="S37" i="3"/>
  <c r="F83" i="3"/>
  <c r="F84" i="3" s="1"/>
  <c r="F91" i="3" s="1"/>
  <c r="F37" i="3"/>
  <c r="Q97" i="3"/>
  <c r="O87" i="3" l="1"/>
  <c r="O91" i="3"/>
  <c r="AY94" i="3"/>
  <c r="AY95" i="3" s="1"/>
  <c r="M87" i="3"/>
  <c r="M91" i="3"/>
  <c r="AP197" i="2"/>
  <c r="AP192" i="2"/>
  <c r="AP189" i="2"/>
  <c r="AP198" i="2" s="1"/>
  <c r="AP116" i="3"/>
  <c r="AP456" i="2"/>
  <c r="AP383" i="2"/>
  <c r="AQ380" i="2"/>
  <c r="AQ381" i="2" s="1"/>
  <c r="G84" i="3"/>
  <c r="AP11" i="3"/>
  <c r="AP110" i="3"/>
  <c r="AT2" i="3"/>
  <c r="O5" i="2"/>
  <c r="AU5" i="2"/>
  <c r="AT5" i="7"/>
  <c r="H189" i="2"/>
  <c r="H198" i="2" s="1"/>
  <c r="H197" i="2"/>
  <c r="H192" i="2"/>
  <c r="H116" i="3"/>
  <c r="I454" i="2"/>
  <c r="I187" i="2"/>
  <c r="I448" i="2"/>
  <c r="I449" i="2"/>
  <c r="AK427" i="2"/>
  <c r="AL229" i="2"/>
  <c r="AL427" i="2" s="1"/>
  <c r="AQ109" i="3"/>
  <c r="AQ6" i="3"/>
  <c r="AO189" i="2"/>
  <c r="AO198" i="2" s="1"/>
  <c r="AO197" i="2"/>
  <c r="AO192" i="2"/>
  <c r="AO116" i="3"/>
  <c r="T84" i="3"/>
  <c r="P84" i="3"/>
  <c r="C197" i="2"/>
  <c r="C192" i="2"/>
  <c r="C189" i="2"/>
  <c r="C198" i="2" s="1"/>
  <c r="U84" i="3"/>
  <c r="AH58" i="3"/>
  <c r="AU463" i="2"/>
  <c r="AU454" i="2"/>
  <c r="AU187" i="2"/>
  <c r="AU448" i="2"/>
  <c r="AU449" i="2"/>
  <c r="U192" i="2"/>
  <c r="U189" i="2"/>
  <c r="U198" i="2" s="1"/>
  <c r="U139" i="2" s="1"/>
  <c r="U153" i="2" s="1"/>
  <c r="U197" i="2"/>
  <c r="U116" i="3"/>
  <c r="P189" i="2"/>
  <c r="P198" i="2" s="1"/>
  <c r="P197" i="2"/>
  <c r="P192" i="2"/>
  <c r="P116" i="3"/>
  <c r="X84" i="3"/>
  <c r="K84" i="3"/>
  <c r="BB37" i="2"/>
  <c r="AL93" i="3"/>
  <c r="R187" i="2"/>
  <c r="R454" i="2"/>
  <c r="R448" i="2"/>
  <c r="R449" i="2"/>
  <c r="K2" i="3"/>
  <c r="L5" i="2"/>
  <c r="K5" i="7"/>
  <c r="H454" i="2"/>
  <c r="AQ252" i="2"/>
  <c r="AQ247" i="2"/>
  <c r="E454" i="2"/>
  <c r="E187" i="2"/>
  <c r="E449" i="2"/>
  <c r="E448" i="2"/>
  <c r="H2" i="3"/>
  <c r="I5" i="2"/>
  <c r="H5" i="7"/>
  <c r="Y84" i="3"/>
  <c r="N187" i="2"/>
  <c r="N449" i="2"/>
  <c r="N454" i="2"/>
  <c r="N448" i="2"/>
  <c r="AQ197" i="2"/>
  <c r="AQ192" i="2"/>
  <c r="AQ189" i="2"/>
  <c r="AQ198" i="2" s="1"/>
  <c r="AQ116" i="3"/>
  <c r="AZ26" i="3"/>
  <c r="J91" i="3"/>
  <c r="J87" i="3"/>
  <c r="M454" i="2"/>
  <c r="M187" i="2"/>
  <c r="M449" i="2"/>
  <c r="M448" i="2"/>
  <c r="Z116" i="3"/>
  <c r="Z83" i="3"/>
  <c r="Z37" i="3"/>
  <c r="AZ393" i="2"/>
  <c r="AZ65" i="7" s="1"/>
  <c r="BA388" i="2"/>
  <c r="BA45" i="3"/>
  <c r="AA41" i="3"/>
  <c r="AA199" i="2"/>
  <c r="BA389" i="2"/>
  <c r="F187" i="2"/>
  <c r="F449" i="2"/>
  <c r="F454" i="2"/>
  <c r="F448" i="2"/>
  <c r="AG114" i="3"/>
  <c r="AG74" i="3"/>
  <c r="AG48" i="3"/>
  <c r="AE84" i="3"/>
  <c r="AS454" i="2"/>
  <c r="AS463" i="2"/>
  <c r="AS187" i="2"/>
  <c r="AS448" i="2"/>
  <c r="AS449" i="2"/>
  <c r="W84" i="3"/>
  <c r="G454" i="2"/>
  <c r="G187" i="2"/>
  <c r="G449" i="2"/>
  <c r="G448" i="2"/>
  <c r="R84" i="3"/>
  <c r="BA46" i="3"/>
  <c r="C116" i="3"/>
  <c r="L454" i="2"/>
  <c r="BA173" i="2"/>
  <c r="BA168" i="2"/>
  <c r="BA96" i="2"/>
  <c r="BB23" i="3"/>
  <c r="BB20" i="3"/>
  <c r="BB400" i="2"/>
  <c r="BB399" i="2"/>
  <c r="BB166" i="2"/>
  <c r="BB25" i="3" s="1"/>
  <c r="BB13" i="2"/>
  <c r="BB16" i="3" s="1"/>
  <c r="BB7" i="7"/>
  <c r="AI340" i="2"/>
  <c r="AY388" i="2"/>
  <c r="AY393" i="2" s="1"/>
  <c r="AY65" i="7" s="1"/>
  <c r="D454" i="2"/>
  <c r="D187" i="2"/>
  <c r="D448" i="2"/>
  <c r="D449" i="2"/>
  <c r="AZ173" i="2"/>
  <c r="AZ96" i="2"/>
  <c r="AZ461" i="2" s="1"/>
  <c r="AV189" i="2"/>
  <c r="AV198" i="2" s="1"/>
  <c r="AV139" i="2" s="1"/>
  <c r="AV153" i="2" s="1"/>
  <c r="AV192" i="2"/>
  <c r="AV197" i="2"/>
  <c r="AV116" i="3"/>
  <c r="J187" i="2"/>
  <c r="J449" i="2"/>
  <c r="J454" i="2"/>
  <c r="J448" i="2"/>
  <c r="L84" i="3"/>
  <c r="BC19" i="3"/>
  <c r="BC32" i="2"/>
  <c r="BC36" i="2" s="1"/>
  <c r="BC35" i="7"/>
  <c r="AD91" i="3"/>
  <c r="AD87" i="3"/>
  <c r="N84" i="3"/>
  <c r="AN111" i="3"/>
  <c r="AR454" i="2"/>
  <c r="AR463" i="2"/>
  <c r="AR187" i="2"/>
  <c r="AR448" i="2"/>
  <c r="AR449" i="2"/>
  <c r="AD187" i="2"/>
  <c r="AD454" i="2"/>
  <c r="AD448" i="2"/>
  <c r="AD449" i="2"/>
  <c r="AZ436" i="2"/>
  <c r="X454" i="2"/>
  <c r="X187" i="2"/>
  <c r="X449" i="2"/>
  <c r="X448" i="2"/>
  <c r="AY92" i="3"/>
  <c r="AY93" i="3" s="1"/>
  <c r="AY14" i="7"/>
  <c r="AZ91" i="2"/>
  <c r="AN248" i="2"/>
  <c r="AN253" i="2"/>
  <c r="F530" i="2"/>
  <c r="F1" i="3"/>
  <c r="AR4" i="2"/>
  <c r="F3" i="2"/>
  <c r="F3" i="7" s="1"/>
  <c r="F4" i="7"/>
  <c r="L322" i="2"/>
  <c r="K323" i="2"/>
  <c r="BA399" i="2"/>
  <c r="I84" i="3"/>
  <c r="AR91" i="3"/>
  <c r="AR87" i="3"/>
  <c r="N104" i="3"/>
  <c r="N65" i="3"/>
  <c r="N67" i="3" s="1"/>
  <c r="N55" i="3"/>
  <c r="N62" i="3" s="1"/>
  <c r="N117" i="3" s="1"/>
  <c r="S104" i="3"/>
  <c r="AX197" i="2"/>
  <c r="AX189" i="2"/>
  <c r="AX198" i="2" s="1"/>
  <c r="AX139" i="2" s="1"/>
  <c r="AX153" i="2" s="1"/>
  <c r="AX192" i="2"/>
  <c r="AX116" i="3"/>
  <c r="H87" i="3"/>
  <c r="H91" i="3"/>
  <c r="AC192" i="2"/>
  <c r="AC189" i="2"/>
  <c r="AC198" i="2" s="1"/>
  <c r="AC139" i="2" s="1"/>
  <c r="AC153" i="2" s="1"/>
  <c r="AC197" i="2"/>
  <c r="AC116" i="3"/>
  <c r="S454" i="2"/>
  <c r="S91" i="3"/>
  <c r="S87" i="3"/>
  <c r="AF32" i="3"/>
  <c r="AF36" i="3" s="1"/>
  <c r="AF194" i="2"/>
  <c r="AF46" i="7" s="1"/>
  <c r="AF15" i="7"/>
  <c r="AF183" i="2"/>
  <c r="AB192" i="2"/>
  <c r="AB189" i="2"/>
  <c r="AB198" i="2" s="1"/>
  <c r="AB139" i="2" s="1"/>
  <c r="AB153" i="2" s="1"/>
  <c r="AB197" i="2"/>
  <c r="AB116" i="3"/>
  <c r="AH93" i="3"/>
  <c r="V187" i="2"/>
  <c r="V454" i="2"/>
  <c r="V448" i="2"/>
  <c r="V449" i="2"/>
  <c r="AN110" i="3"/>
  <c r="K454" i="2"/>
  <c r="K187" i="2"/>
  <c r="K448" i="2"/>
  <c r="K449" i="2"/>
  <c r="AI40" i="3"/>
  <c r="AZ168" i="2"/>
  <c r="AI97" i="2"/>
  <c r="AI8" i="7"/>
  <c r="O189" i="2"/>
  <c r="O198" i="2" s="1"/>
  <c r="O192" i="2"/>
  <c r="O197" i="2"/>
  <c r="O116" i="3"/>
  <c r="BA400" i="2"/>
  <c r="AE189" i="2"/>
  <c r="AE198" i="2" s="1"/>
  <c r="AE139" i="2" s="1"/>
  <c r="AE153" i="2" s="1"/>
  <c r="AE192" i="2"/>
  <c r="AE197" i="2"/>
  <c r="AE116" i="3"/>
  <c r="AI437" i="2"/>
  <c r="AY88" i="3"/>
  <c r="AY89" i="3" s="1"/>
  <c r="AY8" i="3"/>
  <c r="AY451" i="2"/>
  <c r="AI230" i="2"/>
  <c r="V91" i="3"/>
  <c r="V87" i="3"/>
  <c r="Y197" i="2"/>
  <c r="Y192" i="2"/>
  <c r="Y189" i="2"/>
  <c r="Y198" i="2" s="1"/>
  <c r="Y139" i="2" s="1"/>
  <c r="Y153" i="2" s="1"/>
  <c r="Y116" i="3"/>
  <c r="AL406" i="2"/>
  <c r="AL114" i="3"/>
  <c r="AL48" i="3"/>
  <c r="D524" i="2"/>
  <c r="D522" i="2"/>
  <c r="D520" i="2" s="1"/>
  <c r="D510" i="2"/>
  <c r="D508" i="2"/>
  <c r="D506" i="2" s="1"/>
  <c r="D256" i="2" s="1"/>
  <c r="D517" i="2"/>
  <c r="D515" i="2"/>
  <c r="D513" i="2" s="1"/>
  <c r="D257" i="2" s="1"/>
  <c r="D529" i="2"/>
  <c r="D527" i="2" s="1"/>
  <c r="D259" i="2" s="1"/>
  <c r="D531" i="2"/>
  <c r="AI92" i="3"/>
  <c r="AK93" i="3" s="1"/>
  <c r="AI14" i="7"/>
  <c r="AN189" i="2"/>
  <c r="AN198" i="2" s="1"/>
  <c r="AN192" i="2"/>
  <c r="AN197" i="2"/>
  <c r="AN116" i="3"/>
  <c r="AW463" i="2"/>
  <c r="AW454" i="2"/>
  <c r="AW187" i="2"/>
  <c r="AW449" i="2"/>
  <c r="AW448" i="2"/>
  <c r="O454" i="2"/>
  <c r="AT87" i="3"/>
  <c r="AT91" i="3"/>
  <c r="BB33" i="2"/>
  <c r="BB163" i="2" s="1"/>
  <c r="C258" i="2"/>
  <c r="C260" i="2" s="1"/>
  <c r="C246" i="2" s="1"/>
  <c r="C247" i="2" s="1"/>
  <c r="C248" i="2" s="1"/>
  <c r="C4" i="3"/>
  <c r="C6" i="3" s="1"/>
  <c r="C11" i="3" s="1"/>
  <c r="BA26" i="3"/>
  <c r="BA461" i="2"/>
  <c r="BA91" i="2"/>
  <c r="AO248" i="2"/>
  <c r="AO253" i="2"/>
  <c r="AJ409" i="2"/>
  <c r="AJ415" i="2" s="1"/>
  <c r="AK407" i="2"/>
  <c r="T454" i="2"/>
  <c r="T187" i="2"/>
  <c r="T448" i="2"/>
  <c r="T449" i="2"/>
  <c r="AT463" i="2"/>
  <c r="AT454" i="2"/>
  <c r="AT187" i="2"/>
  <c r="AT448" i="2"/>
  <c r="AT449" i="2"/>
  <c r="AW91" i="3"/>
  <c r="AW87" i="3"/>
  <c r="W189" i="2"/>
  <c r="W198" i="2" s="1"/>
  <c r="W139" i="2" s="1"/>
  <c r="W153" i="2" s="1"/>
  <c r="W192" i="2"/>
  <c r="W197" i="2"/>
  <c r="W116" i="3"/>
  <c r="AP251" i="2"/>
  <c r="AP10" i="7" s="1"/>
  <c r="AP254" i="2"/>
  <c r="AY389" i="2"/>
  <c r="AY394" i="2" s="1"/>
  <c r="AY66" i="7" s="1"/>
  <c r="AI341" i="2"/>
  <c r="AZ341" i="2" s="1"/>
  <c r="BB452" i="2"/>
  <c r="R104" i="3"/>
  <c r="R65" i="3"/>
  <c r="R67" i="3" s="1"/>
  <c r="R55" i="3"/>
  <c r="R62" i="3" s="1"/>
  <c r="R117" i="3" s="1"/>
  <c r="E2" i="3"/>
  <c r="F5" i="2"/>
  <c r="E5" i="7"/>
  <c r="AY40" i="3"/>
  <c r="AY97" i="2"/>
  <c r="AY8" i="7"/>
  <c r="BB435" i="2"/>
  <c r="BA264" i="2"/>
  <c r="BA10" i="3" s="1"/>
  <c r="AK114" i="3"/>
  <c r="AK48" i="3"/>
  <c r="L192" i="2"/>
  <c r="L189" i="2"/>
  <c r="L198" i="2" s="1"/>
  <c r="L197" i="2"/>
  <c r="Z187" i="2"/>
  <c r="Z448" i="2"/>
  <c r="Z454" i="2"/>
  <c r="Z449" i="2"/>
  <c r="AA454" i="2"/>
  <c r="Z101" i="3"/>
  <c r="Z114" i="3"/>
  <c r="Z74" i="3"/>
  <c r="Z71" i="3" s="1"/>
  <c r="Z48" i="3"/>
  <c r="AE101" i="3"/>
  <c r="AB74" i="3"/>
  <c r="AB71" i="3" s="1"/>
  <c r="E504" i="2"/>
  <c r="Q197" i="2"/>
  <c r="Q192" i="2"/>
  <c r="Q189" i="2"/>
  <c r="Q198" i="2" s="1"/>
  <c r="S197" i="2"/>
  <c r="S192" i="2"/>
  <c r="S189" i="2"/>
  <c r="S198" i="2" s="1"/>
  <c r="S139" i="2" s="1"/>
  <c r="S153" i="2" s="1"/>
  <c r="BC18" i="3"/>
  <c r="BC35" i="2"/>
  <c r="BC29" i="2"/>
  <c r="BC160" i="2" s="1"/>
  <c r="BC452" i="2" s="1"/>
  <c r="BC31" i="2"/>
  <c r="BC34" i="7"/>
  <c r="AQ456" i="2" l="1"/>
  <c r="AQ383" i="2"/>
  <c r="C380" i="2"/>
  <c r="C381" i="2" s="1"/>
  <c r="AR380" i="2"/>
  <c r="AR381" i="2" s="1"/>
  <c r="AN41" i="3"/>
  <c r="AN199" i="2"/>
  <c r="V192" i="2"/>
  <c r="V189" i="2"/>
  <c r="V198" i="2" s="1"/>
  <c r="V139" i="2" s="1"/>
  <c r="V153" i="2" s="1"/>
  <c r="V197" i="2"/>
  <c r="V116" i="3"/>
  <c r="BB337" i="2"/>
  <c r="BA337" i="2"/>
  <c r="W91" i="3"/>
  <c r="W87" i="3"/>
  <c r="BB389" i="2"/>
  <c r="BA422" i="2"/>
  <c r="BA341" i="2" s="1"/>
  <c r="AO41" i="3"/>
  <c r="AO199" i="2"/>
  <c r="I87" i="3"/>
  <c r="I91" i="3"/>
  <c r="BA436" i="2"/>
  <c r="D192" i="2"/>
  <c r="D197" i="2"/>
  <c r="D189" i="2"/>
  <c r="D198" i="2" s="1"/>
  <c r="D116" i="3"/>
  <c r="BA92" i="3"/>
  <c r="BA93" i="3" s="1"/>
  <c r="BA14" i="7"/>
  <c r="S41" i="3"/>
  <c r="AV464" i="2"/>
  <c r="S199" i="2"/>
  <c r="Z197" i="2"/>
  <c r="Z192" i="2"/>
  <c r="Z189" i="2"/>
  <c r="Z198" i="2" s="1"/>
  <c r="Z139" i="2" s="1"/>
  <c r="Z153" i="2" s="1"/>
  <c r="F2" i="3"/>
  <c r="F5" i="7"/>
  <c r="T192" i="2"/>
  <c r="T197" i="2"/>
  <c r="T189" i="2"/>
  <c r="T198" i="2" s="1"/>
  <c r="T139" i="2" s="1"/>
  <c r="T153" i="2" s="1"/>
  <c r="T116" i="3"/>
  <c r="BA47" i="3"/>
  <c r="AJ437" i="2"/>
  <c r="O41" i="3"/>
  <c r="O199" i="2"/>
  <c r="AV41" i="3"/>
  <c r="AV199" i="2"/>
  <c r="BC339" i="2"/>
  <c r="AZ394" i="2"/>
  <c r="AZ66" i="7" s="1"/>
  <c r="Z84" i="3"/>
  <c r="AB84" i="3"/>
  <c r="AC84" i="3"/>
  <c r="AA84" i="3"/>
  <c r="AZ47" i="3"/>
  <c r="N192" i="2"/>
  <c r="N189" i="2"/>
  <c r="N198" i="2" s="1"/>
  <c r="N197" i="2"/>
  <c r="N116" i="3"/>
  <c r="E192" i="2"/>
  <c r="E189" i="2"/>
  <c r="E198" i="2" s="1"/>
  <c r="E197" i="2"/>
  <c r="E116" i="3"/>
  <c r="L2" i="3"/>
  <c r="M5" i="2"/>
  <c r="L5" i="7"/>
  <c r="K87" i="3"/>
  <c r="K91" i="3"/>
  <c r="U87" i="3"/>
  <c r="U91" i="3"/>
  <c r="AU2" i="3"/>
  <c r="S5" i="2"/>
  <c r="AV5" i="2"/>
  <c r="AU5" i="7"/>
  <c r="K197" i="2"/>
  <c r="K192" i="2"/>
  <c r="K189" i="2"/>
  <c r="K198" i="2" s="1"/>
  <c r="K116" i="3"/>
  <c r="AC41" i="3"/>
  <c r="AC199" i="2"/>
  <c r="X91" i="3"/>
  <c r="X87" i="3"/>
  <c r="U41" i="3"/>
  <c r="U199" i="2"/>
  <c r="O2" i="3"/>
  <c r="P5" i="2"/>
  <c r="O5" i="7"/>
  <c r="Y41" i="3"/>
  <c r="Y199" i="2"/>
  <c r="BC435" i="2"/>
  <c r="BB264" i="2"/>
  <c r="BB10" i="3" s="1"/>
  <c r="AZ406" i="2"/>
  <c r="N87" i="3"/>
  <c r="N91" i="3"/>
  <c r="AZ340" i="2"/>
  <c r="AZ58" i="3" s="1"/>
  <c r="AI58" i="3"/>
  <c r="Y91" i="3"/>
  <c r="Y87" i="3"/>
  <c r="I197" i="2"/>
  <c r="I192" i="2"/>
  <c r="I189" i="2"/>
  <c r="I198" i="2" s="1"/>
  <c r="I116" i="3"/>
  <c r="AK409" i="2"/>
  <c r="AK415" i="2" s="1"/>
  <c r="AL407" i="2"/>
  <c r="AD192" i="2"/>
  <c r="AD189" i="2"/>
  <c r="AD198" i="2" s="1"/>
  <c r="AD139" i="2" s="1"/>
  <c r="AD153" i="2" s="1"/>
  <c r="AD197" i="2"/>
  <c r="AD116" i="3"/>
  <c r="R91" i="3"/>
  <c r="R87" i="3"/>
  <c r="AS192" i="2"/>
  <c r="AS189" i="2"/>
  <c r="AS198" i="2" s="1"/>
  <c r="AS197" i="2"/>
  <c r="AS116" i="3"/>
  <c r="AQ248" i="2"/>
  <c r="AQ253" i="2"/>
  <c r="C41" i="3"/>
  <c r="C199" i="2"/>
  <c r="AQ11" i="3"/>
  <c r="AQ110" i="3"/>
  <c r="AI114" i="3"/>
  <c r="AI74" i="3"/>
  <c r="AI48" i="3"/>
  <c r="AJ74" i="3"/>
  <c r="D258" i="2"/>
  <c r="D260" i="2" s="1"/>
  <c r="D246" i="2" s="1"/>
  <c r="D247" i="2" s="1"/>
  <c r="D248" i="2" s="1"/>
  <c r="D4" i="3"/>
  <c r="D6" i="3" s="1"/>
  <c r="D11" i="3" s="1"/>
  <c r="L41" i="3"/>
  <c r="L199" i="2"/>
  <c r="AT192" i="2"/>
  <c r="AT189" i="2"/>
  <c r="AT198" i="2" s="1"/>
  <c r="AT197" i="2"/>
  <c r="AT116" i="3"/>
  <c r="AI93" i="3"/>
  <c r="AJ93" i="3"/>
  <c r="AI88" i="3"/>
  <c r="AI89" i="3" s="1"/>
  <c r="AI8" i="3"/>
  <c r="AI451" i="2"/>
  <c r="AJ230" i="2"/>
  <c r="AI228" i="2"/>
  <c r="AI420" i="2" s="1"/>
  <c r="AI424" i="2" s="1"/>
  <c r="AE41" i="3"/>
  <c r="AE199" i="2"/>
  <c r="AN251" i="2"/>
  <c r="AN10" i="7" s="1"/>
  <c r="AN254" i="2"/>
  <c r="X189" i="2"/>
  <c r="X198" i="2" s="1"/>
  <c r="X139" i="2" s="1"/>
  <c r="X153" i="2" s="1"/>
  <c r="X197" i="2"/>
  <c r="X192" i="2"/>
  <c r="AW464" i="2" s="1"/>
  <c r="X116" i="3"/>
  <c r="AZ92" i="3"/>
  <c r="AZ93" i="3" s="1"/>
  <c r="AZ14" i="7"/>
  <c r="AA115" i="3"/>
  <c r="AA78" i="3"/>
  <c r="AQ41" i="3"/>
  <c r="AQ199" i="2"/>
  <c r="P41" i="3"/>
  <c r="P199" i="2"/>
  <c r="AY114" i="3"/>
  <c r="AY74" i="3"/>
  <c r="AY48" i="3"/>
  <c r="AF83" i="3"/>
  <c r="AF84" i="3" s="1"/>
  <c r="AF87" i="3" s="1"/>
  <c r="AF37" i="3"/>
  <c r="L91" i="3"/>
  <c r="L87" i="3"/>
  <c r="AW189" i="2"/>
  <c r="AW198" i="2" s="1"/>
  <c r="AW139" i="2" s="1"/>
  <c r="AW153" i="2" s="1"/>
  <c r="AW197" i="2"/>
  <c r="AW192" i="2"/>
  <c r="AW116" i="3"/>
  <c r="BC33" i="2"/>
  <c r="BC163" i="2" s="1"/>
  <c r="BC164" i="2" s="1"/>
  <c r="BC167" i="2" s="1"/>
  <c r="Q41" i="3"/>
  <c r="Q199" i="2"/>
  <c r="BC20" i="3"/>
  <c r="BC23" i="3"/>
  <c r="BC400" i="2"/>
  <c r="BC399" i="2"/>
  <c r="BC337" i="2" s="1"/>
  <c r="BC166" i="2"/>
  <c r="BC25" i="3" s="1"/>
  <c r="BC13" i="2"/>
  <c r="BC16" i="3" s="1"/>
  <c r="BC7" i="7"/>
  <c r="BB24" i="3"/>
  <c r="BB45" i="3" s="1"/>
  <c r="BB90" i="2"/>
  <c r="BB92" i="2" s="1"/>
  <c r="BB89" i="2"/>
  <c r="AZ40" i="3"/>
  <c r="AZ97" i="2"/>
  <c r="AZ8" i="7"/>
  <c r="AB41" i="3"/>
  <c r="AB199" i="2"/>
  <c r="AR530" i="2"/>
  <c r="AR1" i="3"/>
  <c r="AR504" i="2"/>
  <c r="AR529" i="2" s="1"/>
  <c r="AR527" i="2" s="1"/>
  <c r="AR259" i="2" s="1"/>
  <c r="AR4" i="7"/>
  <c r="G4" i="2"/>
  <c r="AR3" i="2"/>
  <c r="BB164" i="2"/>
  <c r="BB167" i="2" s="1"/>
  <c r="M192" i="2"/>
  <c r="M189" i="2"/>
  <c r="M198" i="2" s="1"/>
  <c r="M197" i="2"/>
  <c r="M116" i="3"/>
  <c r="I2" i="3"/>
  <c r="J5" i="2"/>
  <c r="I5" i="7"/>
  <c r="AU192" i="2"/>
  <c r="AU189" i="2"/>
  <c r="AU198" i="2" s="1"/>
  <c r="AU197" i="2"/>
  <c r="AU116" i="3"/>
  <c r="P87" i="3"/>
  <c r="P91" i="3"/>
  <c r="H41" i="3"/>
  <c r="H199" i="2"/>
  <c r="AP108" i="3"/>
  <c r="AP111" i="3"/>
  <c r="AP41" i="3"/>
  <c r="AP199" i="2"/>
  <c r="M322" i="2"/>
  <c r="L323" i="2"/>
  <c r="AA42" i="3"/>
  <c r="AA68" i="3" s="1"/>
  <c r="AA9" i="7"/>
  <c r="BC37" i="2"/>
  <c r="E517" i="2"/>
  <c r="E524" i="2"/>
  <c r="E510" i="2"/>
  <c r="E508" i="2"/>
  <c r="E506" i="2" s="1"/>
  <c r="E256" i="2" s="1"/>
  <c r="E515" i="2"/>
  <c r="E513" i="2" s="1"/>
  <c r="E257" i="2" s="1"/>
  <c r="E522" i="2"/>
  <c r="E520" i="2" s="1"/>
  <c r="E529" i="2"/>
  <c r="E527" i="2" s="1"/>
  <c r="E259" i="2" s="1"/>
  <c r="E531" i="2"/>
  <c r="AK74" i="3"/>
  <c r="W41" i="3"/>
  <c r="W199" i="2"/>
  <c r="AO251" i="2"/>
  <c r="AO10" i="7" s="1"/>
  <c r="AO254" i="2"/>
  <c r="AL74" i="3"/>
  <c r="BB339" i="2"/>
  <c r="BA339" i="2"/>
  <c r="AF327" i="2"/>
  <c r="AF187" i="2"/>
  <c r="AF449" i="2"/>
  <c r="AE454" i="2"/>
  <c r="AX41" i="3"/>
  <c r="AX199" i="2"/>
  <c r="F504" i="2"/>
  <c r="AR197" i="2"/>
  <c r="AR192" i="2"/>
  <c r="AR189" i="2"/>
  <c r="AR198" i="2" s="1"/>
  <c r="AR116" i="3"/>
  <c r="J197" i="2"/>
  <c r="J192" i="2"/>
  <c r="J189" i="2"/>
  <c r="J198" i="2" s="1"/>
  <c r="J116" i="3"/>
  <c r="BB46" i="3"/>
  <c r="BA40" i="3"/>
  <c r="BA97" i="2"/>
  <c r="BA8" i="7"/>
  <c r="G189" i="2"/>
  <c r="G198" i="2" s="1"/>
  <c r="G192" i="2"/>
  <c r="G197" i="2"/>
  <c r="G116" i="3"/>
  <c r="AE91" i="3"/>
  <c r="AE87" i="3"/>
  <c r="F192" i="2"/>
  <c r="F189" i="2"/>
  <c r="F198" i="2" s="1"/>
  <c r="F197" i="2"/>
  <c r="F116" i="3"/>
  <c r="BB388" i="2"/>
  <c r="BA402" i="2"/>
  <c r="R197" i="2"/>
  <c r="R192" i="2"/>
  <c r="R189" i="2"/>
  <c r="R198" i="2" s="1"/>
  <c r="R116" i="3"/>
  <c r="T91" i="3"/>
  <c r="T87" i="3"/>
  <c r="AZ427" i="2"/>
  <c r="G87" i="3"/>
  <c r="G91" i="3"/>
  <c r="BC173" i="2" l="1"/>
  <c r="BC168" i="2"/>
  <c r="BC96" i="2"/>
  <c r="AX115" i="3"/>
  <c r="AX78" i="3"/>
  <c r="AX79" i="3" s="1"/>
  <c r="AX82" i="3" s="1"/>
  <c r="F41" i="3"/>
  <c r="F199" i="2"/>
  <c r="J2" i="3"/>
  <c r="J5" i="7"/>
  <c r="AI94" i="3"/>
  <c r="AI95" i="3" s="1"/>
  <c r="AR464" i="2"/>
  <c r="AV2" i="3"/>
  <c r="AW5" i="2"/>
  <c r="W5" i="2"/>
  <c r="AV5" i="7"/>
  <c r="M2" i="3"/>
  <c r="N5" i="2"/>
  <c r="M5" i="7"/>
  <c r="AK437" i="2"/>
  <c r="BB436" i="2"/>
  <c r="AN42" i="3"/>
  <c r="AN9" i="7"/>
  <c r="AN250" i="2"/>
  <c r="AN11" i="7" s="1"/>
  <c r="R41" i="3"/>
  <c r="R199" i="2"/>
  <c r="AF189" i="2"/>
  <c r="AF198" i="2" s="1"/>
  <c r="AF139" i="2" s="1"/>
  <c r="AF153" i="2" s="1"/>
  <c r="AF197" i="2"/>
  <c r="AF192" i="2"/>
  <c r="W42" i="3"/>
  <c r="W68" i="3" s="1"/>
  <c r="W9" i="7"/>
  <c r="S2" i="3"/>
  <c r="T5" i="2"/>
  <c r="S5" i="7"/>
  <c r="N41" i="3"/>
  <c r="N199" i="2"/>
  <c r="AN115" i="3"/>
  <c r="AN78" i="3"/>
  <c r="AN79" i="3" s="1"/>
  <c r="AN82" i="3" s="1"/>
  <c r="N322" i="2"/>
  <c r="M323" i="2"/>
  <c r="C115" i="3"/>
  <c r="C78" i="3"/>
  <c r="AC115" i="3"/>
  <c r="AC78" i="3"/>
  <c r="BA114" i="3"/>
  <c r="BA74" i="3"/>
  <c r="BA48" i="3"/>
  <c r="AR41" i="3"/>
  <c r="AR199" i="2"/>
  <c r="AF448" i="2"/>
  <c r="AF336" i="2"/>
  <c r="AF438" i="2"/>
  <c r="AF117" i="2"/>
  <c r="AR531" i="2"/>
  <c r="Q42" i="3"/>
  <c r="Q68" i="3" s="1"/>
  <c r="Q9" i="7"/>
  <c r="BB26" i="3"/>
  <c r="AJ88" i="3"/>
  <c r="AJ89" i="3" s="1"/>
  <c r="AJ8" i="3"/>
  <c r="AJ451" i="2"/>
  <c r="AK230" i="2"/>
  <c r="AJ228" i="2"/>
  <c r="AJ420" i="2" s="1"/>
  <c r="AJ424" i="2" s="1"/>
  <c r="I41" i="3"/>
  <c r="I199" i="2"/>
  <c r="BA406" i="2"/>
  <c r="P2" i="3"/>
  <c r="Q5" i="2"/>
  <c r="P5" i="7"/>
  <c r="AV42" i="3"/>
  <c r="AV68" i="3" s="1"/>
  <c r="AV9" i="7"/>
  <c r="Z41" i="3"/>
  <c r="Z199" i="2"/>
  <c r="AR456" i="2"/>
  <c r="G380" i="2"/>
  <c r="G381" i="2" s="1"/>
  <c r="AR383" i="2"/>
  <c r="AS380" i="2"/>
  <c r="AS381" i="2" s="1"/>
  <c r="G1" i="3"/>
  <c r="G530" i="2"/>
  <c r="H4" i="2"/>
  <c r="G4" i="7"/>
  <c r="G3" i="2"/>
  <c r="G3" i="7" s="1"/>
  <c r="Y115" i="3"/>
  <c r="Y78" i="3"/>
  <c r="BA340" i="2"/>
  <c r="BA58" i="3" s="1"/>
  <c r="W102" i="3"/>
  <c r="W115" i="3"/>
  <c r="W78" i="3"/>
  <c r="BC46" i="3"/>
  <c r="Q115" i="3"/>
  <c r="Q102" i="3"/>
  <c r="Q78" i="3"/>
  <c r="P42" i="3"/>
  <c r="P68" i="3" s="1"/>
  <c r="P9" i="7"/>
  <c r="AT41" i="3"/>
  <c r="AT199" i="2"/>
  <c r="AQ251" i="2"/>
  <c r="AQ10" i="7" s="1"/>
  <c r="AQ254" i="2"/>
  <c r="AO42" i="3"/>
  <c r="AO9" i="7"/>
  <c r="AO250" i="2"/>
  <c r="AO11" i="7" s="1"/>
  <c r="P115" i="3"/>
  <c r="P78" i="3"/>
  <c r="L42" i="3"/>
  <c r="L68" i="3" s="1"/>
  <c r="L9" i="7"/>
  <c r="U42" i="3"/>
  <c r="U68" i="3" s="1"/>
  <c r="U9" i="7"/>
  <c r="K41" i="3"/>
  <c r="AT464" i="2"/>
  <c r="K199" i="2"/>
  <c r="AA91" i="3"/>
  <c r="AA87" i="3"/>
  <c r="O42" i="3"/>
  <c r="O68" i="3" s="1"/>
  <c r="O9" i="7"/>
  <c r="S42" i="3"/>
  <c r="S68" i="3" s="1"/>
  <c r="S9" i="7"/>
  <c r="AO115" i="3"/>
  <c r="AO102" i="3"/>
  <c r="AO78" i="3"/>
  <c r="AO79" i="3" s="1"/>
  <c r="AO82" i="3" s="1"/>
  <c r="H115" i="3"/>
  <c r="H102" i="3"/>
  <c r="H78" i="3"/>
  <c r="AB102" i="3"/>
  <c r="AB115" i="3"/>
  <c r="AB78" i="3"/>
  <c r="X41" i="3"/>
  <c r="X199" i="2"/>
  <c r="AC42" i="3"/>
  <c r="AC68" i="3" s="1"/>
  <c r="AC9" i="7"/>
  <c r="AP42" i="3"/>
  <c r="AP9" i="7"/>
  <c r="AP250" i="2"/>
  <c r="AP11" i="7" s="1"/>
  <c r="AR517" i="2"/>
  <c r="AR508" i="2"/>
  <c r="AR506" i="2" s="1"/>
  <c r="AR256" i="2" s="1"/>
  <c r="AR510" i="2"/>
  <c r="AR522" i="2"/>
  <c r="AR520" i="2" s="1"/>
  <c r="AR515" i="2"/>
  <c r="AR513" i="2" s="1"/>
  <c r="AR257" i="2" s="1"/>
  <c r="AR524" i="2"/>
  <c r="AV102" i="3"/>
  <c r="AV115" i="3"/>
  <c r="AV78" i="3"/>
  <c r="AV79" i="3" s="1"/>
  <c r="AV82" i="3" s="1"/>
  <c r="C456" i="2"/>
  <c r="C383" i="2"/>
  <c r="D380" i="2"/>
  <c r="D381" i="2" s="1"/>
  <c r="AZ229" i="2"/>
  <c r="BA229" i="2" s="1"/>
  <c r="BC388" i="2"/>
  <c r="BC402" i="2" s="1"/>
  <c r="BB402" i="2"/>
  <c r="BC340" i="2" s="1"/>
  <c r="F524" i="2"/>
  <c r="F522" i="2"/>
  <c r="F520" i="2" s="1"/>
  <c r="F510" i="2"/>
  <c r="F508" i="2"/>
  <c r="F506" i="2" s="1"/>
  <c r="F256" i="2" s="1"/>
  <c r="F515" i="2"/>
  <c r="F513" i="2" s="1"/>
  <c r="F257" i="2" s="1"/>
  <c r="F517" i="2"/>
  <c r="F529" i="2"/>
  <c r="F527" i="2" s="1"/>
  <c r="F259" i="2" s="1"/>
  <c r="F531" i="2"/>
  <c r="AP115" i="3"/>
  <c r="AP102" i="3"/>
  <c r="AP78" i="3"/>
  <c r="AP79" i="3" s="1"/>
  <c r="AP82" i="3" s="1"/>
  <c r="AZ114" i="3"/>
  <c r="AZ74" i="3"/>
  <c r="AZ48" i="3"/>
  <c r="BC24" i="3"/>
  <c r="BC45" i="3" s="1"/>
  <c r="BC90" i="2"/>
  <c r="BC92" i="2" s="1"/>
  <c r="BC89" i="2"/>
  <c r="G41" i="3"/>
  <c r="AS464" i="2"/>
  <c r="G199" i="2"/>
  <c r="AX42" i="3"/>
  <c r="AX68" i="3" s="1"/>
  <c r="AX9" i="7"/>
  <c r="M41" i="3"/>
  <c r="M199" i="2"/>
  <c r="BB91" i="2"/>
  <c r="AF116" i="3"/>
  <c r="AQ42" i="3"/>
  <c r="AQ9" i="7"/>
  <c r="AQ250" i="2"/>
  <c r="AQ11" i="7" s="1"/>
  <c r="AE42" i="3"/>
  <c r="AE68" i="3" s="1"/>
  <c r="AE9" i="7"/>
  <c r="L102" i="3"/>
  <c r="L115" i="3"/>
  <c r="L78" i="3"/>
  <c r="AD41" i="3"/>
  <c r="AD199" i="2"/>
  <c r="U115" i="3"/>
  <c r="U102" i="3"/>
  <c r="U78" i="3"/>
  <c r="E41" i="3"/>
  <c r="E199" i="2"/>
  <c r="AC91" i="3"/>
  <c r="AC87" i="3"/>
  <c r="AU464" i="2"/>
  <c r="AU41" i="3"/>
  <c r="AU199" i="2"/>
  <c r="BB173" i="2"/>
  <c r="BB168" i="2"/>
  <c r="A168" i="2" s="1"/>
  <c r="BB96" i="2"/>
  <c r="BB461" i="2" s="1"/>
  <c r="AW41" i="3"/>
  <c r="AW199" i="2"/>
  <c r="AQ115" i="3"/>
  <c r="AQ102" i="3"/>
  <c r="AQ78" i="3"/>
  <c r="AQ79" i="3" s="1"/>
  <c r="AQ82" i="3" s="1"/>
  <c r="AQ108" i="3"/>
  <c r="AQ111" i="3"/>
  <c r="AL409" i="2"/>
  <c r="AL415" i="2" s="1"/>
  <c r="AZ407" i="2"/>
  <c r="BC264" i="2"/>
  <c r="BC10" i="3" s="1"/>
  <c r="AB91" i="3"/>
  <c r="AB87" i="3"/>
  <c r="O102" i="3"/>
  <c r="O115" i="3"/>
  <c r="O78" i="3"/>
  <c r="T41" i="3"/>
  <c r="T199" i="2"/>
  <c r="S115" i="3"/>
  <c r="S78" i="3"/>
  <c r="D41" i="3"/>
  <c r="D199" i="2"/>
  <c r="BC389" i="2"/>
  <c r="BC422" i="2" s="1"/>
  <c r="BB422" i="2"/>
  <c r="BB341" i="2" s="1"/>
  <c r="J41" i="3"/>
  <c r="J199" i="2"/>
  <c r="E258" i="2"/>
  <c r="E260" i="2" s="1"/>
  <c r="E246" i="2" s="1"/>
  <c r="E247" i="2" s="1"/>
  <c r="E248" i="2" s="1"/>
  <c r="E4" i="3"/>
  <c r="E6" i="3" s="1"/>
  <c r="E11" i="3" s="1"/>
  <c r="H42" i="3"/>
  <c r="H68" i="3" s="1"/>
  <c r="H9" i="7"/>
  <c r="AR3" i="7"/>
  <c r="F235" i="2"/>
  <c r="F59" i="7" s="1"/>
  <c r="C235" i="2"/>
  <c r="C59" i="7" s="1"/>
  <c r="E235" i="2"/>
  <c r="E59" i="7" s="1"/>
  <c r="D235" i="2"/>
  <c r="D59" i="7" s="1"/>
  <c r="AB42" i="3"/>
  <c r="AB68" i="3" s="1"/>
  <c r="AB9" i="7"/>
  <c r="AE102" i="3"/>
  <c r="AE115" i="3"/>
  <c r="AE78" i="3"/>
  <c r="C42" i="3"/>
  <c r="C68" i="3" s="1"/>
  <c r="C9" i="7"/>
  <c r="AS41" i="3"/>
  <c r="AX102" i="3" s="1"/>
  <c r="AS199" i="2"/>
  <c r="Y42" i="3"/>
  <c r="Y68" i="3" s="1"/>
  <c r="Y9" i="7"/>
  <c r="Z87" i="3"/>
  <c r="Z91" i="3"/>
  <c r="V41" i="3"/>
  <c r="V199" i="2"/>
  <c r="AX464" i="2"/>
  <c r="D6" i="6"/>
  <c r="A40" i="3" l="1"/>
  <c r="A486" i="2"/>
  <c r="A169" i="2"/>
  <c r="A97" i="2"/>
  <c r="A48" i="3" s="1"/>
  <c r="A8" i="7"/>
  <c r="BC58" i="3"/>
  <c r="R42" i="3"/>
  <c r="R68" i="3" s="1"/>
  <c r="R9" i="7"/>
  <c r="AL437" i="2"/>
  <c r="J115" i="3"/>
  <c r="J102" i="3"/>
  <c r="J78" i="3"/>
  <c r="J79" i="3" s="1"/>
  <c r="J82" i="3" s="1"/>
  <c r="T42" i="3"/>
  <c r="T68" i="3" s="1"/>
  <c r="T9" i="7"/>
  <c r="AW42" i="3"/>
  <c r="AW68" i="3" s="1"/>
  <c r="AW9" i="7"/>
  <c r="AD115" i="3"/>
  <c r="AD102" i="3"/>
  <c r="AD78" i="3"/>
  <c r="AD79" i="3" s="1"/>
  <c r="AD82" i="3" s="1"/>
  <c r="BA427" i="2"/>
  <c r="BB229" i="2"/>
  <c r="AP68" i="3"/>
  <c r="AP107" i="3"/>
  <c r="BB340" i="2"/>
  <c r="BB58" i="3" s="1"/>
  <c r="H530" i="2"/>
  <c r="H1" i="3"/>
  <c r="I4" i="2"/>
  <c r="H4" i="7"/>
  <c r="H3" i="2"/>
  <c r="H3" i="7" s="1"/>
  <c r="G456" i="2"/>
  <c r="G383" i="2"/>
  <c r="H380" i="2"/>
  <c r="H381" i="2" s="1"/>
  <c r="Q2" i="3"/>
  <c r="R5" i="2"/>
  <c r="Q5" i="7"/>
  <c r="AK88" i="3"/>
  <c r="AK89" i="3" s="1"/>
  <c r="AK8" i="3"/>
  <c r="AK451" i="2"/>
  <c r="AL230" i="2"/>
  <c r="AK228" i="2"/>
  <c r="AK420" i="2" s="1"/>
  <c r="AK424" i="2" s="1"/>
  <c r="T2" i="3"/>
  <c r="U5" i="2"/>
  <c r="T5" i="7"/>
  <c r="R115" i="3"/>
  <c r="R102" i="3"/>
  <c r="R78" i="3"/>
  <c r="R79" i="3" s="1"/>
  <c r="R82" i="3" s="1"/>
  <c r="K102" i="3"/>
  <c r="K115" i="3"/>
  <c r="K78" i="3"/>
  <c r="N115" i="3"/>
  <c r="N102" i="3"/>
  <c r="N78" i="3"/>
  <c r="AD42" i="3"/>
  <c r="AD68" i="3" s="1"/>
  <c r="AD9" i="7"/>
  <c r="T102" i="3"/>
  <c r="T115" i="3"/>
  <c r="T78" i="3"/>
  <c r="AZ409" i="2"/>
  <c r="AZ415" i="2" s="1"/>
  <c r="BA407" i="2"/>
  <c r="G42" i="3"/>
  <c r="G68" i="3" s="1"/>
  <c r="G9" i="7"/>
  <c r="N2" i="3"/>
  <c r="N5" i="7"/>
  <c r="BC341" i="2"/>
  <c r="E42" i="3"/>
  <c r="E68" i="3" s="1"/>
  <c r="E9" i="7"/>
  <c r="AR258" i="2"/>
  <c r="AR260" i="2" s="1"/>
  <c r="AR246" i="2" s="1"/>
  <c r="AR4" i="3"/>
  <c r="Y102" i="3"/>
  <c r="BB406" i="2"/>
  <c r="AF440" i="2"/>
  <c r="AG440" i="2" s="1"/>
  <c r="AH440" i="2" s="1"/>
  <c r="AY440" i="2" s="1"/>
  <c r="AI440" i="2" s="1"/>
  <c r="AJ440" i="2" s="1"/>
  <c r="AK440" i="2" s="1"/>
  <c r="AL440" i="2" s="1"/>
  <c r="AZ440" i="2" s="1"/>
  <c r="BA440" i="2" s="1"/>
  <c r="BB440" i="2" s="1"/>
  <c r="BC440" i="2" s="1"/>
  <c r="AF441" i="2"/>
  <c r="D383" i="2"/>
  <c r="D456" i="2"/>
  <c r="E380" i="2"/>
  <c r="E381" i="2" s="1"/>
  <c r="D42" i="3"/>
  <c r="D68" i="3" s="1"/>
  <c r="D9" i="7"/>
  <c r="BB40" i="3"/>
  <c r="BB97" i="2"/>
  <c r="BB8" i="7"/>
  <c r="E115" i="3"/>
  <c r="E78" i="3"/>
  <c r="G102" i="3"/>
  <c r="G115" i="3"/>
  <c r="G78" i="3"/>
  <c r="X42" i="3"/>
  <c r="X68" i="3" s="1"/>
  <c r="X9" i="7"/>
  <c r="Z42" i="3"/>
  <c r="Z68" i="3" s="1"/>
  <c r="Z9" i="7"/>
  <c r="AF345" i="2"/>
  <c r="AF346" i="2"/>
  <c r="AF207" i="2"/>
  <c r="AF18" i="7"/>
  <c r="AF19" i="7" s="1"/>
  <c r="AC79" i="3"/>
  <c r="AC82" i="3" s="1"/>
  <c r="AN68" i="3"/>
  <c r="AN107" i="3"/>
  <c r="V115" i="3"/>
  <c r="V102" i="3"/>
  <c r="V78" i="3"/>
  <c r="V79" i="3" s="1"/>
  <c r="V82" i="3" s="1"/>
  <c r="AA102" i="3"/>
  <c r="AO68" i="3"/>
  <c r="AO107" i="3"/>
  <c r="G504" i="2"/>
  <c r="AT322" i="2"/>
  <c r="AT323" i="2" s="1"/>
  <c r="O322" i="2" s="1"/>
  <c r="N323" i="2"/>
  <c r="AS42" i="3"/>
  <c r="AS68" i="3" s="1"/>
  <c r="AS9" i="7"/>
  <c r="D115" i="3"/>
  <c r="D78" i="3"/>
  <c r="BB92" i="3"/>
  <c r="BB93" i="3" s="1"/>
  <c r="BB14" i="7"/>
  <c r="BC461" i="2"/>
  <c r="BC91" i="2"/>
  <c r="X115" i="3"/>
  <c r="X102" i="3"/>
  <c r="X78" i="3"/>
  <c r="X79" i="3" s="1"/>
  <c r="X82" i="3" s="1"/>
  <c r="K42" i="3"/>
  <c r="K68" i="3" s="1"/>
  <c r="K9" i="7"/>
  <c r="AT42" i="3"/>
  <c r="AT68" i="3" s="1"/>
  <c r="AT9" i="7"/>
  <c r="W79" i="3"/>
  <c r="W82" i="3" s="1"/>
  <c r="BC26" i="3"/>
  <c r="Z115" i="3"/>
  <c r="Z102" i="3"/>
  <c r="Z78" i="3"/>
  <c r="I42" i="3"/>
  <c r="I68" i="3" s="1"/>
  <c r="I9" i="7"/>
  <c r="BB47" i="3"/>
  <c r="AC102" i="3"/>
  <c r="AF41" i="3"/>
  <c r="AF199" i="2"/>
  <c r="W2" i="3"/>
  <c r="X5" i="2"/>
  <c r="W5" i="7"/>
  <c r="F42" i="3"/>
  <c r="F68" i="3" s="1"/>
  <c r="F9" i="7"/>
  <c r="BC40" i="3"/>
  <c r="BC97" i="2"/>
  <c r="BC8" i="7"/>
  <c r="AU115" i="3"/>
  <c r="AU102" i="3"/>
  <c r="AU78" i="3"/>
  <c r="AU79" i="3" s="1"/>
  <c r="AU82" i="3" s="1"/>
  <c r="M115" i="3"/>
  <c r="M102" i="3"/>
  <c r="M78" i="3"/>
  <c r="M79" i="3" s="1"/>
  <c r="M82" i="3" s="1"/>
  <c r="AS456" i="2"/>
  <c r="AS383" i="2"/>
  <c r="AT380" i="2"/>
  <c r="AT381" i="2" s="1"/>
  <c r="K380" i="2"/>
  <c r="K381" i="2" s="1"/>
  <c r="AJ94" i="3"/>
  <c r="AJ95" i="3" s="1"/>
  <c r="AR102" i="3"/>
  <c r="AR115" i="3"/>
  <c r="AR78" i="3"/>
  <c r="AR79" i="3" s="1"/>
  <c r="AR82" i="3" s="1"/>
  <c r="J42" i="3"/>
  <c r="J68" i="3" s="1"/>
  <c r="J9" i="7"/>
  <c r="S102" i="3"/>
  <c r="AW115" i="3"/>
  <c r="AW102" i="3"/>
  <c r="AW78" i="3"/>
  <c r="AW79" i="3" s="1"/>
  <c r="AW82" i="3" s="1"/>
  <c r="AQ68" i="3"/>
  <c r="AQ107" i="3"/>
  <c r="F258" i="2"/>
  <c r="F260" i="2" s="1"/>
  <c r="F246" i="2" s="1"/>
  <c r="F247" i="2" s="1"/>
  <c r="F248" i="2" s="1"/>
  <c r="F4" i="3"/>
  <c r="F6" i="3" s="1"/>
  <c r="F11" i="3" s="1"/>
  <c r="V42" i="3"/>
  <c r="V68" i="3" s="1"/>
  <c r="V9" i="7"/>
  <c r="AS102" i="3"/>
  <c r="AS115" i="3"/>
  <c r="AS78" i="3"/>
  <c r="AS79" i="3" s="1"/>
  <c r="AS82" i="3" s="1"/>
  <c r="AU42" i="3"/>
  <c r="AU68" i="3" s="1"/>
  <c r="AU9" i="7"/>
  <c r="M42" i="3"/>
  <c r="M68" i="3" s="1"/>
  <c r="M9" i="7"/>
  <c r="AB79" i="3"/>
  <c r="AB82" i="3" s="1"/>
  <c r="P102" i="3"/>
  <c r="AT102" i="3"/>
  <c r="AT115" i="3"/>
  <c r="AT78" i="3"/>
  <c r="AT79" i="3" s="1"/>
  <c r="AT82" i="3" s="1"/>
  <c r="I115" i="3"/>
  <c r="I102" i="3"/>
  <c r="I78" i="3"/>
  <c r="I79" i="3" s="1"/>
  <c r="I82" i="3" s="1"/>
  <c r="AR42" i="3"/>
  <c r="AR68" i="3" s="1"/>
  <c r="AR9" i="7"/>
  <c r="N42" i="3"/>
  <c r="N68" i="3" s="1"/>
  <c r="N9" i="7"/>
  <c r="BC436" i="2"/>
  <c r="AW2" i="3"/>
  <c r="AA5" i="2"/>
  <c r="AX5" i="2"/>
  <c r="AW5" i="7"/>
  <c r="F115" i="3"/>
  <c r="F78" i="3"/>
  <c r="BC92" i="3"/>
  <c r="BC93" i="3" s="1"/>
  <c r="BC14" i="7"/>
  <c r="H456" i="2" l="1"/>
  <c r="H383" i="2"/>
  <c r="I380" i="2"/>
  <c r="I381" i="2" s="1"/>
  <c r="BC114" i="3"/>
  <c r="BC74" i="3"/>
  <c r="BC48" i="3"/>
  <c r="AA2" i="3"/>
  <c r="AB5" i="2"/>
  <c r="AA5" i="7"/>
  <c r="AT456" i="2"/>
  <c r="O380" i="2"/>
  <c r="O381" i="2" s="1"/>
  <c r="AT383" i="2"/>
  <c r="AU380" i="2"/>
  <c r="AU381" i="2" s="1"/>
  <c r="X2" i="3"/>
  <c r="Y5" i="2"/>
  <c r="X5" i="7"/>
  <c r="F79" i="3"/>
  <c r="S79" i="3"/>
  <c r="S82" i="3" s="1"/>
  <c r="Z79" i="3"/>
  <c r="Z82" i="3" s="1"/>
  <c r="AA79" i="3"/>
  <c r="AA82" i="3" s="1"/>
  <c r="P322" i="2"/>
  <c r="O323" i="2"/>
  <c r="E456" i="2"/>
  <c r="F380" i="2"/>
  <c r="F381" i="2" s="1"/>
  <c r="E383" i="2"/>
  <c r="BC406" i="2"/>
  <c r="AK94" i="3"/>
  <c r="AK95" i="3" s="1"/>
  <c r="BC47" i="3"/>
  <c r="AF80" i="3"/>
  <c r="AF81" i="3" s="1"/>
  <c r="AF443" i="2"/>
  <c r="AF445" i="2" s="1"/>
  <c r="AF73" i="3"/>
  <c r="AR250" i="2"/>
  <c r="AR11" i="7" s="1"/>
  <c r="AR252" i="2"/>
  <c r="AR247" i="2"/>
  <c r="AF42" i="3"/>
  <c r="AF68" i="3" s="1"/>
  <c r="AF9" i="7"/>
  <c r="AR109" i="3"/>
  <c r="AR107" i="3"/>
  <c r="AR6" i="3"/>
  <c r="L79" i="3"/>
  <c r="L82" i="3" s="1"/>
  <c r="N79" i="3"/>
  <c r="N82" i="3" s="1"/>
  <c r="BB427" i="2"/>
  <c r="BC229" i="2"/>
  <c r="BC427" i="2" s="1"/>
  <c r="AL88" i="3"/>
  <c r="AL89" i="3" s="1"/>
  <c r="AL8" i="3"/>
  <c r="AL451" i="2"/>
  <c r="AL228" i="2"/>
  <c r="AL420" i="2" s="1"/>
  <c r="AX2" i="3"/>
  <c r="AY5" i="2"/>
  <c r="AE5" i="2"/>
  <c r="AX5" i="7"/>
  <c r="K456" i="2"/>
  <c r="K383" i="2"/>
  <c r="L380" i="2"/>
  <c r="L381" i="2" s="1"/>
  <c r="AF51" i="3"/>
  <c r="AF221" i="2"/>
  <c r="AF222" i="2" s="1"/>
  <c r="AF223" i="2" s="1"/>
  <c r="AF224" i="2" s="1"/>
  <c r="AF208" i="2"/>
  <c r="G79" i="3"/>
  <c r="G82" i="3" s="1"/>
  <c r="BB114" i="3"/>
  <c r="BB74" i="3"/>
  <c r="BB48" i="3"/>
  <c r="BA409" i="2"/>
  <c r="BA415" i="2" s="1"/>
  <c r="BB407" i="2"/>
  <c r="Q79" i="3"/>
  <c r="Q82" i="3" s="1"/>
  <c r="AE79" i="3"/>
  <c r="AE82" i="3" s="1"/>
  <c r="A497" i="2"/>
  <c r="A24" i="7" s="1"/>
  <c r="Y79" i="3"/>
  <c r="Y82" i="3" s="1"/>
  <c r="O79" i="3"/>
  <c r="O82" i="3" s="1"/>
  <c r="U2" i="3"/>
  <c r="V5" i="2"/>
  <c r="U5" i="7"/>
  <c r="I1" i="3"/>
  <c r="I531" i="2"/>
  <c r="I530" i="2"/>
  <c r="I504" i="2"/>
  <c r="J4" i="2"/>
  <c r="I4" i="7"/>
  <c r="I3" i="2"/>
  <c r="I3" i="7" s="1"/>
  <c r="H79" i="3"/>
  <c r="H82" i="3" s="1"/>
  <c r="G517" i="2"/>
  <c r="G515" i="2"/>
  <c r="G513" i="2" s="1"/>
  <c r="G257" i="2" s="1"/>
  <c r="G524" i="2"/>
  <c r="G522" i="2"/>
  <c r="G520" i="2" s="1"/>
  <c r="G508" i="2"/>
  <c r="G506" i="2" s="1"/>
  <c r="G256" i="2" s="1"/>
  <c r="G510" i="2"/>
  <c r="G531" i="2"/>
  <c r="G529" i="2"/>
  <c r="G527" i="2" s="1"/>
  <c r="G259" i="2" s="1"/>
  <c r="AF115" i="3"/>
  <c r="AF102" i="3"/>
  <c r="AF78" i="3"/>
  <c r="AF79" i="3" s="1"/>
  <c r="P79" i="3"/>
  <c r="P82" i="3" s="1"/>
  <c r="U79" i="3"/>
  <c r="U82" i="3" s="1"/>
  <c r="AY345" i="2"/>
  <c r="AY58" i="3" s="1"/>
  <c r="AF58" i="3"/>
  <c r="T79" i="3"/>
  <c r="T82" i="3" s="1"/>
  <c r="K79" i="3"/>
  <c r="K82" i="3" s="1"/>
  <c r="R2" i="3"/>
  <c r="R5" i="7"/>
  <c r="H504" i="2"/>
  <c r="AZ437" i="2"/>
  <c r="L456" i="2" l="1"/>
  <c r="L383" i="2"/>
  <c r="M380" i="2"/>
  <c r="M381" i="2" s="1"/>
  <c r="AL424" i="2"/>
  <c r="AZ420" i="2"/>
  <c r="AU383" i="2"/>
  <c r="AV380" i="2"/>
  <c r="AV381" i="2" s="1"/>
  <c r="S380" i="2"/>
  <c r="S381" i="2" s="1"/>
  <c r="AR11" i="3"/>
  <c r="AR110" i="3"/>
  <c r="AY2" i="3"/>
  <c r="AY492" i="2"/>
  <c r="AY493" i="2" s="1"/>
  <c r="AI5" i="2"/>
  <c r="AZ5" i="2"/>
  <c r="AY5" i="7"/>
  <c r="AR248" i="2"/>
  <c r="AR253" i="2"/>
  <c r="Q322" i="2"/>
  <c r="P323" i="2"/>
  <c r="AF103" i="3"/>
  <c r="AF75" i="3"/>
  <c r="AF72" i="3" s="1"/>
  <c r="AF64" i="3"/>
  <c r="AF53" i="3"/>
  <c r="BA437" i="2"/>
  <c r="V2" i="3"/>
  <c r="V5" i="7"/>
  <c r="O456" i="2"/>
  <c r="O383" i="2"/>
  <c r="P380" i="2"/>
  <c r="P381" i="2" s="1"/>
  <c r="J1" i="3"/>
  <c r="J530" i="2"/>
  <c r="J3" i="2"/>
  <c r="J3" i="7" s="1"/>
  <c r="J4" i="7"/>
  <c r="AS4" i="2"/>
  <c r="AF82" i="3"/>
  <c r="AF90" i="3"/>
  <c r="AF91" i="3" s="1"/>
  <c r="F383" i="2"/>
  <c r="F456" i="2"/>
  <c r="I383" i="2"/>
  <c r="J380" i="2"/>
  <c r="J381" i="2" s="1"/>
  <c r="I456" i="2"/>
  <c r="G258" i="2"/>
  <c r="G260" i="2" s="1"/>
  <c r="G246" i="2" s="1"/>
  <c r="G247" i="2" s="1"/>
  <c r="G248" i="2" s="1"/>
  <c r="G4" i="3"/>
  <c r="G6" i="3" s="1"/>
  <c r="G11" i="3" s="1"/>
  <c r="I517" i="2"/>
  <c r="I515" i="2"/>
  <c r="I513" i="2" s="1"/>
  <c r="I257" i="2" s="1"/>
  <c r="I522" i="2"/>
  <c r="I520" i="2" s="1"/>
  <c r="I510" i="2"/>
  <c r="I524" i="2"/>
  <c r="I508" i="2"/>
  <c r="I506" i="2" s="1"/>
  <c r="I256" i="2" s="1"/>
  <c r="BB409" i="2"/>
  <c r="BB415" i="2" s="1"/>
  <c r="BC407" i="2"/>
  <c r="BC409" i="2" s="1"/>
  <c r="BC415" i="2" s="1"/>
  <c r="Y2" i="3"/>
  <c r="Z5" i="2"/>
  <c r="Y5" i="7"/>
  <c r="H524" i="2"/>
  <c r="H515" i="2"/>
  <c r="H513" i="2" s="1"/>
  <c r="H257" i="2" s="1"/>
  <c r="H522" i="2"/>
  <c r="H520" i="2" s="1"/>
  <c r="H517" i="2"/>
  <c r="H510" i="2"/>
  <c r="H508" i="2"/>
  <c r="H506" i="2" s="1"/>
  <c r="H256" i="2" s="1"/>
  <c r="H531" i="2"/>
  <c r="H529" i="2"/>
  <c r="H527" i="2" s="1"/>
  <c r="H259" i="2" s="1"/>
  <c r="I529" i="2"/>
  <c r="I527" i="2" s="1"/>
  <c r="I259" i="2" s="1"/>
  <c r="AE2" i="3"/>
  <c r="AF5" i="2"/>
  <c r="AE5" i="7"/>
  <c r="AB2" i="3"/>
  <c r="AC5" i="2"/>
  <c r="AB5" i="7"/>
  <c r="BB437" i="2" l="1"/>
  <c r="AR251" i="2"/>
  <c r="AR10" i="7" s="1"/>
  <c r="AR254" i="2"/>
  <c r="AI2" i="3"/>
  <c r="AI492" i="2"/>
  <c r="AI493" i="2" s="1"/>
  <c r="AJ5" i="2"/>
  <c r="AI5" i="7"/>
  <c r="AS531" i="2"/>
  <c r="AS529" i="2"/>
  <c r="AS527" i="2" s="1"/>
  <c r="AS259" i="2" s="1"/>
  <c r="AS1" i="3"/>
  <c r="AS530" i="2"/>
  <c r="AS504" i="2"/>
  <c r="AS3" i="2"/>
  <c r="K4" i="2"/>
  <c r="AS4" i="7"/>
  <c r="P456" i="2"/>
  <c r="P383" i="2"/>
  <c r="Q380" i="2"/>
  <c r="Q381" i="2" s="1"/>
  <c r="J383" i="2"/>
  <c r="J456" i="2"/>
  <c r="AZ424" i="2"/>
  <c r="AZ230" i="2"/>
  <c r="AZ228" i="2"/>
  <c r="AR108" i="3"/>
  <c r="AR111" i="3"/>
  <c r="AL94" i="3"/>
  <c r="AL95" i="3" s="1"/>
  <c r="AC2" i="3"/>
  <c r="AD5" i="2"/>
  <c r="AC5" i="7"/>
  <c r="Z2" i="3"/>
  <c r="Z5" i="7"/>
  <c r="I4" i="3"/>
  <c r="I6" i="3" s="1"/>
  <c r="I11" i="3" s="1"/>
  <c r="I258" i="2"/>
  <c r="I260" i="2" s="1"/>
  <c r="I246" i="2" s="1"/>
  <c r="I247" i="2" s="1"/>
  <c r="I248" i="2" s="1"/>
  <c r="J504" i="2"/>
  <c r="M383" i="2"/>
  <c r="M456" i="2"/>
  <c r="N380" i="2"/>
  <c r="N381" i="2" s="1"/>
  <c r="H258" i="2"/>
  <c r="H260" i="2" s="1"/>
  <c r="H246" i="2" s="1"/>
  <c r="H247" i="2" s="1"/>
  <c r="H248" i="2" s="1"/>
  <c r="H4" i="3"/>
  <c r="H6" i="3" s="1"/>
  <c r="H11" i="3" s="1"/>
  <c r="AF104" i="3"/>
  <c r="AF65" i="3"/>
  <c r="AF67" i="3" s="1"/>
  <c r="AF55" i="3"/>
  <c r="R322" i="2"/>
  <c r="Q323" i="2"/>
  <c r="S383" i="2"/>
  <c r="T380" i="2"/>
  <c r="T381" i="2" s="1"/>
  <c r="AF2" i="3"/>
  <c r="AG5" i="2"/>
  <c r="AF5" i="7"/>
  <c r="AZ2" i="3"/>
  <c r="AZ492" i="2"/>
  <c r="AZ493" i="2" s="1"/>
  <c r="BA5" i="2"/>
  <c r="AZ5" i="7"/>
  <c r="AV383" i="2"/>
  <c r="AW380" i="2"/>
  <c r="AW381" i="2" s="1"/>
  <c r="W380" i="2"/>
  <c r="W381" i="2" s="1"/>
  <c r="M6" i="6"/>
  <c r="O6" i="6" l="1"/>
  <c r="P6" i="6"/>
  <c r="BA2" i="3"/>
  <c r="BA492" i="2"/>
  <c r="BA493" i="2" s="1"/>
  <c r="BB5" i="2"/>
  <c r="BA5" i="7"/>
  <c r="T383" i="2"/>
  <c r="U380" i="2"/>
  <c r="U381" i="2" s="1"/>
  <c r="N383" i="2"/>
  <c r="N456" i="2"/>
  <c r="AZ88" i="3"/>
  <c r="AZ89" i="3" s="1"/>
  <c r="AZ8" i="3"/>
  <c r="AZ451" i="2"/>
  <c r="BA230" i="2"/>
  <c r="BA234" i="2"/>
  <c r="K530" i="2"/>
  <c r="K1" i="3"/>
  <c r="L4" i="2"/>
  <c r="K4" i="7"/>
  <c r="K3" i="2"/>
  <c r="K3" i="7" s="1"/>
  <c r="AD2" i="3"/>
  <c r="AD5" i="7"/>
  <c r="AZ94" i="3"/>
  <c r="AZ95" i="3" s="1"/>
  <c r="AS3" i="7"/>
  <c r="I235" i="2"/>
  <c r="I59" i="7" s="1"/>
  <c r="G235" i="2"/>
  <c r="G59" i="7" s="1"/>
  <c r="J235" i="2"/>
  <c r="J59" i="7" s="1"/>
  <c r="H235" i="2"/>
  <c r="H59" i="7" s="1"/>
  <c r="AU322" i="2"/>
  <c r="AU323" i="2" s="1"/>
  <c r="R323" i="2"/>
  <c r="AS524" i="2"/>
  <c r="AS522" i="2"/>
  <c r="AS520" i="2" s="1"/>
  <c r="AS510" i="2"/>
  <c r="AS508" i="2"/>
  <c r="AS506" i="2" s="1"/>
  <c r="AS256" i="2" s="1"/>
  <c r="AS517" i="2"/>
  <c r="AS515" i="2"/>
  <c r="AS513" i="2" s="1"/>
  <c r="AS257" i="2" s="1"/>
  <c r="AW383" i="2"/>
  <c r="AX380" i="2"/>
  <c r="AX381" i="2" s="1"/>
  <c r="AA380" i="2"/>
  <c r="AA381" i="2" s="1"/>
  <c r="J524" i="2"/>
  <c r="J522" i="2"/>
  <c r="J520" i="2" s="1"/>
  <c r="J515" i="2"/>
  <c r="J513" i="2" s="1"/>
  <c r="J257" i="2" s="1"/>
  <c r="J510" i="2"/>
  <c r="J517" i="2"/>
  <c r="J508" i="2"/>
  <c r="J506" i="2" s="1"/>
  <c r="J256" i="2" s="1"/>
  <c r="J529" i="2"/>
  <c r="J527" i="2" s="1"/>
  <c r="J259" i="2" s="1"/>
  <c r="J531" i="2"/>
  <c r="W383" i="2"/>
  <c r="X380" i="2"/>
  <c r="X381" i="2" s="1"/>
  <c r="AG2" i="3"/>
  <c r="AG492" i="2"/>
  <c r="AH5" i="2"/>
  <c r="AG5" i="7"/>
  <c r="Q456" i="2"/>
  <c r="Q383" i="2"/>
  <c r="R380" i="2"/>
  <c r="R381" i="2" s="1"/>
  <c r="AJ2" i="3"/>
  <c r="AJ492" i="2"/>
  <c r="AJ493" i="2" s="1"/>
  <c r="AK5" i="2"/>
  <c r="AJ5" i="7"/>
  <c r="BC437" i="2"/>
  <c r="BA175" i="2" l="1"/>
  <c r="V380" i="2"/>
  <c r="V381" i="2" s="1"/>
  <c r="U383" i="2"/>
  <c r="AK2" i="3"/>
  <c r="AK492" i="2"/>
  <c r="AK493" i="2" s="1"/>
  <c r="AL5" i="2"/>
  <c r="AK5" i="7"/>
  <c r="S322" i="2"/>
  <c r="AU456" i="2"/>
  <c r="R383" i="2"/>
  <c r="R456" i="2"/>
  <c r="AH2" i="3"/>
  <c r="AH492" i="2"/>
  <c r="AH5" i="7"/>
  <c r="AS258" i="2"/>
  <c r="AS260" i="2" s="1"/>
  <c r="AS246" i="2" s="1"/>
  <c r="AS4" i="3"/>
  <c r="L1" i="3"/>
  <c r="L530" i="2"/>
  <c r="L504" i="2"/>
  <c r="L3" i="2"/>
  <c r="L3" i="7" s="1"/>
  <c r="M4" i="2"/>
  <c r="L4" i="7"/>
  <c r="BA88" i="3"/>
  <c r="BA89" i="3" s="1"/>
  <c r="BA8" i="3"/>
  <c r="BA451" i="2"/>
  <c r="BB230" i="2"/>
  <c r="BA228" i="2"/>
  <c r="BA420" i="2" s="1"/>
  <c r="BA424" i="2" s="1"/>
  <c r="AA383" i="2"/>
  <c r="AB380" i="2"/>
  <c r="AB381" i="2" s="1"/>
  <c r="AG493" i="2"/>
  <c r="AX383" i="2"/>
  <c r="AY380" i="2"/>
  <c r="AE380" i="2"/>
  <c r="AE381" i="2" s="1"/>
  <c r="K504" i="2"/>
  <c r="X383" i="2"/>
  <c r="Y380" i="2"/>
  <c r="Y381" i="2" s="1"/>
  <c r="J258" i="2"/>
  <c r="J260" i="2" s="1"/>
  <c r="J246" i="2" s="1"/>
  <c r="J247" i="2" s="1"/>
  <c r="J248" i="2" s="1"/>
  <c r="J4" i="3"/>
  <c r="J6" i="3" s="1"/>
  <c r="J11" i="3" s="1"/>
  <c r="BB2" i="3"/>
  <c r="BB492" i="2"/>
  <c r="BB493" i="2" s="1"/>
  <c r="BC5" i="2"/>
  <c r="BB5" i="7"/>
  <c r="M8" i="6"/>
  <c r="P8" i="6" l="1"/>
  <c r="O8" i="6"/>
  <c r="AS109" i="3"/>
  <c r="AS107" i="3"/>
  <c r="AS6" i="3"/>
  <c r="BA94" i="3"/>
  <c r="BA95" i="3" s="1"/>
  <c r="AK494" i="2"/>
  <c r="AG494" i="2"/>
  <c r="L524" i="2"/>
  <c r="L522" i="2"/>
  <c r="L520" i="2" s="1"/>
  <c r="L510" i="2"/>
  <c r="L508" i="2"/>
  <c r="L506" i="2" s="1"/>
  <c r="L256" i="2" s="1"/>
  <c r="L517" i="2"/>
  <c r="L515" i="2"/>
  <c r="L513" i="2" s="1"/>
  <c r="L257" i="2" s="1"/>
  <c r="K517" i="2"/>
  <c r="K515" i="2"/>
  <c r="K513" i="2" s="1"/>
  <c r="K257" i="2" s="1"/>
  <c r="K510" i="2"/>
  <c r="K522" i="2"/>
  <c r="K520" i="2" s="1"/>
  <c r="K508" i="2"/>
  <c r="K506" i="2" s="1"/>
  <c r="K256" i="2" s="1"/>
  <c r="K524" i="2"/>
  <c r="K529" i="2"/>
  <c r="K527" i="2" s="1"/>
  <c r="K259" i="2" s="1"/>
  <c r="K531" i="2"/>
  <c r="BB88" i="3"/>
  <c r="BB89" i="3" s="1"/>
  <c r="BB8" i="3"/>
  <c r="BB451" i="2"/>
  <c r="BC230" i="2"/>
  <c r="BB228" i="2"/>
  <c r="BB420" i="2" s="1"/>
  <c r="BB424" i="2" s="1"/>
  <c r="BC234" i="2"/>
  <c r="V383" i="2"/>
  <c r="AE383" i="2"/>
  <c r="AF380" i="2"/>
  <c r="AF378" i="2" s="1"/>
  <c r="AB383" i="2"/>
  <c r="AC380" i="2"/>
  <c r="AC381" i="2" s="1"/>
  <c r="L529" i="2"/>
  <c r="L527" i="2" s="1"/>
  <c r="L259" i="2" s="1"/>
  <c r="AL2" i="3"/>
  <c r="AL492" i="2"/>
  <c r="AL5" i="7"/>
  <c r="L531" i="2"/>
  <c r="T322" i="2"/>
  <c r="S323" i="2"/>
  <c r="S456" i="2" s="1"/>
  <c r="Y383" i="2"/>
  <c r="Z380" i="2"/>
  <c r="Z381" i="2" s="1"/>
  <c r="BC2" i="3"/>
  <c r="BC492" i="2"/>
  <c r="BC493" i="2" s="1"/>
  <c r="BC211" i="2"/>
  <c r="BC161" i="2"/>
  <c r="BC5" i="7"/>
  <c r="BC200" i="2"/>
  <c r="B545" i="2"/>
  <c r="E7" i="5"/>
  <c r="BC169" i="2"/>
  <c r="BB234" i="2"/>
  <c r="M1" i="3"/>
  <c r="M530" i="2"/>
  <c r="M529" i="2"/>
  <c r="M527" i="2" s="1"/>
  <c r="M259" i="2" s="1"/>
  <c r="M504" i="2"/>
  <c r="M531" i="2"/>
  <c r="N4" i="2"/>
  <c r="M3" i="2"/>
  <c r="M3" i="7" s="1"/>
  <c r="M4" i="7"/>
  <c r="AS250" i="2"/>
  <c r="AS11" i="7" s="1"/>
  <c r="AS252" i="2"/>
  <c r="AS247" i="2"/>
  <c r="AH493" i="2"/>
  <c r="BC98" i="2" l="1"/>
  <c r="AY494" i="2"/>
  <c r="L258" i="2"/>
  <c r="L260" i="2" s="1"/>
  <c r="L246" i="2" s="1"/>
  <c r="L247" i="2" s="1"/>
  <c r="L248" i="2" s="1"/>
  <c r="L4" i="3"/>
  <c r="L6" i="3" s="1"/>
  <c r="L11" i="3" s="1"/>
  <c r="BC209" i="2"/>
  <c r="Z383" i="2"/>
  <c r="AK499" i="2"/>
  <c r="AK498" i="2"/>
  <c r="AK495" i="2"/>
  <c r="AK500" i="2"/>
  <c r="AK496" i="2"/>
  <c r="AK497" i="2"/>
  <c r="AS11" i="3"/>
  <c r="AS110" i="3"/>
  <c r="BB494" i="2"/>
  <c r="AD380" i="2"/>
  <c r="AD381" i="2" s="1"/>
  <c r="AC383" i="2"/>
  <c r="AI494" i="2"/>
  <c r="BB175" i="2"/>
  <c r="AZ494" i="2"/>
  <c r="AL493" i="2"/>
  <c r="AL494" i="2" s="1"/>
  <c r="BC175" i="2"/>
  <c r="AS248" i="2"/>
  <c r="AS253" i="2"/>
  <c r="N530" i="2"/>
  <c r="N1" i="3"/>
  <c r="N504" i="2"/>
  <c r="N531" i="2" s="1"/>
  <c r="AT4" i="2"/>
  <c r="N3" i="2"/>
  <c r="N3" i="7" s="1"/>
  <c r="N4" i="7"/>
  <c r="BC93" i="2"/>
  <c r="U322" i="2"/>
  <c r="T323" i="2"/>
  <c r="T456" i="2" s="1"/>
  <c r="BB94" i="3"/>
  <c r="BB95" i="3" s="1"/>
  <c r="AG498" i="2"/>
  <c r="AG495" i="2"/>
  <c r="AG500" i="2"/>
  <c r="AG499" i="2"/>
  <c r="AG497" i="2"/>
  <c r="AG496" i="2"/>
  <c r="AF373" i="2"/>
  <c r="AE453" i="2"/>
  <c r="AH494" i="2"/>
  <c r="AJ494" i="2"/>
  <c r="BA494" i="2"/>
  <c r="M510" i="2"/>
  <c r="M522" i="2"/>
  <c r="M520" i="2" s="1"/>
  <c r="M508" i="2"/>
  <c r="M506" i="2" s="1"/>
  <c r="M256" i="2" s="1"/>
  <c r="M517" i="2"/>
  <c r="M524" i="2"/>
  <c r="M515" i="2"/>
  <c r="M513" i="2" s="1"/>
  <c r="M257" i="2" s="1"/>
  <c r="L6" i="6"/>
  <c r="L8" i="6"/>
  <c r="B6" i="6"/>
  <c r="B8" i="6"/>
  <c r="BC494" i="2"/>
  <c r="BC88" i="3"/>
  <c r="BC89" i="3" s="1"/>
  <c r="BC8" i="3"/>
  <c r="BC451" i="2"/>
  <c r="BC228" i="2"/>
  <c r="BC420" i="2" s="1"/>
  <c r="BC424" i="2" s="1"/>
  <c r="K258" i="2"/>
  <c r="K260" i="2" s="1"/>
  <c r="K246" i="2" s="1"/>
  <c r="K247" i="2" s="1"/>
  <c r="K248" i="2" s="1"/>
  <c r="K4" i="3"/>
  <c r="K6" i="3" s="1"/>
  <c r="K11" i="3" s="1"/>
  <c r="AJ495" i="2" l="1"/>
  <c r="AJ497" i="2"/>
  <c r="AJ499" i="2"/>
  <c r="AJ498" i="2"/>
  <c r="AJ496" i="2"/>
  <c r="AJ500" i="2"/>
  <c r="BC94" i="3"/>
  <c r="BC95" i="3" s="1"/>
  <c r="BA495" i="2"/>
  <c r="BA500" i="2"/>
  <c r="BA499" i="2"/>
  <c r="BA497" i="2"/>
  <c r="BA498" i="2"/>
  <c r="BA496" i="2"/>
  <c r="BA23" i="7" s="1"/>
  <c r="AG23" i="7"/>
  <c r="AG161" i="2"/>
  <c r="AT1" i="3"/>
  <c r="AT530" i="2"/>
  <c r="AT504" i="2"/>
  <c r="AT531" i="2" s="1"/>
  <c r="O4" i="2"/>
  <c r="AT3" i="2"/>
  <c r="AT4" i="7"/>
  <c r="AS251" i="2"/>
  <c r="AS10" i="7" s="1"/>
  <c r="AS254" i="2"/>
  <c r="AL498" i="2"/>
  <c r="AL496" i="2"/>
  <c r="AL499" i="2"/>
  <c r="AL500" i="2"/>
  <c r="AL497" i="2"/>
  <c r="AL495" i="2"/>
  <c r="AK27" i="7"/>
  <c r="AK211" i="2"/>
  <c r="AH497" i="2"/>
  <c r="AH496" i="2"/>
  <c r="AH495" i="2"/>
  <c r="AH498" i="2"/>
  <c r="AH499" i="2"/>
  <c r="AH500" i="2"/>
  <c r="AG26" i="7"/>
  <c r="AG209" i="2"/>
  <c r="N529" i="2"/>
  <c r="N527" i="2" s="1"/>
  <c r="N259" i="2" s="1"/>
  <c r="AK25" i="7"/>
  <c r="AK200" i="2"/>
  <c r="AZ496" i="2"/>
  <c r="AZ500" i="2"/>
  <c r="AZ498" i="2"/>
  <c r="AZ499" i="2"/>
  <c r="AZ497" i="2"/>
  <c r="AZ24" i="7" s="1"/>
  <c r="AZ495" i="2"/>
  <c r="AD383" i="2"/>
  <c r="AG27" i="7"/>
  <c r="AG211" i="2"/>
  <c r="V322" i="2"/>
  <c r="U323" i="2"/>
  <c r="U456" i="2" s="1"/>
  <c r="BB497" i="2"/>
  <c r="BB500" i="2"/>
  <c r="BB495" i="2"/>
  <c r="BB499" i="2"/>
  <c r="BB496" i="2"/>
  <c r="BB498" i="2"/>
  <c r="AK26" i="7"/>
  <c r="AK209" i="2"/>
  <c r="AG24" i="7"/>
  <c r="AG169" i="2"/>
  <c r="AG98" i="2" s="1"/>
  <c r="N524" i="2"/>
  <c r="N522" i="2"/>
  <c r="N520" i="2" s="1"/>
  <c r="N510" i="2"/>
  <c r="N508" i="2"/>
  <c r="N506" i="2" s="1"/>
  <c r="N256" i="2" s="1"/>
  <c r="N517" i="2"/>
  <c r="N515" i="2"/>
  <c r="N513" i="2" s="1"/>
  <c r="N257" i="2" s="1"/>
  <c r="AK22" i="7"/>
  <c r="AK93" i="2"/>
  <c r="AG22" i="7"/>
  <c r="AG93" i="2"/>
  <c r="AG25" i="7"/>
  <c r="AG200" i="2"/>
  <c r="AS108" i="3"/>
  <c r="AS111" i="3"/>
  <c r="M258" i="2"/>
  <c r="M260" i="2" s="1"/>
  <c r="M246" i="2" s="1"/>
  <c r="M247" i="2" s="1"/>
  <c r="M248" i="2" s="1"/>
  <c r="M4" i="3"/>
  <c r="M6" i="3" s="1"/>
  <c r="M11" i="3" s="1"/>
  <c r="AI495" i="2"/>
  <c r="AI499" i="2"/>
  <c r="AI498" i="2"/>
  <c r="AI496" i="2"/>
  <c r="AI500" i="2"/>
  <c r="AI497" i="2"/>
  <c r="AK24" i="7"/>
  <c r="AK169" i="2"/>
  <c r="AF61" i="3"/>
  <c r="AF62" i="3" s="1"/>
  <c r="AF117" i="3" s="1"/>
  <c r="AY373" i="2"/>
  <c r="AF375" i="2"/>
  <c r="AK23" i="7"/>
  <c r="AK161" i="2"/>
  <c r="AY496" i="2"/>
  <c r="AY500" i="2"/>
  <c r="AY27" i="7" s="1"/>
  <c r="AY498" i="2"/>
  <c r="AY497" i="2"/>
  <c r="AY495" i="2"/>
  <c r="AY499" i="2"/>
  <c r="AY26" i="7" s="1"/>
  <c r="AK98" i="2" l="1"/>
  <c r="N258" i="2"/>
  <c r="N260" i="2" s="1"/>
  <c r="N246" i="2" s="1"/>
  <c r="N247" i="2" s="1"/>
  <c r="N248" i="2" s="1"/>
  <c r="N4" i="3"/>
  <c r="N6" i="3" s="1"/>
  <c r="N11" i="3" s="1"/>
  <c r="BB26" i="7"/>
  <c r="BB209" i="2"/>
  <c r="AZ25" i="7"/>
  <c r="AZ200" i="2"/>
  <c r="AH27" i="7"/>
  <c r="AH211" i="2"/>
  <c r="AL22" i="7"/>
  <c r="AL93" i="2"/>
  <c r="BB22" i="7"/>
  <c r="BB93" i="2"/>
  <c r="AZ27" i="7"/>
  <c r="AZ211" i="2"/>
  <c r="AH26" i="7"/>
  <c r="AH209" i="2"/>
  <c r="AL24" i="7"/>
  <c r="AL169" i="2"/>
  <c r="AT3" i="7"/>
  <c r="M235" i="2"/>
  <c r="M59" i="7" s="1"/>
  <c r="L235" i="2"/>
  <c r="L59" i="7" s="1"/>
  <c r="N235" i="2"/>
  <c r="N59" i="7" s="1"/>
  <c r="K235" i="2"/>
  <c r="K59" i="7" s="1"/>
  <c r="AI23" i="7"/>
  <c r="AI161" i="2"/>
  <c r="AI25" i="7"/>
  <c r="AI200" i="2"/>
  <c r="AY25" i="7"/>
  <c r="AY200" i="2"/>
  <c r="AY23" i="7"/>
  <c r="AY161" i="2"/>
  <c r="AI24" i="7"/>
  <c r="AI169" i="2"/>
  <c r="BB27" i="7"/>
  <c r="BA161" i="2"/>
  <c r="BB211" i="2"/>
  <c r="AZ169" i="2"/>
  <c r="AY211" i="2"/>
  <c r="AY209" i="2"/>
  <c r="AZ23" i="7"/>
  <c r="AZ161" i="2"/>
  <c r="AH25" i="7"/>
  <c r="AH200" i="2"/>
  <c r="AL27" i="7"/>
  <c r="AL211" i="2"/>
  <c r="O1" i="3"/>
  <c r="O504" i="2"/>
  <c r="O531" i="2" s="1"/>
  <c r="O530" i="2"/>
  <c r="P4" i="2"/>
  <c r="O3" i="2"/>
  <c r="O3" i="7" s="1"/>
  <c r="O4" i="7"/>
  <c r="AJ27" i="7"/>
  <c r="AJ211" i="2"/>
  <c r="AI27" i="7"/>
  <c r="AI211" i="2"/>
  <c r="BB24" i="7"/>
  <c r="BB169" i="2"/>
  <c r="AH22" i="7"/>
  <c r="AH93" i="2"/>
  <c r="AL26" i="7"/>
  <c r="AL209" i="2"/>
  <c r="BA25" i="7"/>
  <c r="BA200" i="2"/>
  <c r="AJ23" i="7"/>
  <c r="AJ161" i="2"/>
  <c r="AH23" i="7"/>
  <c r="AH161" i="2"/>
  <c r="AL23" i="7"/>
  <c r="AL161" i="2"/>
  <c r="AT510" i="2"/>
  <c r="AT522" i="2"/>
  <c r="AT520" i="2" s="1"/>
  <c r="AT515" i="2"/>
  <c r="AT513" i="2" s="1"/>
  <c r="AT257" i="2" s="1"/>
  <c r="AT517" i="2"/>
  <c r="AT524" i="2"/>
  <c r="AT508" i="2"/>
  <c r="AT506" i="2" s="1"/>
  <c r="AT256" i="2" s="1"/>
  <c r="BA24" i="7"/>
  <c r="BA169" i="2"/>
  <c r="AJ25" i="7"/>
  <c r="AJ200" i="2"/>
  <c r="AH24" i="7"/>
  <c r="AH169" i="2"/>
  <c r="AL25" i="7"/>
  <c r="AL200" i="2"/>
  <c r="AT529" i="2"/>
  <c r="AT527" i="2" s="1"/>
  <c r="AT259" i="2" s="1"/>
  <c r="BA26" i="7"/>
  <c r="BA209" i="2"/>
  <c r="AJ26" i="7"/>
  <c r="AJ209" i="2"/>
  <c r="BB25" i="7"/>
  <c r="BB200" i="2"/>
  <c r="BA27" i="7"/>
  <c r="BA211" i="2"/>
  <c r="AJ24" i="7"/>
  <c r="AJ169" i="2"/>
  <c r="AZ22" i="7"/>
  <c r="AZ93" i="2"/>
  <c r="AY22" i="7"/>
  <c r="AY93" i="2"/>
  <c r="AY61" i="3"/>
  <c r="AI26" i="7"/>
  <c r="AI209" i="2"/>
  <c r="AY24" i="7"/>
  <c r="AY169" i="2"/>
  <c r="AY98" i="2" s="1"/>
  <c r="AI22" i="7"/>
  <c r="AI93" i="2"/>
  <c r="BB23" i="7"/>
  <c r="BB161" i="2"/>
  <c r="AV322" i="2"/>
  <c r="AV323" i="2" s="1"/>
  <c r="V323" i="2"/>
  <c r="V456" i="2" s="1"/>
  <c r="AZ26" i="7"/>
  <c r="AZ209" i="2"/>
  <c r="BA22" i="7"/>
  <c r="BA93" i="2"/>
  <c r="AJ22" i="7"/>
  <c r="AJ93" i="2"/>
  <c r="AI98" i="2" l="1"/>
  <c r="AH98" i="2"/>
  <c r="BA98" i="2"/>
  <c r="AJ98" i="2"/>
  <c r="W322" i="2"/>
  <c r="AV456" i="2"/>
  <c r="O529" i="2"/>
  <c r="O527" i="2" s="1"/>
  <c r="O259" i="2" s="1"/>
  <c r="AZ98" i="2"/>
  <c r="BB98" i="2"/>
  <c r="P530" i="2"/>
  <c r="P1" i="3"/>
  <c r="P504" i="2"/>
  <c r="P529" i="2" s="1"/>
  <c r="P527" i="2" s="1"/>
  <c r="P259" i="2" s="1"/>
  <c r="Q4" i="2"/>
  <c r="P4" i="7"/>
  <c r="P3" i="2"/>
  <c r="P3" i="7" s="1"/>
  <c r="AT258" i="2"/>
  <c r="AT260" i="2" s="1"/>
  <c r="AT246" i="2" s="1"/>
  <c r="AT4" i="3"/>
  <c r="AL98" i="2"/>
  <c r="O517" i="2"/>
  <c r="O515" i="2"/>
  <c r="O513" i="2" s="1"/>
  <c r="O257" i="2" s="1"/>
  <c r="O524" i="2"/>
  <c r="O522" i="2"/>
  <c r="O520" i="2" s="1"/>
  <c r="O510" i="2"/>
  <c r="O508" i="2"/>
  <c r="O506" i="2" s="1"/>
  <c r="O256" i="2" s="1"/>
  <c r="Q1" i="3" l="1"/>
  <c r="Q530" i="2"/>
  <c r="Q4" i="7"/>
  <c r="R4" i="2"/>
  <c r="Q3" i="2"/>
  <c r="Q3" i="7" s="1"/>
  <c r="AT252" i="2"/>
  <c r="AT250" i="2"/>
  <c r="AT11" i="7" s="1"/>
  <c r="AT247" i="2"/>
  <c r="O258" i="2"/>
  <c r="O260" i="2" s="1"/>
  <c r="O246" i="2" s="1"/>
  <c r="O247" i="2" s="1"/>
  <c r="O248" i="2" s="1"/>
  <c r="O4" i="3"/>
  <c r="O6" i="3" s="1"/>
  <c r="O11" i="3" s="1"/>
  <c r="AT107" i="3"/>
  <c r="AT109" i="3"/>
  <c r="AT6" i="3"/>
  <c r="P508" i="2"/>
  <c r="P506" i="2" s="1"/>
  <c r="P256" i="2" s="1"/>
  <c r="P522" i="2"/>
  <c r="P520" i="2" s="1"/>
  <c r="P517" i="2"/>
  <c r="P524" i="2"/>
  <c r="P515" i="2"/>
  <c r="P513" i="2" s="1"/>
  <c r="P257" i="2" s="1"/>
  <c r="P510" i="2"/>
  <c r="P531" i="2"/>
  <c r="X322" i="2"/>
  <c r="W323" i="2"/>
  <c r="W456" i="2" s="1"/>
  <c r="AT248" i="2" l="1"/>
  <c r="AT253" i="2"/>
  <c r="Y322" i="2"/>
  <c r="X323" i="2"/>
  <c r="X456" i="2" s="1"/>
  <c r="AT11" i="3"/>
  <c r="AT110" i="3"/>
  <c r="R1" i="3"/>
  <c r="R530" i="2"/>
  <c r="R3" i="2"/>
  <c r="R3" i="7" s="1"/>
  <c r="R4" i="7"/>
  <c r="AU4" i="2"/>
  <c r="Q504" i="2"/>
  <c r="P258" i="2"/>
  <c r="P260" i="2" s="1"/>
  <c r="P246" i="2" s="1"/>
  <c r="P247" i="2" s="1"/>
  <c r="P248" i="2" s="1"/>
  <c r="P4" i="3"/>
  <c r="P6" i="3" s="1"/>
  <c r="P11" i="3" s="1"/>
  <c r="Q517" i="2" l="1"/>
  <c r="Q515" i="2"/>
  <c r="Q513" i="2" s="1"/>
  <c r="Q257" i="2" s="1"/>
  <c r="Q522" i="2"/>
  <c r="Q520" i="2" s="1"/>
  <c r="Q524" i="2"/>
  <c r="Q510" i="2"/>
  <c r="Q508" i="2"/>
  <c r="Q506" i="2" s="1"/>
  <c r="Q256" i="2" s="1"/>
  <c r="Q529" i="2"/>
  <c r="Q527" i="2" s="1"/>
  <c r="Q259" i="2" s="1"/>
  <c r="Q531" i="2"/>
  <c r="AU530" i="2"/>
  <c r="AU1" i="3"/>
  <c r="AU3" i="2"/>
  <c r="S4" i="2"/>
  <c r="AU4" i="7"/>
  <c r="AT108" i="3"/>
  <c r="AT111" i="3"/>
  <c r="R504" i="2"/>
  <c r="Z322" i="2"/>
  <c r="Y323" i="2"/>
  <c r="Y456" i="2" s="1"/>
  <c r="AT251" i="2"/>
  <c r="AT10" i="7" s="1"/>
  <c r="AT254" i="2"/>
  <c r="S530" i="2" l="1"/>
  <c r="S1" i="3"/>
  <c r="T4" i="2"/>
  <c r="S4" i="7"/>
  <c r="S3" i="2"/>
  <c r="S3" i="7" s="1"/>
  <c r="AU3" i="7"/>
  <c r="P235" i="2"/>
  <c r="P59" i="7" s="1"/>
  <c r="R235" i="2"/>
  <c r="R59" i="7" s="1"/>
  <c r="Q235" i="2"/>
  <c r="Q59" i="7" s="1"/>
  <c r="O235" i="2"/>
  <c r="O59" i="7" s="1"/>
  <c r="AU504" i="2"/>
  <c r="AW322" i="2"/>
  <c r="AW323" i="2" s="1"/>
  <c r="Z323" i="2"/>
  <c r="Z456" i="2" s="1"/>
  <c r="Q258" i="2"/>
  <c r="Q260" i="2" s="1"/>
  <c r="Q246" i="2" s="1"/>
  <c r="Q247" i="2" s="1"/>
  <c r="Q248" i="2" s="1"/>
  <c r="Q4" i="3"/>
  <c r="Q6" i="3" s="1"/>
  <c r="Q11" i="3" s="1"/>
  <c r="R524" i="2"/>
  <c r="R522" i="2"/>
  <c r="R520" i="2" s="1"/>
  <c r="R517" i="2"/>
  <c r="R515" i="2"/>
  <c r="R513" i="2" s="1"/>
  <c r="R257" i="2" s="1"/>
  <c r="R510" i="2"/>
  <c r="R508" i="2"/>
  <c r="R506" i="2" s="1"/>
  <c r="R256" i="2" s="1"/>
  <c r="R529" i="2"/>
  <c r="R527" i="2" s="1"/>
  <c r="R259" i="2" s="1"/>
  <c r="R531" i="2"/>
  <c r="AA322" i="2" l="1"/>
  <c r="AW456" i="2"/>
  <c r="AU510" i="2"/>
  <c r="AU524" i="2"/>
  <c r="AU522" i="2"/>
  <c r="AU520" i="2" s="1"/>
  <c r="AU515" i="2"/>
  <c r="AU513" i="2" s="1"/>
  <c r="AU257" i="2" s="1"/>
  <c r="AU517" i="2"/>
  <c r="AU508" i="2"/>
  <c r="AU506" i="2" s="1"/>
  <c r="AU256" i="2" s="1"/>
  <c r="AU531" i="2"/>
  <c r="AU529" i="2"/>
  <c r="AU527" i="2" s="1"/>
  <c r="AU259" i="2" s="1"/>
  <c r="T1" i="3"/>
  <c r="T530" i="2"/>
  <c r="T3" i="2"/>
  <c r="T3" i="7" s="1"/>
  <c r="U4" i="2"/>
  <c r="T4" i="7"/>
  <c r="R258" i="2"/>
  <c r="R260" i="2" s="1"/>
  <c r="R246" i="2" s="1"/>
  <c r="R247" i="2" s="1"/>
  <c r="R248" i="2" s="1"/>
  <c r="R4" i="3"/>
  <c r="R6" i="3" s="1"/>
  <c r="R11" i="3" s="1"/>
  <c r="S504" i="2"/>
  <c r="S517" i="2" l="1"/>
  <c r="S522" i="2"/>
  <c r="S520" i="2" s="1"/>
  <c r="S524" i="2"/>
  <c r="S515" i="2"/>
  <c r="S513" i="2" s="1"/>
  <c r="S257" i="2" s="1"/>
  <c r="S510" i="2"/>
  <c r="S508" i="2"/>
  <c r="S506" i="2" s="1"/>
  <c r="S256" i="2" s="1"/>
  <c r="S531" i="2"/>
  <c r="S529" i="2"/>
  <c r="S527" i="2" s="1"/>
  <c r="S259" i="2" s="1"/>
  <c r="T504" i="2"/>
  <c r="AU258" i="2"/>
  <c r="AU260" i="2" s="1"/>
  <c r="AU246" i="2" s="1"/>
  <c r="AU4" i="3"/>
  <c r="U1" i="3"/>
  <c r="U530" i="2"/>
  <c r="V4" i="2"/>
  <c r="U3" i="2"/>
  <c r="U3" i="7" s="1"/>
  <c r="U4" i="7"/>
  <c r="AB322" i="2"/>
  <c r="AA323" i="2"/>
  <c r="AA456" i="2" s="1"/>
  <c r="V530" i="2" l="1"/>
  <c r="V1" i="3"/>
  <c r="AV4" i="2"/>
  <c r="V3" i="2"/>
  <c r="V3" i="7" s="1"/>
  <c r="V4" i="7"/>
  <c r="U504" i="2"/>
  <c r="AC322" i="2"/>
  <c r="AB323" i="2"/>
  <c r="AB456" i="2" s="1"/>
  <c r="AU107" i="3"/>
  <c r="AU109" i="3"/>
  <c r="AU6" i="3"/>
  <c r="S258" i="2"/>
  <c r="S260" i="2" s="1"/>
  <c r="S246" i="2" s="1"/>
  <c r="S247" i="2" s="1"/>
  <c r="S248" i="2" s="1"/>
  <c r="S4" i="3"/>
  <c r="S6" i="3" s="1"/>
  <c r="S11" i="3" s="1"/>
  <c r="AU252" i="2"/>
  <c r="AU250" i="2"/>
  <c r="AU11" i="7" s="1"/>
  <c r="AU247" i="2"/>
  <c r="T524" i="2"/>
  <c r="T522" i="2"/>
  <c r="T520" i="2" s="1"/>
  <c r="T510" i="2"/>
  <c r="T508" i="2"/>
  <c r="T506" i="2" s="1"/>
  <c r="T256" i="2" s="1"/>
  <c r="T517" i="2"/>
  <c r="T515" i="2"/>
  <c r="T513" i="2" s="1"/>
  <c r="T257" i="2" s="1"/>
  <c r="T531" i="2"/>
  <c r="T529" i="2"/>
  <c r="T527" i="2" s="1"/>
  <c r="T259" i="2" s="1"/>
  <c r="AU11" i="3" l="1"/>
  <c r="AU110" i="3"/>
  <c r="AV1" i="3"/>
  <c r="AV531" i="2"/>
  <c r="AV530" i="2"/>
  <c r="AV504" i="2"/>
  <c r="W4" i="2"/>
  <c r="AV4" i="7"/>
  <c r="AV3" i="2"/>
  <c r="T258" i="2"/>
  <c r="T260" i="2" s="1"/>
  <c r="T246" i="2" s="1"/>
  <c r="T247" i="2" s="1"/>
  <c r="T248" i="2" s="1"/>
  <c r="T4" i="3"/>
  <c r="T6" i="3" s="1"/>
  <c r="T11" i="3" s="1"/>
  <c r="V504" i="2"/>
  <c r="AU248" i="2"/>
  <c r="AU253" i="2"/>
  <c r="AD322" i="2"/>
  <c r="AC323" i="2"/>
  <c r="AC456" i="2" s="1"/>
  <c r="U517" i="2"/>
  <c r="U524" i="2"/>
  <c r="U515" i="2"/>
  <c r="U513" i="2" s="1"/>
  <c r="U257" i="2" s="1"/>
  <c r="U510" i="2"/>
  <c r="U508" i="2"/>
  <c r="U506" i="2" s="1"/>
  <c r="U256" i="2" s="1"/>
  <c r="U522" i="2"/>
  <c r="U520" i="2" s="1"/>
  <c r="U529" i="2"/>
  <c r="U527" i="2" s="1"/>
  <c r="U259" i="2" s="1"/>
  <c r="U531" i="2"/>
  <c r="AX322" i="2" l="1"/>
  <c r="AX323" i="2" s="1"/>
  <c r="AD323" i="2"/>
  <c r="AD456" i="2" s="1"/>
  <c r="W1" i="3"/>
  <c r="W531" i="2"/>
  <c r="W529" i="2"/>
  <c r="W527" i="2" s="1"/>
  <c r="W259" i="2" s="1"/>
  <c r="W530" i="2"/>
  <c r="W504" i="2"/>
  <c r="X4" i="2"/>
  <c r="W3" i="2"/>
  <c r="W3" i="7" s="1"/>
  <c r="W4" i="7"/>
  <c r="AU251" i="2"/>
  <c r="AU10" i="7" s="1"/>
  <c r="AU254" i="2"/>
  <c r="U258" i="2"/>
  <c r="U260" i="2" s="1"/>
  <c r="U246" i="2" s="1"/>
  <c r="U247" i="2" s="1"/>
  <c r="U248" i="2" s="1"/>
  <c r="U4" i="3"/>
  <c r="U6" i="3" s="1"/>
  <c r="U11" i="3" s="1"/>
  <c r="AV517" i="2"/>
  <c r="AV515" i="2"/>
  <c r="AV513" i="2" s="1"/>
  <c r="AV257" i="2" s="1"/>
  <c r="AV524" i="2"/>
  <c r="AV522" i="2"/>
  <c r="AV520" i="2" s="1"/>
  <c r="AV510" i="2"/>
  <c r="AV508" i="2"/>
  <c r="AV506" i="2" s="1"/>
  <c r="AV256" i="2" s="1"/>
  <c r="V510" i="2"/>
  <c r="V524" i="2"/>
  <c r="V522" i="2"/>
  <c r="V520" i="2" s="1"/>
  <c r="V515" i="2"/>
  <c r="V513" i="2" s="1"/>
  <c r="V257" i="2" s="1"/>
  <c r="V508" i="2"/>
  <c r="V506" i="2" s="1"/>
  <c r="V256" i="2" s="1"/>
  <c r="V517" i="2"/>
  <c r="V531" i="2"/>
  <c r="V529" i="2"/>
  <c r="V527" i="2" s="1"/>
  <c r="V259" i="2" s="1"/>
  <c r="AV529" i="2"/>
  <c r="AV527" i="2" s="1"/>
  <c r="AV259" i="2" s="1"/>
  <c r="AV3" i="7"/>
  <c r="T235" i="2"/>
  <c r="T59" i="7" s="1"/>
  <c r="U235" i="2"/>
  <c r="U59" i="7" s="1"/>
  <c r="V235" i="2"/>
  <c r="V59" i="7" s="1"/>
  <c r="S235" i="2"/>
  <c r="S59" i="7" s="1"/>
  <c r="AU108" i="3"/>
  <c r="AU111" i="3"/>
  <c r="X530" i="2" l="1"/>
  <c r="X1" i="3"/>
  <c r="X531" i="2"/>
  <c r="X529" i="2"/>
  <c r="X527" i="2" s="1"/>
  <c r="X259" i="2" s="1"/>
  <c r="X504" i="2"/>
  <c r="Y4" i="2"/>
  <c r="X3" i="2"/>
  <c r="X3" i="7" s="1"/>
  <c r="X4" i="7"/>
  <c r="V258" i="2"/>
  <c r="V260" i="2" s="1"/>
  <c r="V246" i="2" s="1"/>
  <c r="V247" i="2" s="1"/>
  <c r="V248" i="2" s="1"/>
  <c r="V4" i="3"/>
  <c r="V6" i="3" s="1"/>
  <c r="V11" i="3" s="1"/>
  <c r="W517" i="2"/>
  <c r="W515" i="2"/>
  <c r="W513" i="2" s="1"/>
  <c r="W257" i="2" s="1"/>
  <c r="W524" i="2"/>
  <c r="W522" i="2"/>
  <c r="W520" i="2" s="1"/>
  <c r="W510" i="2"/>
  <c r="W508" i="2"/>
  <c r="W506" i="2" s="1"/>
  <c r="W256" i="2" s="1"/>
  <c r="AV258" i="2"/>
  <c r="AV260" i="2" s="1"/>
  <c r="AV246" i="2" s="1"/>
  <c r="AV4" i="3"/>
  <c r="AE322" i="2"/>
  <c r="AX456" i="2"/>
  <c r="AV109" i="3" l="1"/>
  <c r="AV107" i="3"/>
  <c r="AV6" i="3"/>
  <c r="W258" i="2"/>
  <c r="W260" i="2" s="1"/>
  <c r="W246" i="2" s="1"/>
  <c r="W247" i="2" s="1"/>
  <c r="W248" i="2" s="1"/>
  <c r="W4" i="3"/>
  <c r="W6" i="3" s="1"/>
  <c r="W11" i="3" s="1"/>
  <c r="Y1" i="3"/>
  <c r="Y530" i="2"/>
  <c r="Z4" i="2"/>
  <c r="Y3" i="2"/>
  <c r="Y3" i="7" s="1"/>
  <c r="Y4" i="7"/>
  <c r="X524" i="2"/>
  <c r="X515" i="2"/>
  <c r="X513" i="2" s="1"/>
  <c r="X257" i="2" s="1"/>
  <c r="X510" i="2"/>
  <c r="X508" i="2"/>
  <c r="X506" i="2" s="1"/>
  <c r="X256" i="2" s="1"/>
  <c r="X522" i="2"/>
  <c r="X520" i="2" s="1"/>
  <c r="X517" i="2"/>
  <c r="AF322" i="2"/>
  <c r="AF320" i="2" s="1"/>
  <c r="AE323" i="2"/>
  <c r="AE456" i="2" s="1"/>
  <c r="AV252" i="2"/>
  <c r="AV250" i="2"/>
  <c r="AV11" i="7" s="1"/>
  <c r="AV247" i="2"/>
  <c r="AV248" i="2" l="1"/>
  <c r="AV253" i="2"/>
  <c r="Z1" i="3"/>
  <c r="Z530" i="2"/>
  <c r="AW4" i="2"/>
  <c r="Z3" i="2"/>
  <c r="Z3" i="7" s="1"/>
  <c r="Z4" i="7"/>
  <c r="AV11" i="3"/>
  <c r="AV110" i="3"/>
  <c r="X258" i="2"/>
  <c r="X260" i="2" s="1"/>
  <c r="X246" i="2" s="1"/>
  <c r="X247" i="2" s="1"/>
  <c r="X248" i="2" s="1"/>
  <c r="X4" i="3"/>
  <c r="X6" i="3" s="1"/>
  <c r="X11" i="3" s="1"/>
  <c r="Y504" i="2"/>
  <c r="AW530" i="2" l="1"/>
  <c r="AW1" i="3"/>
  <c r="AW529" i="2"/>
  <c r="AW527" i="2" s="1"/>
  <c r="AW259" i="2" s="1"/>
  <c r="AW531" i="2"/>
  <c r="AW504" i="2"/>
  <c r="AA4" i="2"/>
  <c r="AW3" i="2"/>
  <c r="AW4" i="7"/>
  <c r="Z504" i="2"/>
  <c r="Y517" i="2"/>
  <c r="Y515" i="2"/>
  <c r="Y513" i="2" s="1"/>
  <c r="Y257" i="2" s="1"/>
  <c r="Y510" i="2"/>
  <c r="Y508" i="2"/>
  <c r="Y506" i="2" s="1"/>
  <c r="Y256" i="2" s="1"/>
  <c r="Y522" i="2"/>
  <c r="Y520" i="2" s="1"/>
  <c r="Y524" i="2"/>
  <c r="Y529" i="2"/>
  <c r="Y527" i="2" s="1"/>
  <c r="Y259" i="2" s="1"/>
  <c r="Y531" i="2"/>
  <c r="AV108" i="3"/>
  <c r="AV111" i="3"/>
  <c r="AV251" i="2"/>
  <c r="AV10" i="7" s="1"/>
  <c r="AV254" i="2"/>
  <c r="AW3" i="7" l="1"/>
  <c r="Y235" i="2"/>
  <c r="Y59" i="7" s="1"/>
  <c r="Z235" i="2"/>
  <c r="Z59" i="7" s="1"/>
  <c r="W235" i="2"/>
  <c r="W59" i="7" s="1"/>
  <c r="X235" i="2"/>
  <c r="X59" i="7" s="1"/>
  <c r="Y258" i="2"/>
  <c r="Y260" i="2" s="1"/>
  <c r="Y246" i="2" s="1"/>
  <c r="Y247" i="2" s="1"/>
  <c r="Y248" i="2" s="1"/>
  <c r="Y4" i="3"/>
  <c r="Y6" i="3" s="1"/>
  <c r="Y11" i="3" s="1"/>
  <c r="AA530" i="2"/>
  <c r="AA1" i="3"/>
  <c r="AB4" i="2"/>
  <c r="AA3" i="2"/>
  <c r="AA3" i="7" s="1"/>
  <c r="AA4" i="7"/>
  <c r="AW515" i="2"/>
  <c r="AW513" i="2" s="1"/>
  <c r="AW257" i="2" s="1"/>
  <c r="AW522" i="2"/>
  <c r="AW520" i="2" s="1"/>
  <c r="AW517" i="2"/>
  <c r="AW524" i="2"/>
  <c r="AW508" i="2"/>
  <c r="AW506" i="2" s="1"/>
  <c r="AW256" i="2" s="1"/>
  <c r="AW510" i="2"/>
  <c r="Z524" i="2"/>
  <c r="Z522" i="2"/>
  <c r="Z520" i="2" s="1"/>
  <c r="Z517" i="2"/>
  <c r="Z515" i="2"/>
  <c r="Z513" i="2" s="1"/>
  <c r="Z257" i="2" s="1"/>
  <c r="Z508" i="2"/>
  <c r="Z506" i="2" s="1"/>
  <c r="Z256" i="2" s="1"/>
  <c r="Z510" i="2"/>
  <c r="Z531" i="2"/>
  <c r="Z529" i="2"/>
  <c r="Z527" i="2" s="1"/>
  <c r="Z259" i="2" s="1"/>
  <c r="Z258" i="2" l="1"/>
  <c r="Z260" i="2" s="1"/>
  <c r="Z246" i="2" s="1"/>
  <c r="Z247" i="2" s="1"/>
  <c r="Z248" i="2" s="1"/>
  <c r="Z4" i="3"/>
  <c r="Z6" i="3" s="1"/>
  <c r="Z11" i="3" s="1"/>
  <c r="AB1" i="3"/>
  <c r="AB530" i="2"/>
  <c r="AB3" i="2"/>
  <c r="AB3" i="7" s="1"/>
  <c r="AC4" i="2"/>
  <c r="AB4" i="7"/>
  <c r="AA504" i="2"/>
  <c r="AW258" i="2"/>
  <c r="AW260" i="2" s="1"/>
  <c r="AW246" i="2" s="1"/>
  <c r="AW4" i="3"/>
  <c r="AB504" i="2" l="1"/>
  <c r="AW252" i="2"/>
  <c r="AW250" i="2"/>
  <c r="AW11" i="7" s="1"/>
  <c r="AW247" i="2"/>
  <c r="AW109" i="3"/>
  <c r="AW107" i="3"/>
  <c r="AW6" i="3"/>
  <c r="AA517" i="2"/>
  <c r="AA522" i="2"/>
  <c r="AA520" i="2" s="1"/>
  <c r="AA524" i="2"/>
  <c r="AA515" i="2"/>
  <c r="AA513" i="2" s="1"/>
  <c r="AA257" i="2" s="1"/>
  <c r="AA510" i="2"/>
  <c r="AA508" i="2"/>
  <c r="AA506" i="2" s="1"/>
  <c r="AA256" i="2" s="1"/>
  <c r="AA529" i="2"/>
  <c r="AA527" i="2" s="1"/>
  <c r="AA259" i="2" s="1"/>
  <c r="AA531" i="2"/>
  <c r="AC1" i="3"/>
  <c r="AC530" i="2"/>
  <c r="AD4" i="2"/>
  <c r="AC3" i="2"/>
  <c r="AC3" i="7" s="1"/>
  <c r="AC4" i="7"/>
  <c r="AW11" i="3" l="1"/>
  <c r="AW110" i="3"/>
  <c r="AD530" i="2"/>
  <c r="AD1" i="3"/>
  <c r="AD531" i="2"/>
  <c r="AD529" i="2"/>
  <c r="AD527" i="2" s="1"/>
  <c r="AD259" i="2" s="1"/>
  <c r="AD504" i="2"/>
  <c r="AX4" i="2"/>
  <c r="AD3" i="2"/>
  <c r="AD3" i="7" s="1"/>
  <c r="AD4" i="7"/>
  <c r="AW248" i="2"/>
  <c r="AW253" i="2"/>
  <c r="AC504" i="2"/>
  <c r="AA258" i="2"/>
  <c r="AA260" i="2" s="1"/>
  <c r="AA246" i="2" s="1"/>
  <c r="AA247" i="2" s="1"/>
  <c r="AA248" i="2" s="1"/>
  <c r="AA4" i="3"/>
  <c r="AA6" i="3" s="1"/>
  <c r="AA11" i="3" s="1"/>
  <c r="AB524" i="2"/>
  <c r="AB522" i="2"/>
  <c r="AB520" i="2" s="1"/>
  <c r="AB510" i="2"/>
  <c r="AB508" i="2"/>
  <c r="AB506" i="2" s="1"/>
  <c r="AB256" i="2" s="1"/>
  <c r="AB517" i="2"/>
  <c r="AB515" i="2"/>
  <c r="AB513" i="2" s="1"/>
  <c r="AB257" i="2" s="1"/>
  <c r="AB531" i="2"/>
  <c r="AB529" i="2"/>
  <c r="AB527" i="2" s="1"/>
  <c r="AB259" i="2" s="1"/>
  <c r="AD510" i="2" l="1"/>
  <c r="AD524" i="2"/>
  <c r="AD522" i="2"/>
  <c r="AD520" i="2" s="1"/>
  <c r="AD517" i="2"/>
  <c r="AD515" i="2"/>
  <c r="AD513" i="2" s="1"/>
  <c r="AD257" i="2" s="1"/>
  <c r="AD508" i="2"/>
  <c r="AD506" i="2" s="1"/>
  <c r="AD256" i="2" s="1"/>
  <c r="AX1" i="3"/>
  <c r="AX530" i="2"/>
  <c r="AE4" i="2"/>
  <c r="AX3" i="2"/>
  <c r="AX4" i="7"/>
  <c r="AC522" i="2"/>
  <c r="AC520" i="2" s="1"/>
  <c r="AC517" i="2"/>
  <c r="AC524" i="2"/>
  <c r="AC515" i="2"/>
  <c r="AC513" i="2" s="1"/>
  <c r="AC257" i="2" s="1"/>
  <c r="AC510" i="2"/>
  <c r="AC508" i="2"/>
  <c r="AC506" i="2" s="1"/>
  <c r="AC256" i="2" s="1"/>
  <c r="AC529" i="2"/>
  <c r="AC527" i="2" s="1"/>
  <c r="AC259" i="2" s="1"/>
  <c r="AC531" i="2"/>
  <c r="AW251" i="2"/>
  <c r="AW10" i="7" s="1"/>
  <c r="AW254" i="2"/>
  <c r="AB258" i="2"/>
  <c r="AB260" i="2" s="1"/>
  <c r="AB246" i="2" s="1"/>
  <c r="AB247" i="2" s="1"/>
  <c r="AB248" i="2" s="1"/>
  <c r="AB4" i="3"/>
  <c r="AB6" i="3" s="1"/>
  <c r="AB11" i="3" s="1"/>
  <c r="AW108" i="3"/>
  <c r="AW111" i="3"/>
  <c r="AC258" i="2" l="1"/>
  <c r="AC260" i="2" s="1"/>
  <c r="AC246" i="2" s="1"/>
  <c r="AC247" i="2" s="1"/>
  <c r="AC248" i="2" s="1"/>
  <c r="AC4" i="3"/>
  <c r="AC6" i="3" s="1"/>
  <c r="AC11" i="3" s="1"/>
  <c r="AE1" i="3"/>
  <c r="AE530" i="2"/>
  <c r="AF4" i="2"/>
  <c r="AE4" i="7"/>
  <c r="AE3" i="2"/>
  <c r="AE3" i="7" s="1"/>
  <c r="AD258" i="2"/>
  <c r="AD260" i="2" s="1"/>
  <c r="AD246" i="2" s="1"/>
  <c r="AD247" i="2" s="1"/>
  <c r="AD248" i="2" s="1"/>
  <c r="AD4" i="3"/>
  <c r="AD6" i="3" s="1"/>
  <c r="AD11" i="3" s="1"/>
  <c r="AX3" i="7"/>
  <c r="AC235" i="2"/>
  <c r="AC59" i="7" s="1"/>
  <c r="AB235" i="2"/>
  <c r="AB59" i="7" s="1"/>
  <c r="AD235" i="2"/>
  <c r="AD59" i="7" s="1"/>
  <c r="AA235" i="2"/>
  <c r="AA59" i="7" s="1"/>
  <c r="AX504" i="2"/>
  <c r="AF530" i="2" l="1"/>
  <c r="AF1" i="3"/>
  <c r="AG4" i="2"/>
  <c r="AF4" i="7"/>
  <c r="AF3" i="2"/>
  <c r="AF3" i="7" s="1"/>
  <c r="AE504" i="2"/>
  <c r="AX517" i="2"/>
  <c r="AX515" i="2"/>
  <c r="AX513" i="2" s="1"/>
  <c r="AX257" i="2" s="1"/>
  <c r="AX522" i="2"/>
  <c r="AX520" i="2" s="1"/>
  <c r="AX524" i="2"/>
  <c r="AX508" i="2"/>
  <c r="AX506" i="2" s="1"/>
  <c r="AX256" i="2" s="1"/>
  <c r="AX510" i="2"/>
  <c r="AX531" i="2"/>
  <c r="AX529" i="2"/>
  <c r="AX527" i="2" s="1"/>
  <c r="AX259" i="2" s="1"/>
  <c r="AG1" i="3" l="1"/>
  <c r="AG529" i="2"/>
  <c r="AG527" i="2" s="1"/>
  <c r="AG259" i="2" s="1"/>
  <c r="AG531" i="2"/>
  <c r="AG530" i="2"/>
  <c r="AH4" i="2"/>
  <c r="AG4" i="7"/>
  <c r="AG3" i="2"/>
  <c r="AG504" i="2" s="1"/>
  <c r="AF504" i="2"/>
  <c r="AX258" i="2"/>
  <c r="AX260" i="2" s="1"/>
  <c r="AX246" i="2" s="1"/>
  <c r="AX4" i="3"/>
  <c r="AE517" i="2"/>
  <c r="AE515" i="2"/>
  <c r="AE513" i="2" s="1"/>
  <c r="AE257" i="2" s="1"/>
  <c r="AE524" i="2"/>
  <c r="AE522" i="2"/>
  <c r="AE520" i="2" s="1"/>
  <c r="AE508" i="2"/>
  <c r="AE506" i="2" s="1"/>
  <c r="AE256" i="2" s="1"/>
  <c r="AE510" i="2"/>
  <c r="AE531" i="2"/>
  <c r="AE529" i="2"/>
  <c r="AE527" i="2" s="1"/>
  <c r="AE259" i="2" s="1"/>
  <c r="AG517" i="2" l="1"/>
  <c r="AG515" i="2"/>
  <c r="AG513" i="2" s="1"/>
  <c r="AG522" i="2"/>
  <c r="AG520" i="2" s="1"/>
  <c r="AG508" i="2"/>
  <c r="AG506" i="2" s="1"/>
  <c r="AG510" i="2"/>
  <c r="AG524" i="2"/>
  <c r="AE258" i="2"/>
  <c r="AE260" i="2" s="1"/>
  <c r="AE246" i="2" s="1"/>
  <c r="AE247" i="2" s="1"/>
  <c r="AE248" i="2" s="1"/>
  <c r="AE4" i="3"/>
  <c r="AE6" i="3" s="1"/>
  <c r="AE11" i="3" s="1"/>
  <c r="AH1" i="3"/>
  <c r="AH531" i="2"/>
  <c r="AH529" i="2"/>
  <c r="AH527" i="2" s="1"/>
  <c r="AH259" i="2" s="1"/>
  <c r="AH246" i="2" s="1"/>
  <c r="AH530" i="2"/>
  <c r="AH3" i="2"/>
  <c r="AY4" i="2"/>
  <c r="AH4" i="7"/>
  <c r="AG3" i="7"/>
  <c r="AX107" i="3"/>
  <c r="AX109" i="3"/>
  <c r="AX6" i="3"/>
  <c r="AG202" i="2"/>
  <c r="AG204" i="2"/>
  <c r="AG203" i="2"/>
  <c r="AG246" i="2"/>
  <c r="AX252" i="2"/>
  <c r="AX250" i="2"/>
  <c r="AX11" i="7" s="1"/>
  <c r="AX247" i="2"/>
  <c r="AF522" i="2"/>
  <c r="AF520" i="2" s="1"/>
  <c r="AF517" i="2"/>
  <c r="AF508" i="2"/>
  <c r="AF506" i="2" s="1"/>
  <c r="AF256" i="2" s="1"/>
  <c r="AF515" i="2"/>
  <c r="AF513" i="2" s="1"/>
  <c r="AF257" i="2" s="1"/>
  <c r="AF510" i="2"/>
  <c r="AF524" i="2"/>
  <c r="AF529" i="2"/>
  <c r="AF527" i="2" s="1"/>
  <c r="AF259" i="2" s="1"/>
  <c r="AF531" i="2"/>
  <c r="AG5" i="3" l="1"/>
  <c r="AG247" i="2"/>
  <c r="AH204" i="2"/>
  <c r="AY204" i="2" s="1"/>
  <c r="AG214" i="2"/>
  <c r="AH202" i="2"/>
  <c r="AY1" i="3"/>
  <c r="AY531" i="2"/>
  <c r="AY529" i="2"/>
  <c r="AY527" i="2" s="1"/>
  <c r="AY259" i="2" s="1"/>
  <c r="AY246" i="2" s="1"/>
  <c r="AY530" i="2"/>
  <c r="AY3" i="2"/>
  <c r="AY4" i="7"/>
  <c r="AI4" i="2"/>
  <c r="AF258" i="2"/>
  <c r="AF260" i="2" s="1"/>
  <c r="AF246" i="2" s="1"/>
  <c r="AF247" i="2" s="1"/>
  <c r="AF248" i="2" s="1"/>
  <c r="AF4" i="3"/>
  <c r="AF6" i="3" s="1"/>
  <c r="AF11" i="3" s="1"/>
  <c r="AX11" i="3"/>
  <c r="AX110" i="3"/>
  <c r="AH3" i="7"/>
  <c r="AX248" i="2"/>
  <c r="AX253" i="2"/>
  <c r="AH504" i="2"/>
  <c r="AH203" i="2"/>
  <c r="AX108" i="3" l="1"/>
  <c r="AX111" i="3"/>
  <c r="AG100" i="3"/>
  <c r="AG6" i="3"/>
  <c r="AG101" i="3"/>
  <c r="AI530" i="2"/>
  <c r="AI531" i="2"/>
  <c r="AI1" i="3"/>
  <c r="AI529" i="2"/>
  <c r="AI527" i="2" s="1"/>
  <c r="AI259" i="2" s="1"/>
  <c r="AI246" i="2" s="1"/>
  <c r="AJ4" i="2"/>
  <c r="AI4" i="7"/>
  <c r="AI3" i="2"/>
  <c r="AH214" i="2"/>
  <c r="AH524" i="2"/>
  <c r="AH522" i="2"/>
  <c r="AH520" i="2" s="1"/>
  <c r="AH508" i="2"/>
  <c r="AH506" i="2" s="1"/>
  <c r="AH517" i="2"/>
  <c r="AH510" i="2"/>
  <c r="AH515" i="2"/>
  <c r="AH513" i="2" s="1"/>
  <c r="AX251" i="2"/>
  <c r="AX10" i="7" s="1"/>
  <c r="AX254" i="2"/>
  <c r="AY202" i="2"/>
  <c r="AG54" i="3"/>
  <c r="AG374" i="2"/>
  <c r="AG462" i="2"/>
  <c r="AY3" i="7"/>
  <c r="AF235" i="2"/>
  <c r="AF59" i="7" s="1"/>
  <c r="AE235" i="2"/>
  <c r="AE59" i="7" s="1"/>
  <c r="AG236" i="2"/>
  <c r="AG234" i="2"/>
  <c r="AH234" i="2"/>
  <c r="AY504" i="2"/>
  <c r="AY5" i="3"/>
  <c r="AY247" i="2"/>
  <c r="AY203" i="2"/>
  <c r="AH5" i="3"/>
  <c r="AH247" i="2"/>
  <c r="AY100" i="3" l="1"/>
  <c r="AY6" i="3"/>
  <c r="AY101" i="3"/>
  <c r="AG375" i="2"/>
  <c r="AH175" i="2"/>
  <c r="AG176" i="2"/>
  <c r="AI203" i="2"/>
  <c r="AY524" i="2"/>
  <c r="AY522" i="2"/>
  <c r="AY520" i="2" s="1"/>
  <c r="AY515" i="2"/>
  <c r="AY513" i="2" s="1"/>
  <c r="AY517" i="2"/>
  <c r="AY508" i="2"/>
  <c r="AY506" i="2" s="1"/>
  <c r="AY510" i="2"/>
  <c r="AH100" i="3"/>
  <c r="AH101" i="3"/>
  <c r="AH6" i="3"/>
  <c r="AI202" i="2"/>
  <c r="AH54" i="3"/>
  <c r="AH374" i="2"/>
  <c r="AH375" i="2" s="1"/>
  <c r="AH462" i="2"/>
  <c r="AI3" i="7"/>
  <c r="AJ531" i="2"/>
  <c r="AJ529" i="2"/>
  <c r="AJ527" i="2" s="1"/>
  <c r="AJ259" i="2" s="1"/>
  <c r="AJ246" i="2" s="1"/>
  <c r="AJ1" i="3"/>
  <c r="AJ530" i="2"/>
  <c r="AJ3" i="2"/>
  <c r="AJ4" i="7"/>
  <c r="AK4" i="2"/>
  <c r="AI204" i="2"/>
  <c r="AG175" i="2"/>
  <c r="AG238" i="2"/>
  <c r="AY234" i="2"/>
  <c r="AY235" i="2" s="1"/>
  <c r="AY59" i="7" s="1"/>
  <c r="AI504" i="2"/>
  <c r="AI517" i="2" l="1"/>
  <c r="AI522" i="2"/>
  <c r="AI520" i="2" s="1"/>
  <c r="AI510" i="2"/>
  <c r="AI515" i="2"/>
  <c r="AI513" i="2" s="1"/>
  <c r="AI524" i="2"/>
  <c r="AI508" i="2"/>
  <c r="AI506" i="2" s="1"/>
  <c r="AG239" i="2"/>
  <c r="AG241" i="2"/>
  <c r="AG29" i="3"/>
  <c r="AG31" i="3" s="1"/>
  <c r="AY175" i="2"/>
  <c r="AG179" i="2"/>
  <c r="AJ202" i="2"/>
  <c r="AI214" i="2"/>
  <c r="AI5" i="3"/>
  <c r="AJ204" i="2"/>
  <c r="AI247" i="2"/>
  <c r="AY374" i="2"/>
  <c r="AY468" i="2" s="1"/>
  <c r="AJ3" i="7"/>
  <c r="AJ504" i="2"/>
  <c r="AK1" i="3"/>
  <c r="AK531" i="2"/>
  <c r="AK504" i="2"/>
  <c r="AK530" i="2"/>
  <c r="AK529" i="2"/>
  <c r="AK527" i="2" s="1"/>
  <c r="AK259" i="2" s="1"/>
  <c r="AK246" i="2" s="1"/>
  <c r="AL4" i="2"/>
  <c r="AK3" i="2"/>
  <c r="AK4" i="7"/>
  <c r="AJ203" i="2"/>
  <c r="AK202" i="2" l="1"/>
  <c r="AJ214" i="2"/>
  <c r="AJ5" i="3"/>
  <c r="AK204" i="2"/>
  <c r="AJ247" i="2"/>
  <c r="AL530" i="2"/>
  <c r="AL1" i="3"/>
  <c r="AL531" i="2"/>
  <c r="AL529" i="2"/>
  <c r="AL527" i="2" s="1"/>
  <c r="AL259" i="2" s="1"/>
  <c r="AL246" i="2" s="1"/>
  <c r="AL504" i="2"/>
  <c r="AZ4" i="2"/>
  <c r="AL3" i="2"/>
  <c r="AL4" i="7"/>
  <c r="AG181" i="2"/>
  <c r="AG183" i="2" s="1"/>
  <c r="AG182" i="2"/>
  <c r="AK517" i="2"/>
  <c r="AK515" i="2"/>
  <c r="AK513" i="2" s="1"/>
  <c r="AK524" i="2"/>
  <c r="AK508" i="2"/>
  <c r="AK506" i="2" s="1"/>
  <c r="AK510" i="2"/>
  <c r="AK522" i="2"/>
  <c r="AK520" i="2" s="1"/>
  <c r="AK203" i="2"/>
  <c r="AJ524" i="2"/>
  <c r="AJ522" i="2"/>
  <c r="AJ520" i="2" s="1"/>
  <c r="AJ510" i="2"/>
  <c r="AJ508" i="2"/>
  <c r="AJ506" i="2" s="1"/>
  <c r="AJ517" i="2"/>
  <c r="AJ515" i="2"/>
  <c r="AJ513" i="2" s="1"/>
  <c r="AI100" i="3"/>
  <c r="AI6" i="3"/>
  <c r="AI101" i="3"/>
  <c r="AK3" i="7"/>
  <c r="AI54" i="3"/>
  <c r="AI374" i="2"/>
  <c r="AI462" i="2"/>
  <c r="AY214" i="2"/>
  <c r="AY375" i="2"/>
  <c r="AG327" i="2" l="1"/>
  <c r="AG187" i="2"/>
  <c r="AF454" i="2"/>
  <c r="AL3" i="7"/>
  <c r="AK5" i="3"/>
  <c r="AL204" i="2"/>
  <c r="AK247" i="2"/>
  <c r="AZ530" i="2"/>
  <c r="AZ1" i="3"/>
  <c r="AZ531" i="2"/>
  <c r="AZ529" i="2"/>
  <c r="AZ527" i="2" s="1"/>
  <c r="AZ259" i="2" s="1"/>
  <c r="AZ246" i="2" s="1"/>
  <c r="BA4" i="2"/>
  <c r="AZ4" i="7"/>
  <c r="AZ3" i="2"/>
  <c r="AL234" i="2" s="1"/>
  <c r="AJ100" i="3"/>
  <c r="AJ6" i="3"/>
  <c r="AJ101" i="3"/>
  <c r="AL510" i="2"/>
  <c r="AL524" i="2"/>
  <c r="AL522" i="2"/>
  <c r="AL520" i="2" s="1"/>
  <c r="AL508" i="2"/>
  <c r="AL506" i="2" s="1"/>
  <c r="AL517" i="2"/>
  <c r="AL515" i="2"/>
  <c r="AL513" i="2" s="1"/>
  <c r="AY54" i="3"/>
  <c r="AY462" i="2"/>
  <c r="AY469" i="2"/>
  <c r="AG335" i="2"/>
  <c r="AI375" i="2"/>
  <c r="AL203" i="2"/>
  <c r="AZ203" i="2" s="1"/>
  <c r="AJ54" i="3"/>
  <c r="AJ374" i="2"/>
  <c r="AJ375" i="2" s="1"/>
  <c r="AJ462" i="2"/>
  <c r="AG32" i="3"/>
  <c r="AG36" i="3" s="1"/>
  <c r="AG15" i="7"/>
  <c r="AL202" i="2"/>
  <c r="AK214" i="2"/>
  <c r="AL175" i="2" l="1"/>
  <c r="BA531" i="2"/>
  <c r="BA529" i="2"/>
  <c r="BA527" i="2" s="1"/>
  <c r="BA259" i="2" s="1"/>
  <c r="BA246" i="2" s="1"/>
  <c r="BA1" i="3"/>
  <c r="BA530" i="2"/>
  <c r="BA504" i="2"/>
  <c r="BA3" i="2"/>
  <c r="BA3" i="7" s="1"/>
  <c r="BB4" i="2"/>
  <c r="BA4" i="7"/>
  <c r="AL5" i="3"/>
  <c r="AL247" i="2"/>
  <c r="AG430" i="2"/>
  <c r="AZ504" i="2"/>
  <c r="AK100" i="3"/>
  <c r="AK6" i="3"/>
  <c r="AK101" i="3"/>
  <c r="AG116" i="3"/>
  <c r="AG83" i="3"/>
  <c r="AG84" i="3" s="1"/>
  <c r="AG37" i="3"/>
  <c r="AK54" i="3"/>
  <c r="AK374" i="2"/>
  <c r="AK462" i="2"/>
  <c r="AL214" i="2"/>
  <c r="AZ202" i="2"/>
  <c r="AG197" i="2"/>
  <c r="AG192" i="2"/>
  <c r="AG189" i="2"/>
  <c r="AG198" i="2" s="1"/>
  <c r="AZ3" i="7"/>
  <c r="AI234" i="2"/>
  <c r="AJ234" i="2"/>
  <c r="AK234" i="2"/>
  <c r="AZ204" i="2"/>
  <c r="AG336" i="2"/>
  <c r="AG438" i="2"/>
  <c r="BA203" i="2" l="1"/>
  <c r="AG441" i="2"/>
  <c r="AG431" i="2"/>
  <c r="AG432" i="2" s="1"/>
  <c r="BA524" i="2"/>
  <c r="BA522" i="2"/>
  <c r="BA520" i="2" s="1"/>
  <c r="BA510" i="2"/>
  <c r="BA508" i="2"/>
  <c r="BA506" i="2" s="1"/>
  <c r="BA517" i="2"/>
  <c r="BA515" i="2"/>
  <c r="BA513" i="2" s="1"/>
  <c r="AL54" i="3"/>
  <c r="AL374" i="2"/>
  <c r="AL375" i="2" s="1"/>
  <c r="AL462" i="2"/>
  <c r="AZ5" i="3"/>
  <c r="AZ247" i="2"/>
  <c r="AG346" i="2"/>
  <c r="AG18" i="7" s="1"/>
  <c r="AG19" i="7" s="1"/>
  <c r="AG207" i="2"/>
  <c r="BA202" i="2"/>
  <c r="BA204" i="2"/>
  <c r="AK175" i="2"/>
  <c r="AG41" i="3"/>
  <c r="AG199" i="2"/>
  <c r="AK375" i="2"/>
  <c r="AL100" i="3"/>
  <c r="AL6" i="3"/>
  <c r="AL101" i="3"/>
  <c r="AJ175" i="2"/>
  <c r="AZ234" i="2"/>
  <c r="AZ235" i="2" s="1"/>
  <c r="AZ59" i="7" s="1"/>
  <c r="AI175" i="2"/>
  <c r="AZ517" i="2"/>
  <c r="AZ522" i="2"/>
  <c r="AZ520" i="2" s="1"/>
  <c r="AZ508" i="2"/>
  <c r="AZ506" i="2" s="1"/>
  <c r="AZ524" i="2"/>
  <c r="AZ510" i="2"/>
  <c r="AZ515" i="2"/>
  <c r="AZ513" i="2" s="1"/>
  <c r="BB1" i="3"/>
  <c r="BB531" i="2"/>
  <c r="BB530" i="2"/>
  <c r="BB529" i="2"/>
  <c r="BB527" i="2" s="1"/>
  <c r="BB259" i="2" s="1"/>
  <c r="BB246" i="2" s="1"/>
  <c r="BC4" i="2"/>
  <c r="BB3" i="2"/>
  <c r="BB3" i="7" s="1"/>
  <c r="BB4" i="7"/>
  <c r="AZ374" i="2" l="1"/>
  <c r="AZ214" i="2" s="1"/>
  <c r="BA5" i="3"/>
  <c r="BB204" i="2"/>
  <c r="BA247" i="2"/>
  <c r="AZ100" i="3"/>
  <c r="AZ6" i="3"/>
  <c r="AZ101" i="3"/>
  <c r="BC530" i="2"/>
  <c r="BC1" i="3"/>
  <c r="BC531" i="2"/>
  <c r="BC529" i="2"/>
  <c r="BC527" i="2" s="1"/>
  <c r="BC259" i="2" s="1"/>
  <c r="BC246" i="2" s="1"/>
  <c r="BC504" i="2"/>
  <c r="BC3" i="2"/>
  <c r="BC3" i="7" s="1"/>
  <c r="BC4" i="7"/>
  <c r="BA214" i="2"/>
  <c r="BB202" i="2"/>
  <c r="AG42" i="3"/>
  <c r="AG68" i="3" s="1"/>
  <c r="AG9" i="7"/>
  <c r="AG80" i="3"/>
  <c r="AG81" i="3" s="1"/>
  <c r="AG443" i="2"/>
  <c r="BB504" i="2"/>
  <c r="AG115" i="3"/>
  <c r="AG102" i="3"/>
  <c r="AG78" i="3"/>
  <c r="AG79" i="3" s="1"/>
  <c r="AZ175" i="2"/>
  <c r="AG51" i="3"/>
  <c r="AG221" i="2"/>
  <c r="AG222" i="2" s="1"/>
  <c r="AG223" i="2" s="1"/>
  <c r="AG224" i="2" s="1"/>
  <c r="AG208" i="2"/>
  <c r="AG378" i="2"/>
  <c r="BB203" i="2"/>
  <c r="AZ468" i="2" l="1"/>
  <c r="AZ375" i="2"/>
  <c r="AZ54" i="3"/>
  <c r="AZ462" i="2"/>
  <c r="AZ469" i="2"/>
  <c r="BB517" i="2"/>
  <c r="BB508" i="2"/>
  <c r="BB506" i="2" s="1"/>
  <c r="BB524" i="2"/>
  <c r="BB510" i="2"/>
  <c r="BB515" i="2"/>
  <c r="BB513" i="2" s="1"/>
  <c r="BB522" i="2"/>
  <c r="BB520" i="2" s="1"/>
  <c r="BB214" i="2"/>
  <c r="BC202" i="2"/>
  <c r="BC214" i="2" s="1"/>
  <c r="AG103" i="3"/>
  <c r="AG75" i="3"/>
  <c r="AG64" i="3"/>
  <c r="AG53" i="3"/>
  <c r="BC203" i="2"/>
  <c r="BA54" i="3"/>
  <c r="BA374" i="2"/>
  <c r="BA375" i="2" s="1"/>
  <c r="BA462" i="2"/>
  <c r="BB5" i="3"/>
  <c r="BB247" i="2"/>
  <c r="BC204" i="2"/>
  <c r="BC510" i="2"/>
  <c r="BC524" i="2"/>
  <c r="BC522" i="2"/>
  <c r="BC520" i="2" s="1"/>
  <c r="BC515" i="2"/>
  <c r="BC513" i="2" s="1"/>
  <c r="BC517" i="2"/>
  <c r="BC508" i="2"/>
  <c r="BC506" i="2" s="1"/>
  <c r="AG398" i="2"/>
  <c r="AG381" i="2"/>
  <c r="AF453" i="2"/>
  <c r="AG82" i="3"/>
  <c r="AG90" i="3"/>
  <c r="AG91" i="3" s="1"/>
  <c r="BA6" i="3"/>
  <c r="BA100" i="3"/>
  <c r="BA101" i="3"/>
  <c r="BC5" i="3" l="1"/>
  <c r="BC247" i="2"/>
  <c r="AG403" i="2"/>
  <c r="AG416" i="2" s="1"/>
  <c r="AG227" i="2"/>
  <c r="BC54" i="3"/>
  <c r="BC374" i="2"/>
  <c r="BC375" i="2" s="1"/>
  <c r="BC462" i="2"/>
  <c r="AG383" i="2"/>
  <c r="AH380" i="2"/>
  <c r="BB54" i="3"/>
  <c r="BB374" i="2"/>
  <c r="BB375" i="2" s="1"/>
  <c r="BB462" i="2"/>
  <c r="BB6" i="3"/>
  <c r="BB100" i="3"/>
  <c r="BB101" i="3"/>
  <c r="AG104" i="3"/>
  <c r="AG55" i="3"/>
  <c r="AG62" i="3" s="1"/>
  <c r="AG117" i="3" s="1"/>
  <c r="AG65" i="3"/>
  <c r="AG67" i="3" s="1"/>
  <c r="AG7" i="3" l="1"/>
  <c r="AG11" i="3" s="1"/>
  <c r="AG450" i="2"/>
  <c r="AH236" i="2"/>
  <c r="AG232" i="2"/>
  <c r="AG85" i="3"/>
  <c r="AG86" i="3" s="1"/>
  <c r="AG445" i="2"/>
  <c r="AF455" i="2"/>
  <c r="BC6" i="3"/>
  <c r="BC100" i="3"/>
  <c r="BC101" i="3"/>
  <c r="AG73" i="3" l="1"/>
  <c r="AG72" i="3"/>
  <c r="AG71" i="3"/>
  <c r="AG248" i="2"/>
  <c r="AH176" i="2"/>
  <c r="AY236" i="2"/>
  <c r="AH238" i="2"/>
  <c r="AG96" i="3"/>
  <c r="AG97" i="3" s="1"/>
  <c r="AG87" i="3"/>
  <c r="AH29" i="3" l="1"/>
  <c r="AH31" i="3" s="1"/>
  <c r="AH179" i="2"/>
  <c r="AY176" i="2"/>
  <c r="AH239" i="2"/>
  <c r="AH241" i="2"/>
  <c r="AY238" i="2"/>
  <c r="AY239" i="2" l="1"/>
  <c r="AY241" i="2"/>
  <c r="AY29" i="3"/>
  <c r="AY31" i="3" s="1"/>
  <c r="AY179" i="2"/>
  <c r="AH181" i="2"/>
  <c r="AH182" i="2"/>
  <c r="AH32" i="3" l="1"/>
  <c r="AH36" i="3" s="1"/>
  <c r="AH15" i="7"/>
  <c r="AY181" i="2"/>
  <c r="AH335" i="2"/>
  <c r="AY182" i="2"/>
  <c r="AY195" i="2" s="1"/>
  <c r="AY47" i="7" s="1"/>
  <c r="AH183" i="2"/>
  <c r="AY183" i="2" l="1"/>
  <c r="AY463" i="2" s="1"/>
  <c r="AH327" i="2"/>
  <c r="AH187" i="2"/>
  <c r="AH116" i="3" s="1"/>
  <c r="AY32" i="3"/>
  <c r="AY36" i="3" s="1"/>
  <c r="AY194" i="2"/>
  <c r="AY46" i="7" s="1"/>
  <c r="AY15" i="7"/>
  <c r="AY335" i="2"/>
  <c r="AH430" i="2"/>
  <c r="AH83" i="3"/>
  <c r="AH84" i="3" s="1"/>
  <c r="AH37" i="3"/>
  <c r="AY187" i="2" l="1"/>
  <c r="AY192" i="2" s="1"/>
  <c r="AY430" i="2"/>
  <c r="AH431" i="2"/>
  <c r="AH432" i="2" s="1"/>
  <c r="AY83" i="3"/>
  <c r="AY84" i="3" s="1"/>
  <c r="AY37" i="3"/>
  <c r="AH336" i="2"/>
  <c r="AY327" i="2"/>
  <c r="AY336" i="2" s="1"/>
  <c r="AH438" i="2"/>
  <c r="AH197" i="2"/>
  <c r="AH192" i="2"/>
  <c r="AH189" i="2"/>
  <c r="AH198" i="2" s="1"/>
  <c r="AY197" i="2" l="1"/>
  <c r="AY116" i="3"/>
  <c r="AY189" i="2"/>
  <c r="AY198" i="2" s="1"/>
  <c r="AY346" i="2"/>
  <c r="AY18" i="7" s="1"/>
  <c r="AY19" i="7" s="1"/>
  <c r="AY207" i="2"/>
  <c r="AH346" i="2"/>
  <c r="AH18" i="7" s="1"/>
  <c r="AH19" i="7" s="1"/>
  <c r="AH207" i="2"/>
  <c r="AY465" i="2"/>
  <c r="AY41" i="3"/>
  <c r="AY199" i="2"/>
  <c r="AH41" i="3"/>
  <c r="AH199" i="2"/>
  <c r="AY464" i="2"/>
  <c r="AY438" i="2"/>
  <c r="AH441" i="2"/>
  <c r="AY431" i="2"/>
  <c r="AY432" i="2" s="1"/>
  <c r="AY115" i="3" l="1"/>
  <c r="AY102" i="3"/>
  <c r="AY78" i="3"/>
  <c r="AY79" i="3" s="1"/>
  <c r="AY42" i="3"/>
  <c r="AY9" i="7"/>
  <c r="AY250" i="2"/>
  <c r="AY11" i="7" s="1"/>
  <c r="AH80" i="3"/>
  <c r="AH81" i="3" s="1"/>
  <c r="AH443" i="2"/>
  <c r="AY441" i="2"/>
  <c r="AH51" i="3"/>
  <c r="AH221" i="2"/>
  <c r="AH222" i="2" s="1"/>
  <c r="AH223" i="2" s="1"/>
  <c r="AH224" i="2" s="1"/>
  <c r="AH208" i="2"/>
  <c r="AH378" i="2"/>
  <c r="AY466" i="2"/>
  <c r="AH42" i="3"/>
  <c r="AH68" i="3" s="1"/>
  <c r="AH9" i="7"/>
  <c r="AH115" i="3"/>
  <c r="AH102" i="3"/>
  <c r="AH78" i="3"/>
  <c r="AH79" i="3" s="1"/>
  <c r="AY51" i="3"/>
  <c r="AY221" i="2"/>
  <c r="AY208" i="2"/>
  <c r="AY252" i="2" s="1"/>
  <c r="AH82" i="3" l="1"/>
  <c r="AH90" i="3"/>
  <c r="AH91" i="3" s="1"/>
  <c r="AY222" i="2"/>
  <c r="AY223" i="2" s="1"/>
  <c r="AY224" i="2" s="1"/>
  <c r="AY253" i="2"/>
  <c r="AY378" i="2"/>
  <c r="AY381" i="2" s="1"/>
  <c r="AH398" i="2"/>
  <c r="AH381" i="2"/>
  <c r="AY103" i="3"/>
  <c r="AY75" i="3"/>
  <c r="AY64" i="3"/>
  <c r="AY109" i="3" s="1"/>
  <c r="AY53" i="3"/>
  <c r="AY68" i="3"/>
  <c r="AY107" i="3"/>
  <c r="AH103" i="3"/>
  <c r="AH75" i="3"/>
  <c r="AH64" i="3"/>
  <c r="AH53" i="3"/>
  <c r="AY80" i="3"/>
  <c r="AY81" i="3" s="1"/>
  <c r="AY443" i="2"/>
  <c r="AH383" i="2" l="1"/>
  <c r="AI380" i="2"/>
  <c r="AZ380" i="2"/>
  <c r="AY398" i="2"/>
  <c r="AH403" i="2"/>
  <c r="AH416" i="2" s="1"/>
  <c r="AH227" i="2"/>
  <c r="AY110" i="3"/>
  <c r="AY104" i="3"/>
  <c r="AY65" i="3"/>
  <c r="AY67" i="3" s="1"/>
  <c r="AY55" i="3"/>
  <c r="AY62" i="3" s="1"/>
  <c r="AY117" i="3" s="1"/>
  <c r="AY82" i="3"/>
  <c r="AY90" i="3"/>
  <c r="AY91" i="3" s="1"/>
  <c r="AH104" i="3"/>
  <c r="AH65" i="3"/>
  <c r="AH67" i="3" s="1"/>
  <c r="AH55" i="3"/>
  <c r="AH62" i="3" s="1"/>
  <c r="AH117" i="3" s="1"/>
  <c r="AH7" i="3" l="1"/>
  <c r="AH11" i="3" s="1"/>
  <c r="AH450" i="2"/>
  <c r="AH232" i="2"/>
  <c r="AY237" i="2"/>
  <c r="AY60" i="7" s="1"/>
  <c r="AH85" i="3"/>
  <c r="AH86" i="3" s="1"/>
  <c r="AH445" i="2"/>
  <c r="AY403" i="2"/>
  <c r="AY416" i="2" s="1"/>
  <c r="AY227" i="2"/>
  <c r="AY383" i="2"/>
  <c r="AY85" i="3" l="1"/>
  <c r="AY86" i="3" s="1"/>
  <c r="AY445" i="2"/>
  <c r="AY7" i="3"/>
  <c r="AY11" i="3" s="1"/>
  <c r="AY450" i="2"/>
  <c r="AI236" i="2"/>
  <c r="AY232" i="2"/>
  <c r="AH96" i="3"/>
  <c r="AH97" i="3" s="1"/>
  <c r="AH87" i="3"/>
  <c r="AH72" i="3"/>
  <c r="AH71" i="3"/>
  <c r="AH73" i="3"/>
  <c r="AH248" i="2"/>
  <c r="AY96" i="3" l="1"/>
  <c r="AY97" i="3" s="1"/>
  <c r="AY87" i="3"/>
  <c r="AY72" i="3"/>
  <c r="AY71" i="3"/>
  <c r="AY73" i="3"/>
  <c r="AY243" i="2"/>
  <c r="AY242" i="2"/>
  <c r="AY248" i="2"/>
  <c r="AI176" i="2"/>
  <c r="AI238" i="2"/>
  <c r="AY108" i="3"/>
  <c r="AY111" i="3"/>
  <c r="AY251" i="2" l="1"/>
  <c r="AY10" i="7" s="1"/>
  <c r="AY254" i="2"/>
  <c r="AI239" i="2"/>
  <c r="AI241" i="2"/>
  <c r="AI29" i="3"/>
  <c r="AI31" i="3" s="1"/>
  <c r="AI179" i="2"/>
  <c r="AI181" i="2" l="1"/>
  <c r="AI182" i="2"/>
  <c r="AI335" i="2" l="1"/>
  <c r="AI183" i="2"/>
  <c r="AI32" i="3"/>
  <c r="AI36" i="3" s="1"/>
  <c r="AI15" i="7"/>
  <c r="AI327" i="2" l="1"/>
  <c r="AI187" i="2"/>
  <c r="AI116" i="3" s="1"/>
  <c r="AI83" i="3"/>
  <c r="AI84" i="3" s="1"/>
  <c r="AI37" i="3"/>
  <c r="AI430" i="2"/>
  <c r="AI431" i="2" l="1"/>
  <c r="AI432" i="2" s="1"/>
  <c r="AI197" i="2"/>
  <c r="AI192" i="2"/>
  <c r="AI189" i="2"/>
  <c r="AI198" i="2" s="1"/>
  <c r="AI336" i="2"/>
  <c r="AI438" i="2"/>
  <c r="AI441" i="2" l="1"/>
  <c r="AI346" i="2"/>
  <c r="AI18" i="7" s="1"/>
  <c r="AI19" i="7" s="1"/>
  <c r="AI207" i="2"/>
  <c r="AI41" i="3"/>
  <c r="AI199" i="2"/>
  <c r="AI51" i="3" l="1"/>
  <c r="AI208" i="2"/>
  <c r="AI221" i="2"/>
  <c r="AI222" i="2" s="1"/>
  <c r="AI223" i="2" s="1"/>
  <c r="AI224" i="2" s="1"/>
  <c r="AI378" i="2"/>
  <c r="AI102" i="3"/>
  <c r="AI115" i="3"/>
  <c r="AI78" i="3"/>
  <c r="AI79" i="3" s="1"/>
  <c r="AI80" i="3"/>
  <c r="AI81" i="3" s="1"/>
  <c r="AI443" i="2"/>
  <c r="AI42" i="3"/>
  <c r="AI68" i="3" s="1"/>
  <c r="AI9" i="7"/>
  <c r="AI381" i="2" l="1"/>
  <c r="AI398" i="2"/>
  <c r="AI82" i="3"/>
  <c r="AI90" i="3"/>
  <c r="AI91" i="3" s="1"/>
  <c r="AI103" i="3"/>
  <c r="AI75" i="3"/>
  <c r="AI64" i="3"/>
  <c r="AI53" i="3"/>
  <c r="AI104" i="3" l="1"/>
  <c r="AI65" i="3"/>
  <c r="AI67" i="3" s="1"/>
  <c r="AI55" i="3"/>
  <c r="AI62" i="3" s="1"/>
  <c r="AI117" i="3" s="1"/>
  <c r="AI403" i="2"/>
  <c r="AI416" i="2" s="1"/>
  <c r="AI227" i="2"/>
  <c r="AI383" i="2"/>
  <c r="AJ380" i="2"/>
  <c r="AI7" i="3" l="1"/>
  <c r="AI11" i="3" s="1"/>
  <c r="AI450" i="2"/>
  <c r="AJ236" i="2"/>
  <c r="AI232" i="2"/>
  <c r="AI85" i="3"/>
  <c r="AI86" i="3" s="1"/>
  <c r="AI445" i="2"/>
  <c r="AI96" i="3" l="1"/>
  <c r="AI97" i="3" s="1"/>
  <c r="AI87" i="3"/>
  <c r="AI71" i="3"/>
  <c r="AI73" i="3"/>
  <c r="AI72" i="3"/>
  <c r="AI248" i="2"/>
  <c r="AJ176" i="2"/>
  <c r="AJ238" i="2"/>
  <c r="AJ239" i="2" l="1"/>
  <c r="AJ241" i="2"/>
  <c r="AJ29" i="3"/>
  <c r="AJ31" i="3" s="1"/>
  <c r="AJ179" i="2"/>
  <c r="AJ182" i="2" l="1"/>
  <c r="AJ181" i="2"/>
  <c r="AJ183" i="2" l="1"/>
  <c r="AJ187" i="2" s="1"/>
  <c r="AJ32" i="3"/>
  <c r="AJ36" i="3" s="1"/>
  <c r="AJ15" i="7"/>
  <c r="AJ335" i="2"/>
  <c r="AJ327" i="2" l="1"/>
  <c r="AJ336" i="2" s="1"/>
  <c r="AJ430" i="2"/>
  <c r="AJ116" i="3"/>
  <c r="AJ83" i="3"/>
  <c r="AJ84" i="3" s="1"/>
  <c r="AJ37" i="3"/>
  <c r="AJ192" i="2"/>
  <c r="AJ197" i="2"/>
  <c r="AJ189" i="2"/>
  <c r="AJ198" i="2" s="1"/>
  <c r="AJ438" i="2" l="1"/>
  <c r="AJ346" i="2"/>
  <c r="AJ18" i="7" s="1"/>
  <c r="AJ19" i="7" s="1"/>
  <c r="AJ207" i="2"/>
  <c r="AJ431" i="2"/>
  <c r="AJ432" i="2" s="1"/>
  <c r="AJ41" i="3"/>
  <c r="AJ199" i="2"/>
  <c r="AJ441" i="2"/>
  <c r="AJ102" i="3" l="1"/>
  <c r="AJ115" i="3"/>
  <c r="AJ78" i="3"/>
  <c r="AJ79" i="3" s="1"/>
  <c r="AJ51" i="3"/>
  <c r="AJ208" i="2"/>
  <c r="AJ221" i="2"/>
  <c r="AJ222" i="2" s="1"/>
  <c r="AJ223" i="2" s="1"/>
  <c r="AJ224" i="2" s="1"/>
  <c r="AJ42" i="3"/>
  <c r="AJ68" i="3" s="1"/>
  <c r="AJ9" i="7"/>
  <c r="AJ80" i="3"/>
  <c r="AJ81" i="3" s="1"/>
  <c r="AJ443" i="2"/>
  <c r="AJ378" i="2"/>
  <c r="AJ103" i="3" l="1"/>
  <c r="AJ75" i="3"/>
  <c r="AJ64" i="3"/>
  <c r="AJ53" i="3"/>
  <c r="AJ398" i="2"/>
  <c r="AJ381" i="2"/>
  <c r="AJ82" i="3"/>
  <c r="AJ90" i="3"/>
  <c r="AJ91" i="3" s="1"/>
  <c r="AJ403" i="2" l="1"/>
  <c r="AJ416" i="2" s="1"/>
  <c r="AJ227" i="2"/>
  <c r="AJ104" i="3"/>
  <c r="AJ65" i="3"/>
  <c r="AJ67" i="3" s="1"/>
  <c r="AJ55" i="3"/>
  <c r="AJ62" i="3" s="1"/>
  <c r="AJ117" i="3" s="1"/>
  <c r="AJ383" i="2"/>
  <c r="AK380" i="2"/>
  <c r="AJ7" i="3" l="1"/>
  <c r="AJ11" i="3" s="1"/>
  <c r="AJ450" i="2"/>
  <c r="AK236" i="2"/>
  <c r="AJ232" i="2"/>
  <c r="AJ85" i="3"/>
  <c r="AJ86" i="3" s="1"/>
  <c r="AJ445" i="2"/>
  <c r="AJ96" i="3" l="1"/>
  <c r="AJ97" i="3" s="1"/>
  <c r="AJ87" i="3"/>
  <c r="AJ71" i="3"/>
  <c r="AJ73" i="3"/>
  <c r="AJ72" i="3"/>
  <c r="AJ248" i="2"/>
  <c r="AK176" i="2"/>
  <c r="AK238" i="2"/>
  <c r="AK239" i="2" l="1"/>
  <c r="AK241" i="2"/>
  <c r="AK179" i="2"/>
  <c r="AK29" i="3"/>
  <c r="AK31" i="3" s="1"/>
  <c r="AK182" i="2" l="1"/>
  <c r="AK181" i="2"/>
  <c r="AK32" i="3" l="1"/>
  <c r="AK36" i="3" s="1"/>
  <c r="AK15" i="7"/>
  <c r="AK335" i="2"/>
  <c r="AK183" i="2"/>
  <c r="AK327" i="2" l="1"/>
  <c r="AK187" i="2"/>
  <c r="AK116" i="3" s="1"/>
  <c r="AK430" i="2"/>
  <c r="AK83" i="3"/>
  <c r="AK84" i="3" s="1"/>
  <c r="AK37" i="3"/>
  <c r="AK431" i="2" l="1"/>
  <c r="AK432" i="2" s="1"/>
  <c r="AK192" i="2"/>
  <c r="AK189" i="2"/>
  <c r="AK198" i="2" s="1"/>
  <c r="AK197" i="2"/>
  <c r="AK336" i="2"/>
  <c r="AK438" i="2"/>
  <c r="AK441" i="2" l="1"/>
  <c r="AK41" i="3"/>
  <c r="AK199" i="2"/>
  <c r="AK346" i="2"/>
  <c r="AK18" i="7" s="1"/>
  <c r="AK19" i="7" s="1"/>
  <c r="AK207" i="2"/>
  <c r="AK51" i="3" l="1"/>
  <c r="AK208" i="2"/>
  <c r="AK221" i="2"/>
  <c r="AK222" i="2" s="1"/>
  <c r="AK223" i="2" s="1"/>
  <c r="AK224" i="2" s="1"/>
  <c r="AK378" i="2"/>
  <c r="AK42" i="3"/>
  <c r="AK68" i="3" s="1"/>
  <c r="AK9" i="7"/>
  <c r="AK80" i="3"/>
  <c r="AK81" i="3" s="1"/>
  <c r="AK443" i="2"/>
  <c r="AK115" i="3"/>
  <c r="AK102" i="3"/>
  <c r="AK78" i="3"/>
  <c r="AK79" i="3" s="1"/>
  <c r="AK82" i="3" l="1"/>
  <c r="AK90" i="3"/>
  <c r="AK91" i="3" s="1"/>
  <c r="AK398" i="2"/>
  <c r="AK381" i="2"/>
  <c r="AK103" i="3"/>
  <c r="AK75" i="3"/>
  <c r="AK64" i="3"/>
  <c r="AK53" i="3"/>
  <c r="AK104" i="3" l="1"/>
  <c r="AK55" i="3"/>
  <c r="AK62" i="3" s="1"/>
  <c r="AK117" i="3" s="1"/>
  <c r="AK65" i="3"/>
  <c r="AK67" i="3" s="1"/>
  <c r="AL380" i="2"/>
  <c r="AK383" i="2"/>
  <c r="AK403" i="2"/>
  <c r="AK416" i="2" s="1"/>
  <c r="AK227" i="2"/>
  <c r="AK7" i="3" l="1"/>
  <c r="AK11" i="3" s="1"/>
  <c r="AK450" i="2"/>
  <c r="AL236" i="2"/>
  <c r="AK232" i="2"/>
  <c r="AK85" i="3"/>
  <c r="AK86" i="3" s="1"/>
  <c r="AK445" i="2"/>
  <c r="AK73" i="3" l="1"/>
  <c r="AK71" i="3"/>
  <c r="AK72" i="3"/>
  <c r="AK248" i="2"/>
  <c r="AL176" i="2"/>
  <c r="AL238" i="2"/>
  <c r="AZ236" i="2"/>
  <c r="AK87" i="3"/>
  <c r="AK96" i="3"/>
  <c r="AK97" i="3" s="1"/>
  <c r="AL239" i="2" l="1"/>
  <c r="AL241" i="2"/>
  <c r="AZ238" i="2"/>
  <c r="AL29" i="3"/>
  <c r="AL31" i="3" s="1"/>
  <c r="AL179" i="2"/>
  <c r="AZ176" i="2"/>
  <c r="AZ29" i="3" l="1"/>
  <c r="AZ31" i="3" s="1"/>
  <c r="AZ179" i="2"/>
  <c r="AZ239" i="2"/>
  <c r="AZ241" i="2"/>
  <c r="AL182" i="2"/>
  <c r="AL181" i="2"/>
  <c r="AL183" i="2" l="1"/>
  <c r="AL327" i="2" s="1"/>
  <c r="AL335" i="2"/>
  <c r="AZ182" i="2"/>
  <c r="AZ195" i="2" s="1"/>
  <c r="AZ47" i="7" s="1"/>
  <c r="AL32" i="3"/>
  <c r="AL36" i="3" s="1"/>
  <c r="AL15" i="7"/>
  <c r="AZ181" i="2"/>
  <c r="AL187" i="2" l="1"/>
  <c r="AL192" i="2" s="1"/>
  <c r="AZ183" i="2"/>
  <c r="AZ463" i="2" s="1"/>
  <c r="AZ32" i="3"/>
  <c r="AZ36" i="3" s="1"/>
  <c r="AZ194" i="2"/>
  <c r="AZ46" i="7" s="1"/>
  <c r="AZ15" i="7"/>
  <c r="AL83" i="3"/>
  <c r="AL84" i="3" s="1"/>
  <c r="AL37" i="3"/>
  <c r="AZ335" i="2"/>
  <c r="AL430" i="2"/>
  <c r="AL336" i="2"/>
  <c r="AZ327" i="2"/>
  <c r="AL438" i="2"/>
  <c r="AL116" i="3" l="1"/>
  <c r="AL197" i="2"/>
  <c r="AL189" i="2"/>
  <c r="AL198" i="2" s="1"/>
  <c r="AZ187" i="2"/>
  <c r="AZ197" i="2" s="1"/>
  <c r="AZ336" i="2"/>
  <c r="AZ430" i="2"/>
  <c r="AL431" i="2"/>
  <c r="AL432" i="2" s="1"/>
  <c r="AL346" i="2"/>
  <c r="AL18" i="7" s="1"/>
  <c r="AL19" i="7" s="1"/>
  <c r="AL207" i="2"/>
  <c r="AZ465" i="2"/>
  <c r="AZ438" i="2"/>
  <c r="AL441" i="2"/>
  <c r="AL41" i="3"/>
  <c r="AL199" i="2"/>
  <c r="AZ83" i="3"/>
  <c r="AZ84" i="3" s="1"/>
  <c r="AZ37" i="3"/>
  <c r="AZ189" i="2" l="1"/>
  <c r="AZ198" i="2" s="1"/>
  <c r="AZ192" i="2"/>
  <c r="AZ464" i="2" s="1"/>
  <c r="AZ116" i="3"/>
  <c r="AL42" i="3"/>
  <c r="AL68" i="3" s="1"/>
  <c r="AL9" i="7"/>
  <c r="AL115" i="3"/>
  <c r="AL102" i="3"/>
  <c r="AL78" i="3"/>
  <c r="AL79" i="3" s="1"/>
  <c r="AL80" i="3"/>
  <c r="AL81" i="3" s="1"/>
  <c r="AL443" i="2"/>
  <c r="AL51" i="3"/>
  <c r="AL221" i="2"/>
  <c r="AL222" i="2" s="1"/>
  <c r="AL223" i="2" s="1"/>
  <c r="AL224" i="2" s="1"/>
  <c r="AL208" i="2"/>
  <c r="AZ441" i="2"/>
  <c r="AL378" i="2"/>
  <c r="AZ466" i="2"/>
  <c r="AZ431" i="2"/>
  <c r="AZ432" i="2" s="1"/>
  <c r="AZ41" i="3"/>
  <c r="AZ346" i="2"/>
  <c r="AZ378" i="2" s="1"/>
  <c r="AZ381" i="2" s="1"/>
  <c r="AZ207" i="2"/>
  <c r="AZ199" i="2" l="1"/>
  <c r="AZ18" i="7"/>
  <c r="AZ19" i="7" s="1"/>
  <c r="AL103" i="3"/>
  <c r="AL75" i="3"/>
  <c r="AL64" i="3"/>
  <c r="AL53" i="3"/>
  <c r="AL82" i="3"/>
  <c r="AL90" i="3"/>
  <c r="AL91" i="3" s="1"/>
  <c r="AL398" i="2"/>
  <c r="AL381" i="2"/>
  <c r="AZ51" i="3"/>
  <c r="AZ208" i="2"/>
  <c r="AZ252" i="2" s="1"/>
  <c r="AZ221" i="2"/>
  <c r="AZ80" i="3"/>
  <c r="AZ81" i="3" s="1"/>
  <c r="AZ443" i="2"/>
  <c r="BA380" i="2"/>
  <c r="AZ42" i="3"/>
  <c r="AZ9" i="7"/>
  <c r="AZ250" i="2"/>
  <c r="AZ11" i="7" s="1"/>
  <c r="AZ102" i="3"/>
  <c r="AZ115" i="3"/>
  <c r="AZ78" i="3"/>
  <c r="AZ79" i="3" s="1"/>
  <c r="AL383" i="2" l="1"/>
  <c r="AZ398" i="2"/>
  <c r="AL403" i="2"/>
  <c r="AL416" i="2" s="1"/>
  <c r="AL227" i="2"/>
  <c r="AZ82" i="3"/>
  <c r="AZ90" i="3"/>
  <c r="AZ91" i="3" s="1"/>
  <c r="AL104" i="3"/>
  <c r="AL65" i="3"/>
  <c r="AL67" i="3" s="1"/>
  <c r="AL55" i="3"/>
  <c r="AL62" i="3" s="1"/>
  <c r="AL117" i="3" s="1"/>
  <c r="AZ68" i="3"/>
  <c r="AZ107" i="3"/>
  <c r="AZ222" i="2"/>
  <c r="AZ223" i="2" s="1"/>
  <c r="AZ224" i="2" s="1"/>
  <c r="AZ253" i="2"/>
  <c r="AZ103" i="3"/>
  <c r="AZ75" i="3"/>
  <c r="AZ64" i="3"/>
  <c r="AZ109" i="3" s="1"/>
  <c r="AZ53" i="3"/>
  <c r="AL7" i="3" l="1"/>
  <c r="AL11" i="3" s="1"/>
  <c r="AL450" i="2"/>
  <c r="AL232" i="2"/>
  <c r="AZ237" i="2"/>
  <c r="AZ60" i="7" s="1"/>
  <c r="AL85" i="3"/>
  <c r="AL86" i="3" s="1"/>
  <c r="AL445" i="2"/>
  <c r="AZ110" i="3"/>
  <c r="AZ104" i="3"/>
  <c r="AZ65" i="3"/>
  <c r="AZ67" i="3" s="1"/>
  <c r="AZ55" i="3"/>
  <c r="AZ62" i="3" s="1"/>
  <c r="AZ117" i="3" s="1"/>
  <c r="AZ403" i="2"/>
  <c r="AZ416" i="2" s="1"/>
  <c r="AZ227" i="2"/>
  <c r="AZ383" i="2"/>
  <c r="AL96" i="3" l="1"/>
  <c r="AL97" i="3" s="1"/>
  <c r="AL87" i="3"/>
  <c r="AZ85" i="3"/>
  <c r="AZ86" i="3" s="1"/>
  <c r="AZ445" i="2"/>
  <c r="AL73" i="3"/>
  <c r="AL72" i="3"/>
  <c r="AL71" i="3"/>
  <c r="AL248" i="2"/>
  <c r="AZ7" i="3"/>
  <c r="AZ11" i="3" s="1"/>
  <c r="AZ450" i="2"/>
  <c r="BA236" i="2"/>
  <c r="AZ232" i="2"/>
  <c r="AZ96" i="3" l="1"/>
  <c r="AZ97" i="3" s="1"/>
  <c r="AZ87" i="3"/>
  <c r="AZ72" i="3"/>
  <c r="AZ71" i="3"/>
  <c r="AZ73" i="3"/>
  <c r="AZ243" i="2"/>
  <c r="AZ242" i="2"/>
  <c r="AZ248" i="2"/>
  <c r="BA176" i="2"/>
  <c r="BA238" i="2"/>
  <c r="AZ108" i="3"/>
  <c r="AZ111" i="3"/>
  <c r="AZ251" i="2" l="1"/>
  <c r="AZ10" i="7" s="1"/>
  <c r="AZ254" i="2"/>
  <c r="BA239" i="2"/>
  <c r="BA241" i="2"/>
  <c r="BA29" i="3"/>
  <c r="BA31" i="3" s="1"/>
  <c r="BA179" i="2"/>
  <c r="BA182" i="2" l="1"/>
  <c r="BA335" i="2" s="1"/>
  <c r="BA430" i="2" s="1"/>
  <c r="BA181" i="2"/>
  <c r="BA183" i="2" l="1"/>
  <c r="BA327" i="2" s="1"/>
  <c r="BA32" i="3"/>
  <c r="BA36" i="3" s="1"/>
  <c r="BA15" i="7"/>
  <c r="BA431" i="2"/>
  <c r="BA432" i="2" s="1"/>
  <c r="BA187" i="2" l="1"/>
  <c r="BA197" i="2" s="1"/>
  <c r="BA83" i="3"/>
  <c r="BA84" i="3" s="1"/>
  <c r="BA37" i="3"/>
  <c r="BA336" i="2"/>
  <c r="BA438" i="2"/>
  <c r="BA192" i="2" l="1"/>
  <c r="BA41" i="3" s="1"/>
  <c r="BA116" i="3"/>
  <c r="BA189" i="2"/>
  <c r="BA198" i="2" s="1"/>
  <c r="BA346" i="2"/>
  <c r="BA378" i="2" s="1"/>
  <c r="BA207" i="2"/>
  <c r="BA441" i="2"/>
  <c r="BA199" i="2" l="1"/>
  <c r="BA18" i="7"/>
  <c r="BA19" i="7" s="1"/>
  <c r="BA42" i="3"/>
  <c r="BA9" i="7"/>
  <c r="BA250" i="2"/>
  <c r="BA11" i="7" s="1"/>
  <c r="BA102" i="3"/>
  <c r="BA115" i="3"/>
  <c r="BA78" i="3"/>
  <c r="BA79" i="3" s="1"/>
  <c r="BA51" i="3"/>
  <c r="BA208" i="2"/>
  <c r="BA252" i="2" s="1"/>
  <c r="BA221" i="2"/>
  <c r="BA80" i="3"/>
  <c r="BA81" i="3" s="1"/>
  <c r="BA443" i="2"/>
  <c r="BA381" i="2"/>
  <c r="BA398" i="2"/>
  <c r="BA103" i="3" l="1"/>
  <c r="BA75" i="3"/>
  <c r="BA64" i="3"/>
  <c r="BA109" i="3" s="1"/>
  <c r="BA53" i="3"/>
  <c r="BA403" i="2"/>
  <c r="BA416" i="2" s="1"/>
  <c r="BA227" i="2"/>
  <c r="BA383" i="2"/>
  <c r="BB380" i="2"/>
  <c r="BA82" i="3"/>
  <c r="BA90" i="3"/>
  <c r="BA91" i="3" s="1"/>
  <c r="BA222" i="2"/>
  <c r="BA223" i="2" s="1"/>
  <c r="BA224" i="2" s="1"/>
  <c r="BA253" i="2"/>
  <c r="BA68" i="3"/>
  <c r="BA107" i="3"/>
  <c r="BA7" i="3" l="1"/>
  <c r="BA11" i="3" s="1"/>
  <c r="BA108" i="3" s="1"/>
  <c r="BA450" i="2"/>
  <c r="BB236" i="2"/>
  <c r="BA232" i="2"/>
  <c r="BA85" i="3"/>
  <c r="BA86" i="3" s="1"/>
  <c r="BA445" i="2"/>
  <c r="BA110" i="3"/>
  <c r="BA104" i="3"/>
  <c r="BA65" i="3"/>
  <c r="BA67" i="3" s="1"/>
  <c r="BA55" i="3"/>
  <c r="BA62" i="3" s="1"/>
  <c r="BA117" i="3" s="1"/>
  <c r="BA111" i="3" l="1"/>
  <c r="BA96" i="3"/>
  <c r="BA97" i="3" s="1"/>
  <c r="BA87" i="3"/>
  <c r="BA71" i="3"/>
  <c r="BA73" i="3"/>
  <c r="BA72" i="3"/>
  <c r="BA248" i="2"/>
  <c r="BA243" i="2"/>
  <c r="BA242" i="2"/>
  <c r="BB176" i="2"/>
  <c r="BB238" i="2"/>
  <c r="BA251" i="2" l="1"/>
  <c r="BA10" i="7" s="1"/>
  <c r="BA254" i="2"/>
  <c r="BB239" i="2"/>
  <c r="BB241" i="2"/>
  <c r="BB29" i="3"/>
  <c r="BB31" i="3" s="1"/>
  <c r="BB179" i="2"/>
  <c r="BB182" i="2" l="1"/>
  <c r="BB335" i="2" s="1"/>
  <c r="BB430" i="2" s="1"/>
  <c r="BB181" i="2"/>
  <c r="BB32" i="3" l="1"/>
  <c r="BB36" i="3" s="1"/>
  <c r="BB15" i="7"/>
  <c r="BB431" i="2"/>
  <c r="BB432" i="2" s="1"/>
  <c r="BB183" i="2"/>
  <c r="BB83" i="3" l="1"/>
  <c r="BB84" i="3" s="1"/>
  <c r="BB37" i="3"/>
  <c r="BB327" i="2"/>
  <c r="BB187" i="2"/>
  <c r="BB116" i="3" s="1"/>
  <c r="BB192" i="2" l="1"/>
  <c r="BB189" i="2"/>
  <c r="BB198" i="2" s="1"/>
  <c r="BB197" i="2"/>
  <c r="BB336" i="2"/>
  <c r="BB438" i="2"/>
  <c r="BB441" i="2" l="1"/>
  <c r="BB346" i="2"/>
  <c r="BB378" i="2" s="1"/>
  <c r="BB207" i="2"/>
  <c r="BB41" i="3"/>
  <c r="BB199" i="2"/>
  <c r="BB18" i="7" l="1"/>
  <c r="BB19" i="7" s="1"/>
  <c r="BB42" i="3"/>
  <c r="BB9" i="7"/>
  <c r="BB250" i="2"/>
  <c r="BB11" i="7" s="1"/>
  <c r="BB398" i="2"/>
  <c r="BB381" i="2"/>
  <c r="BB80" i="3"/>
  <c r="BB81" i="3" s="1"/>
  <c r="BB443" i="2"/>
  <c r="BB102" i="3"/>
  <c r="BB115" i="3"/>
  <c r="BB78" i="3"/>
  <c r="BB79" i="3" s="1"/>
  <c r="BB51" i="3"/>
  <c r="BB208" i="2"/>
  <c r="BB252" i="2" s="1"/>
  <c r="BB221" i="2"/>
  <c r="BB82" i="3" l="1"/>
  <c r="BB90" i="3"/>
  <c r="BB91" i="3" s="1"/>
  <c r="BB103" i="3"/>
  <c r="BB75" i="3"/>
  <c r="BB64" i="3"/>
  <c r="BB109" i="3" s="1"/>
  <c r="BB53" i="3"/>
  <c r="BB222" i="2"/>
  <c r="BB223" i="2" s="1"/>
  <c r="BB224" i="2" s="1"/>
  <c r="BB253" i="2"/>
  <c r="BB403" i="2"/>
  <c r="BB416" i="2" s="1"/>
  <c r="BB227" i="2"/>
  <c r="BC380" i="2"/>
  <c r="BB383" i="2"/>
  <c r="BB68" i="3"/>
  <c r="BB107" i="3"/>
  <c r="BB7" i="3" l="1"/>
  <c r="BB11" i="3" s="1"/>
  <c r="BB108" i="3" s="1"/>
  <c r="BB450" i="2"/>
  <c r="BC236" i="2"/>
  <c r="BB232" i="2"/>
  <c r="BB104" i="3"/>
  <c r="BB110" i="3"/>
  <c r="BB55" i="3"/>
  <c r="BB62" i="3" s="1"/>
  <c r="BB117" i="3" s="1"/>
  <c r="BB65" i="3"/>
  <c r="BB67" i="3" s="1"/>
  <c r="BB85" i="3"/>
  <c r="BB86" i="3" s="1"/>
  <c r="BB445" i="2"/>
  <c r="BB111" i="3" l="1"/>
  <c r="BB73" i="3"/>
  <c r="BB71" i="3"/>
  <c r="BB72" i="3"/>
  <c r="BB248" i="2"/>
  <c r="BB242" i="2"/>
  <c r="BB243" i="2"/>
  <c r="BC176" i="2"/>
  <c r="BC238" i="2"/>
  <c r="BB96" i="3"/>
  <c r="BB97" i="3" s="1"/>
  <c r="BB87" i="3"/>
  <c r="BC239" i="2" l="1"/>
  <c r="BC241" i="2"/>
  <c r="BC29" i="3"/>
  <c r="BC31" i="3" s="1"/>
  <c r="BC179" i="2"/>
  <c r="BB251" i="2"/>
  <c r="BB10" i="7" s="1"/>
  <c r="BB254" i="2"/>
  <c r="BC182" i="2" l="1"/>
  <c r="BC335" i="2" s="1"/>
  <c r="BC430" i="2" s="1"/>
  <c r="BC431" i="2" s="1"/>
  <c r="BC432" i="2" s="1"/>
  <c r="BC181" i="2"/>
  <c r="BC32" i="3" l="1"/>
  <c r="BC36" i="3" s="1"/>
  <c r="BC15" i="7"/>
  <c r="BC183" i="2"/>
  <c r="BC327" i="2" l="1"/>
  <c r="BC187" i="2"/>
  <c r="BC116" i="3" s="1"/>
  <c r="BC83" i="3"/>
  <c r="BC84" i="3" s="1"/>
  <c r="BC37" i="3"/>
  <c r="BC336" i="2" l="1"/>
  <c r="BC438" i="2"/>
  <c r="BC441" i="2" s="1"/>
  <c r="BC192" i="2"/>
  <c r="BC189" i="2"/>
  <c r="BC198" i="2" s="1"/>
  <c r="BC197" i="2"/>
  <c r="BC80" i="3" l="1"/>
  <c r="BC81" i="3" s="1"/>
  <c r="BC443" i="2"/>
  <c r="BC41" i="3"/>
  <c r="BC199" i="2"/>
  <c r="BC346" i="2"/>
  <c r="BC378" i="2" s="1"/>
  <c r="BC207" i="2"/>
  <c r="BC18" i="7" l="1"/>
  <c r="BC19" i="7" s="1"/>
  <c r="BC42" i="3"/>
  <c r="BC9" i="7"/>
  <c r="BC250" i="2"/>
  <c r="BC11" i="7" s="1"/>
  <c r="BC398" i="2"/>
  <c r="BC381" i="2"/>
  <c r="BC115" i="3"/>
  <c r="BC102" i="3"/>
  <c r="BC78" i="3"/>
  <c r="BC79" i="3" s="1"/>
  <c r="BC82" i="3" s="1"/>
  <c r="BC51" i="3"/>
  <c r="BC221" i="2"/>
  <c r="BC208" i="2"/>
  <c r="BC252" i="2" s="1"/>
  <c r="BC90" i="3"/>
  <c r="BC91" i="3" s="1"/>
  <c r="BC383" i="2" l="1"/>
  <c r="BC403" i="2"/>
  <c r="BC416" i="2" s="1"/>
  <c r="BC227" i="2"/>
  <c r="BC222" i="2"/>
  <c r="BC223" i="2" s="1"/>
  <c r="BC224" i="2" s="1"/>
  <c r="BC253" i="2"/>
  <c r="BC103" i="3"/>
  <c r="BC75" i="3"/>
  <c r="BC64" i="3"/>
  <c r="BC109" i="3" s="1"/>
  <c r="BC53" i="3"/>
  <c r="BC68" i="3"/>
  <c r="BC107" i="3"/>
  <c r="BC7" i="3" l="1"/>
  <c r="BC11" i="3" s="1"/>
  <c r="BC108" i="3" s="1"/>
  <c r="BC450" i="2"/>
  <c r="BC232" i="2"/>
  <c r="BC104" i="3"/>
  <c r="BC110" i="3"/>
  <c r="BC65" i="3"/>
  <c r="BC67" i="3" s="1"/>
  <c r="BC55" i="3"/>
  <c r="BC62" i="3" s="1"/>
  <c r="BC117" i="3" s="1"/>
  <c r="BC85" i="3"/>
  <c r="BC86" i="3" s="1"/>
  <c r="BC445" i="2"/>
  <c r="BC111" i="3" l="1"/>
  <c r="BC73" i="3"/>
  <c r="BC72" i="3"/>
  <c r="BC71" i="3"/>
  <c r="BC248" i="2"/>
  <c r="BC243" i="2"/>
  <c r="BC242" i="2"/>
  <c r="BC96" i="3"/>
  <c r="BC97" i="3" s="1"/>
  <c r="BC87" i="3"/>
  <c r="BC251" i="2" l="1"/>
  <c r="BC10" i="7" s="1"/>
  <c r="BC254"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Canalyst (YiL)</author>
    <author>Canalyst (SJ)</author>
    <author>Canalyst (JiF)</author>
    <author>Canalyst (JP)</author>
    <author>Canalyst (CW)</author>
    <author>Canalyst (KT)</author>
    <author>Canalyst (PZ)</author>
  </authors>
  <commentList>
    <comment ref="S2" authorId="0" shapeId="0" xr:uid="{00000000-0006-0000-0100-000001000000}">
      <text>
        <r>
          <rPr>
            <b/>
            <sz val="9"/>
            <rFont val="Tahoma"/>
            <family val="2"/>
          </rPr>
          <t>Canalyst (YiL):</t>
        </r>
        <r>
          <rPr>
            <sz val="9"/>
            <rFont val="Tahoma"/>
            <family val="2"/>
          </rPr>
          <t xml:space="preserve">
Quarters and FY2017 have been restated using 2018 financials</t>
        </r>
      </text>
    </comment>
    <comment ref="T2" authorId="0" shapeId="0" xr:uid="{00000000-0006-0000-0100-000002000000}">
      <text>
        <r>
          <rPr>
            <b/>
            <sz val="9"/>
            <rFont val="Tahoma"/>
            <family val="2"/>
          </rPr>
          <t>Canalyst (YiL):</t>
        </r>
        <r>
          <rPr>
            <sz val="9"/>
            <rFont val="Tahoma"/>
            <family val="2"/>
          </rPr>
          <t xml:space="preserve">
Quarters and FY2017 have been restated using 2018 financials</t>
        </r>
      </text>
    </comment>
    <comment ref="U2" authorId="0" shapeId="0" xr:uid="{00000000-0006-0000-0100-000003000000}">
      <text>
        <r>
          <rPr>
            <b/>
            <sz val="9"/>
            <rFont val="Tahoma"/>
            <family val="2"/>
          </rPr>
          <t>Canalyst (YiL):</t>
        </r>
        <r>
          <rPr>
            <sz val="9"/>
            <rFont val="Tahoma"/>
            <family val="2"/>
          </rPr>
          <t xml:space="preserve">
Quarters and FY2017 have been restated using 2018 financials</t>
        </r>
      </text>
    </comment>
    <comment ref="V2" authorId="0" shapeId="0" xr:uid="{00000000-0006-0000-0100-000004000000}">
      <text>
        <r>
          <rPr>
            <b/>
            <sz val="9"/>
            <rFont val="Tahoma"/>
            <family val="2"/>
          </rPr>
          <t>Canalyst (YiL):</t>
        </r>
        <r>
          <rPr>
            <sz val="9"/>
            <rFont val="Tahoma"/>
            <family val="2"/>
          </rPr>
          <t xml:space="preserve">
Quarters and FY2017 have been restated using 2018 financials</t>
        </r>
      </text>
    </comment>
    <comment ref="AF2" authorId="1" shapeId="0" xr:uid="{00000000-0006-0000-0100-000005000000}">
      <text>
        <r>
          <rPr>
            <b/>
            <sz val="9"/>
            <rFont val="Tahoma"/>
            <family val="2"/>
            <charset val="1"/>
          </rPr>
          <t>This period has been partially updated from a press release, prior to the release of the complete statements. Information that was not included in the press release has been left as assumptions, and can be identified by the red font in cells for this period. Upon release of the full statements, the model will be updated to reflect any new or changed information.</t>
        </r>
      </text>
    </comment>
    <comment ref="AV2" authorId="0" shapeId="0" xr:uid="{00000000-0006-0000-0100-000006000000}">
      <text>
        <r>
          <rPr>
            <b/>
            <sz val="9"/>
            <rFont val="Tahoma"/>
            <family val="2"/>
          </rPr>
          <t>Canalyst (YiL):</t>
        </r>
        <r>
          <rPr>
            <sz val="9"/>
            <rFont val="Tahoma"/>
            <family val="2"/>
          </rPr>
          <t xml:space="preserve">
Quarters and FY2017 have been restated using 2018 financials</t>
        </r>
      </text>
    </comment>
    <comment ref="AG8" authorId="1" shapeId="0" xr:uid="{00000000-0006-0000-0100-000007000000}">
      <text>
        <r>
          <rPr>
            <b/>
            <sz val="9"/>
            <rFont val="Tahoma"/>
            <family val="2"/>
          </rPr>
          <t>Canalyst (SJ):</t>
        </r>
        <r>
          <rPr>
            <sz val="9"/>
            <rFont val="Tahoma"/>
            <family val="2"/>
          </rPr>
          <t xml:space="preserve">
"We expect Adjusted EBITDA for the second half of 2020 to improve compared to the first half"</t>
        </r>
      </text>
    </comment>
    <comment ref="AH8" authorId="1" shapeId="0" xr:uid="{00000000-0006-0000-0100-000008000000}">
      <text>
        <r>
          <rPr>
            <b/>
            <sz val="9"/>
            <rFont val="Tahoma"/>
            <family val="2"/>
          </rPr>
          <t>Canalyst (SJ):</t>
        </r>
        <r>
          <rPr>
            <sz val="9"/>
            <rFont val="Tahoma"/>
            <family val="2"/>
          </rPr>
          <t xml:space="preserve">
"We expect Adjusted EBITDA for the second half of 2020 to improve compared to the first half"</t>
        </r>
      </text>
    </comment>
    <comment ref="AF16" authorId="1" shapeId="0" xr:uid="{00000000-0006-0000-0100-000009000000}">
      <text>
        <r>
          <rPr>
            <b/>
            <sz val="9"/>
            <rFont val="Tahoma"/>
            <family val="2"/>
            <charset val="1"/>
          </rPr>
          <t>Canalyst (SJ):</t>
        </r>
        <r>
          <rPr>
            <sz val="9"/>
            <rFont val="Tahoma"/>
            <family val="2"/>
            <charset val="1"/>
          </rPr>
          <t xml:space="preserve">
From PR</t>
        </r>
      </text>
    </comment>
    <comment ref="AF17" authorId="1" shapeId="0" xr:uid="{00000000-0006-0000-0100-00000A000000}">
      <text>
        <r>
          <rPr>
            <b/>
            <sz val="9"/>
            <rFont val="Tahoma"/>
            <family val="2"/>
          </rPr>
          <t>Canalyst (SJ):</t>
        </r>
        <r>
          <rPr>
            <sz val="9"/>
            <rFont val="Tahoma"/>
            <family val="2"/>
          </rPr>
          <t xml:space="preserve">
From PR</t>
        </r>
      </text>
    </comment>
    <comment ref="AE29" authorId="0" shapeId="0" xr:uid="{00000000-0006-0000-0100-00000B000000}">
      <text>
        <r>
          <rPr>
            <b/>
            <sz val="9"/>
            <rFont val="Tahoma"/>
            <family val="2"/>
          </rPr>
          <t>Canalyst (YiL):</t>
        </r>
        <r>
          <rPr>
            <sz val="9"/>
            <rFont val="Tahoma"/>
            <family val="2"/>
          </rPr>
          <t xml:space="preserve">
Effective January 1, 2020, the Company transferred the management responsibility of certain business units between the two operating segments, primarily the management of the Company's UK apprenticeship training business to the Business Transformation Services segment, and the management of the platform adoption services business to the Workforce Excellence segment.</t>
        </r>
      </text>
    </comment>
    <comment ref="AF29" authorId="0" shapeId="0" xr:uid="{00000000-0006-0000-0100-00000C000000}">
      <text>
        <r>
          <rPr>
            <b/>
            <sz val="9"/>
            <rFont val="Tahoma"/>
            <family val="2"/>
          </rPr>
          <t>Canalyst (SJ):</t>
        </r>
        <r>
          <rPr>
            <sz val="9"/>
            <rFont val="Tahoma"/>
            <family val="2"/>
          </rPr>
          <t xml:space="preserve">
Effective January 1, 2020, the Company transferred the management responsibility of certain business units between the two operating segments, primarily the management of the Company's UK apprenticeship training business to the Business Transformation Services segment, and the management of the platform adoption services business to the Workforce Excellence segment.</t>
        </r>
      </text>
    </comment>
    <comment ref="AE30" authorId="0" shapeId="0" xr:uid="{00000000-0006-0000-0100-00000D000000}">
      <text>
        <r>
          <rPr>
            <b/>
            <sz val="9"/>
            <rFont val="Tahoma"/>
            <family val="2"/>
          </rPr>
          <t>Canalyst (YiL):</t>
        </r>
        <r>
          <rPr>
            <sz val="9"/>
            <rFont val="Tahoma"/>
            <family val="2"/>
          </rPr>
          <t xml:space="preserve">
Formula revised due to resegmentation</t>
        </r>
      </text>
    </comment>
    <comment ref="AF30" authorId="0" shapeId="0" xr:uid="{00000000-0006-0000-0100-00000E000000}">
      <text>
        <r>
          <rPr>
            <b/>
            <sz val="9"/>
            <rFont val="Tahoma"/>
            <family val="2"/>
          </rPr>
          <t>Canalyst (SJ):</t>
        </r>
        <r>
          <rPr>
            <sz val="9"/>
            <rFont val="Tahoma"/>
            <family val="2"/>
          </rPr>
          <t xml:space="preserve">
Formula revised due to resegmentation</t>
        </r>
      </text>
    </comment>
    <comment ref="AG30" authorId="1" shapeId="0" xr:uid="{00000000-0006-0000-0100-00000F000000}">
      <text>
        <r>
          <rPr>
            <b/>
            <sz val="9"/>
            <rFont val="Tahoma"/>
            <family val="2"/>
          </rPr>
          <t>Canalyst (SJ):</t>
        </r>
        <r>
          <rPr>
            <sz val="9"/>
            <rFont val="Tahoma"/>
            <family val="2"/>
          </rPr>
          <t xml:space="preserve">
NMF after Q1 2020 resegmentation</t>
        </r>
      </text>
    </comment>
    <comment ref="AH30" authorId="1" shapeId="0" xr:uid="{00000000-0006-0000-0100-000010000000}">
      <text>
        <r>
          <rPr>
            <b/>
            <sz val="9"/>
            <rFont val="Tahoma"/>
            <family val="2"/>
          </rPr>
          <t>Canalyst (SJ):</t>
        </r>
        <r>
          <rPr>
            <sz val="9"/>
            <rFont val="Tahoma"/>
            <family val="2"/>
          </rPr>
          <t xml:space="preserve">
NMF after Q1 2020 resegmentation</t>
        </r>
      </text>
    </comment>
    <comment ref="AY30" authorId="1" shapeId="0" xr:uid="{00000000-0006-0000-0100-000011000000}">
      <text>
        <r>
          <rPr>
            <b/>
            <sz val="9"/>
            <rFont val="Tahoma"/>
            <family val="2"/>
          </rPr>
          <t>Canalyst (SJ):</t>
        </r>
        <r>
          <rPr>
            <sz val="9"/>
            <rFont val="Tahoma"/>
            <family val="2"/>
          </rPr>
          <t xml:space="preserve">
NMF after Q1 2020 resegmentation</t>
        </r>
      </text>
    </comment>
    <comment ref="AE31" authorId="0" shapeId="0" xr:uid="{00000000-0006-0000-0100-000012000000}">
      <text>
        <r>
          <rPr>
            <b/>
            <sz val="9"/>
            <rFont val="Tahoma"/>
            <family val="2"/>
          </rPr>
          <t>Canalyst (YiL):</t>
        </r>
        <r>
          <rPr>
            <sz val="9"/>
            <rFont val="Tahoma"/>
            <family val="2"/>
          </rPr>
          <t xml:space="preserve">
Formula revised due to resegmentation</t>
        </r>
      </text>
    </comment>
    <comment ref="AF31" authorId="0" shapeId="0" xr:uid="{00000000-0006-0000-0100-000013000000}">
      <text>
        <r>
          <rPr>
            <b/>
            <sz val="9"/>
            <rFont val="Tahoma"/>
            <family val="2"/>
          </rPr>
          <t>Canalyst (SJ):</t>
        </r>
        <r>
          <rPr>
            <sz val="9"/>
            <rFont val="Tahoma"/>
            <family val="2"/>
          </rPr>
          <t xml:space="preserve">
Formula revised due to resegmentation</t>
        </r>
      </text>
    </comment>
    <comment ref="AG31" authorId="1" shapeId="0" xr:uid="{00000000-0006-0000-0100-000014000000}">
      <text>
        <r>
          <rPr>
            <b/>
            <sz val="9"/>
            <rFont val="Tahoma"/>
            <family val="2"/>
          </rPr>
          <t>Canalyst (SJ):</t>
        </r>
        <r>
          <rPr>
            <sz val="9"/>
            <rFont val="Tahoma"/>
            <family val="2"/>
          </rPr>
          <t xml:space="preserve">
NMF after Q1 2020 resegmentation</t>
        </r>
      </text>
    </comment>
    <comment ref="AH31" authorId="1" shapeId="0" xr:uid="{00000000-0006-0000-0100-000015000000}">
      <text>
        <r>
          <rPr>
            <b/>
            <sz val="9"/>
            <rFont val="Tahoma"/>
            <family val="2"/>
          </rPr>
          <t>Canalyst (SJ):</t>
        </r>
        <r>
          <rPr>
            <sz val="9"/>
            <rFont val="Tahoma"/>
            <family val="2"/>
          </rPr>
          <t xml:space="preserve">
NMF after Q1 2020 resegmentation</t>
        </r>
      </text>
    </comment>
    <comment ref="AY31" authorId="1" shapeId="0" xr:uid="{00000000-0006-0000-0100-000016000000}">
      <text>
        <r>
          <rPr>
            <b/>
            <sz val="9"/>
            <rFont val="Tahoma"/>
            <family val="2"/>
          </rPr>
          <t>Canalyst (SJ):</t>
        </r>
        <r>
          <rPr>
            <sz val="9"/>
            <rFont val="Tahoma"/>
            <family val="2"/>
          </rPr>
          <t xml:space="preserve">
NMF after Q1 2020 resegmentation</t>
        </r>
      </text>
    </comment>
    <comment ref="W33" authorId="2" shapeId="0" xr:uid="{00000000-0006-0000-0100-000017000000}">
      <text>
        <r>
          <rPr>
            <b/>
            <sz val="9"/>
            <rFont val="Tahoma"/>
            <family val="2"/>
          </rPr>
          <t>Canalyst (JiF):</t>
        </r>
        <r>
          <rPr>
            <sz val="9"/>
            <rFont val="Tahoma"/>
            <family val="2"/>
          </rPr>
          <t xml:space="preserve">
In December 2017 the Company reorganized its operations into two operating segments.</t>
        </r>
      </text>
    </comment>
    <comment ref="AA33" authorId="0" shapeId="0" xr:uid="{00000000-0006-0000-0100-000018000000}">
      <text>
        <r>
          <rPr>
            <b/>
            <sz val="9"/>
            <rFont val="Tahoma"/>
            <family val="2"/>
          </rPr>
          <t>Canalyst (YiL):</t>
        </r>
        <r>
          <rPr>
            <sz val="9"/>
            <rFont val="Tahoma"/>
            <family val="2"/>
          </rPr>
          <t xml:space="preserve">
Segmented results to be restated with FY2020 reports due to resegmentation in Q1-2020</t>
        </r>
      </text>
    </comment>
    <comment ref="AB33" authorId="0" shapeId="0" xr:uid="{00000000-0006-0000-0100-000019000000}">
      <text>
        <r>
          <rPr>
            <b/>
            <sz val="9"/>
            <rFont val="Tahoma"/>
            <family val="2"/>
          </rPr>
          <t>Canalyst (YiL):</t>
        </r>
        <r>
          <rPr>
            <sz val="9"/>
            <rFont val="Tahoma"/>
            <family val="2"/>
          </rPr>
          <t xml:space="preserve">
Segmented results to be restated with FY2020 reports due to resegmentation in Q1-2020</t>
        </r>
      </text>
    </comment>
    <comment ref="AC33" authorId="0" shapeId="0" xr:uid="{00000000-0006-0000-0100-00001A000000}">
      <text>
        <r>
          <rPr>
            <b/>
            <sz val="9"/>
            <rFont val="Tahoma"/>
            <family val="2"/>
          </rPr>
          <t>Canalyst (YiL):</t>
        </r>
        <r>
          <rPr>
            <sz val="9"/>
            <rFont val="Tahoma"/>
            <family val="2"/>
          </rPr>
          <t xml:space="preserve">
Segmented results to be restated with FY2020 reports due to resegmentation in Q1-2020</t>
        </r>
      </text>
    </comment>
    <comment ref="AD33" authorId="0" shapeId="0" xr:uid="{00000000-0006-0000-0100-00001B000000}">
      <text>
        <r>
          <rPr>
            <b/>
            <sz val="9"/>
            <rFont val="Tahoma"/>
            <family val="2"/>
          </rPr>
          <t>Canalyst (YiL):</t>
        </r>
        <r>
          <rPr>
            <sz val="9"/>
            <rFont val="Tahoma"/>
            <family val="2"/>
          </rPr>
          <t xml:space="preserve">
Segmented results to be restated with FY2020 reports due to resegmentation in Q1-2020</t>
        </r>
      </text>
    </comment>
    <comment ref="AE33" authorId="0" shapeId="0" xr:uid="{00000000-0006-0000-0100-00001C000000}">
      <text>
        <r>
          <rPr>
            <b/>
            <sz val="9"/>
            <rFont val="Tahoma"/>
            <family val="2"/>
          </rPr>
          <t>Canalyst (YiL):</t>
        </r>
        <r>
          <rPr>
            <sz val="9"/>
            <rFont val="Tahoma"/>
            <family val="2"/>
          </rPr>
          <t xml:space="preserve">
Effective January 1, 2020, the Company transferred the management responsibility of certain business units between the two operating segments, primarily the management of the Company's UK apprenticeship training business to the Business Transformation Services segment, and the management of the platform adoption services business to the Workforce Excellence segment.</t>
        </r>
      </text>
    </comment>
    <comment ref="AF33" authorId="0" shapeId="0" xr:uid="{00000000-0006-0000-0100-00001D000000}">
      <text>
        <r>
          <rPr>
            <b/>
            <sz val="9"/>
            <rFont val="Tahoma"/>
            <family val="2"/>
          </rPr>
          <t>Canalyst (YiL):</t>
        </r>
        <r>
          <rPr>
            <sz val="9"/>
            <rFont val="Tahoma"/>
            <family val="2"/>
          </rPr>
          <t xml:space="preserve">
Effective January 1, 2020, the Company transferred the management responsibility of certain business units between the two operating segments, primarily the management of the Company's UK apprenticeship training business to the Business Transformation Services segment, and the management of the platform adoption services business to the Workforce Excellence segment.</t>
        </r>
      </text>
    </comment>
    <comment ref="AX33" authorId="0" shapeId="0" xr:uid="{00000000-0006-0000-0100-00001E000000}">
      <text>
        <r>
          <rPr>
            <b/>
            <sz val="9"/>
            <rFont val="Tahoma"/>
            <family val="2"/>
          </rPr>
          <t>Canalyst (YiL):</t>
        </r>
        <r>
          <rPr>
            <sz val="9"/>
            <rFont val="Tahoma"/>
            <family val="2"/>
          </rPr>
          <t xml:space="preserve">
Segmented results to be restated with FY2020 reports due to resegmentation in Q1-2020</t>
        </r>
      </text>
    </comment>
    <comment ref="A34" authorId="2" shapeId="0" xr:uid="{00000000-0006-0000-0100-00001F000000}">
      <text>
        <r>
          <rPr>
            <b/>
            <sz val="9"/>
            <rFont val="Tahoma"/>
            <family val="2"/>
          </rPr>
          <t>Canalyst (JiF):</t>
        </r>
        <r>
          <rPr>
            <sz val="9"/>
            <rFont val="Tahoma"/>
            <family val="2"/>
          </rPr>
          <t xml:space="preserve">
Includes the majority of the former Learning Solutions and Professional &amp; Technical Services segments</t>
        </r>
      </text>
    </comment>
    <comment ref="AG34" authorId="1" shapeId="0" xr:uid="{00000000-0006-0000-0100-000020000000}">
      <text>
        <r>
          <rPr>
            <b/>
            <sz val="9"/>
            <rFont val="Tahoma"/>
            <family val="2"/>
          </rPr>
          <t>Canalyst (SJ):</t>
        </r>
        <r>
          <rPr>
            <sz val="9"/>
            <rFont val="Tahoma"/>
            <family val="2"/>
          </rPr>
          <t xml:space="preserve">
hardcoded due to resegmentation</t>
        </r>
      </text>
    </comment>
    <comment ref="AH34" authorId="1" shapeId="0" xr:uid="{00000000-0006-0000-0100-000021000000}">
      <text>
        <r>
          <rPr>
            <b/>
            <sz val="9"/>
            <rFont val="Tahoma"/>
            <family val="2"/>
          </rPr>
          <t>Canalyst (SJ):</t>
        </r>
        <r>
          <rPr>
            <sz val="9"/>
            <rFont val="Tahoma"/>
            <family val="2"/>
          </rPr>
          <t xml:space="preserve">
hardcoded due to resegmentation</t>
        </r>
      </text>
    </comment>
    <comment ref="A35" authorId="2" shapeId="0" xr:uid="{00000000-0006-0000-0100-000022000000}">
      <text>
        <r>
          <rPr>
            <b/>
            <sz val="9"/>
            <rFont val="Tahoma"/>
            <family val="2"/>
          </rPr>
          <t>Canalyst (JiF):</t>
        </r>
        <r>
          <rPr>
            <sz val="9"/>
            <rFont val="Tahoma"/>
            <family val="2"/>
          </rPr>
          <t xml:space="preserve">
Includes the majority of the former Performance Readiness solutions and Sandy Training &amp; Marketing segments.</t>
        </r>
      </text>
    </comment>
    <comment ref="AG35" authorId="1" shapeId="0" xr:uid="{00000000-0006-0000-0100-000023000000}">
      <text>
        <r>
          <rPr>
            <b/>
            <sz val="9"/>
            <rFont val="Tahoma"/>
            <family val="2"/>
          </rPr>
          <t>Canalyst (SJ):</t>
        </r>
        <r>
          <rPr>
            <sz val="9"/>
            <rFont val="Tahoma"/>
            <family val="2"/>
          </rPr>
          <t xml:space="preserve">
hardcoded due to resegmentation</t>
        </r>
      </text>
    </comment>
    <comment ref="AH35" authorId="1" shapeId="0" xr:uid="{00000000-0006-0000-0100-000024000000}">
      <text>
        <r>
          <rPr>
            <b/>
            <sz val="9"/>
            <rFont val="Tahoma"/>
            <family val="2"/>
          </rPr>
          <t>Canalyst (SJ):</t>
        </r>
        <r>
          <rPr>
            <sz val="9"/>
            <rFont val="Tahoma"/>
            <family val="2"/>
          </rPr>
          <t xml:space="preserve">
hardcoded due to resegmentation</t>
        </r>
      </text>
    </comment>
    <comment ref="W37" authorId="2" shapeId="0" xr:uid="{00000000-0006-0000-0100-000025000000}">
      <text>
        <r>
          <rPr>
            <b/>
            <sz val="9"/>
            <rFont val="Tahoma"/>
            <family val="2"/>
          </rPr>
          <t>Canalyst (JiF):</t>
        </r>
        <r>
          <rPr>
            <sz val="9"/>
            <rFont val="Tahoma"/>
            <family val="2"/>
          </rPr>
          <t xml:space="preserve">
In December 2017 the Company reorganized its operations into two operating segments.</t>
        </r>
      </text>
    </comment>
    <comment ref="AF43" authorId="1" shapeId="0" xr:uid="{00000000-0006-0000-0100-000026000000}">
      <text>
        <r>
          <rPr>
            <b/>
            <sz val="9"/>
            <rFont val="Tahoma"/>
            <family val="2"/>
            <charset val="1"/>
          </rPr>
          <t>Canalyst (SJ):</t>
        </r>
        <r>
          <rPr>
            <sz val="9"/>
            <rFont val="Tahoma"/>
            <family val="2"/>
            <charset val="1"/>
          </rPr>
          <t xml:space="preserve">
From PR</t>
        </r>
      </text>
    </comment>
    <comment ref="AF44" authorId="1" shapeId="0" xr:uid="{00000000-0006-0000-0100-000027000000}">
      <text>
        <r>
          <rPr>
            <b/>
            <sz val="9"/>
            <rFont val="Tahoma"/>
            <family val="2"/>
            <charset val="1"/>
          </rPr>
          <t>Canalyst (SJ):</t>
        </r>
        <r>
          <rPr>
            <sz val="9"/>
            <rFont val="Tahoma"/>
            <family val="2"/>
            <charset val="1"/>
          </rPr>
          <t xml:space="preserve">
From PR</t>
        </r>
      </text>
    </comment>
    <comment ref="AF47" authorId="1" shapeId="0" xr:uid="{00000000-0006-0000-0100-000028000000}">
      <text>
        <r>
          <rPr>
            <b/>
            <sz val="9"/>
            <rFont val="Tahoma"/>
            <family val="2"/>
            <charset val="1"/>
          </rPr>
          <t>Value is estimated due to partial update from PR. Numbers will be added upon release of the full statements.</t>
        </r>
      </text>
    </comment>
    <comment ref="AF49" authorId="1" shapeId="0" xr:uid="{00000000-0006-0000-0100-000029000000}">
      <text>
        <r>
          <rPr>
            <b/>
            <sz val="9"/>
            <rFont val="Tahoma"/>
            <family val="2"/>
            <charset val="1"/>
          </rPr>
          <t>Cash Flow is not included due to partial update from PR. Values within this section are estimated. Numbers will be added upon release of the full statements.</t>
        </r>
      </text>
    </comment>
    <comment ref="AF50" authorId="1" shapeId="0" xr:uid="{00000000-0006-0000-0100-00002A000000}">
      <text>
        <r>
          <rPr>
            <b/>
            <sz val="9"/>
            <rFont val="Tahoma"/>
            <family val="2"/>
          </rPr>
          <t>Canalyst (SJ):</t>
        </r>
        <r>
          <rPr>
            <sz val="9"/>
            <rFont val="Tahoma"/>
            <family val="2"/>
          </rPr>
          <t xml:space="preserve">
From PR</t>
        </r>
      </text>
    </comment>
    <comment ref="Q51" authorId="3" shapeId="0" xr:uid="{00000000-0006-0000-0100-00002B000000}">
      <text>
        <r>
          <rPr>
            <b/>
            <sz val="9"/>
            <rFont val="Tahoma"/>
            <family val="2"/>
          </rPr>
          <t>Canalyst (JP):</t>
        </r>
        <r>
          <rPr>
            <sz val="9"/>
            <rFont val="Tahoma"/>
            <family val="2"/>
          </rPr>
          <t xml:space="preserve">
As reported</t>
        </r>
      </text>
    </comment>
    <comment ref="W51" authorId="4" shapeId="0" xr:uid="{00000000-0006-0000-0100-00002C000000}">
      <text>
        <r>
          <rPr>
            <b/>
            <sz val="9"/>
            <rFont val="Tahoma"/>
            <family val="2"/>
          </rPr>
          <t>Canalyst (CW):</t>
        </r>
        <r>
          <rPr>
            <sz val="9"/>
            <rFont val="Tahoma"/>
            <family val="2"/>
          </rPr>
          <t xml:space="preserve">
On January 2, 2018 the company acquired Hula Partners.</t>
        </r>
      </text>
    </comment>
    <comment ref="X51" authorId="4" shapeId="0" xr:uid="{00000000-0006-0000-0100-00002D000000}">
      <text>
        <r>
          <rPr>
            <b/>
            <sz val="9"/>
            <rFont val="Tahoma"/>
            <family val="2"/>
          </rPr>
          <t>Canalyst (CW):</t>
        </r>
        <r>
          <rPr>
            <sz val="9"/>
            <rFont val="Tahoma"/>
            <family val="2"/>
          </rPr>
          <t xml:space="preserve">
On May 1, 2018 the company acquired IC Acquisition Corporation.</t>
        </r>
      </text>
    </comment>
    <comment ref="Y51" authorId="5" shapeId="0" xr:uid="{00000000-0006-0000-0100-00002E000000}">
      <text>
        <r>
          <rPr>
            <b/>
            <sz val="9"/>
            <rFont val="Tahoma"/>
            <family val="2"/>
          </rPr>
          <t>Canalyst (KT):</t>
        </r>
        <r>
          <rPr>
            <sz val="9"/>
            <rFont val="Tahoma"/>
            <family val="2"/>
          </rPr>
          <t xml:space="preserve">
On August 7th, the Company acquired TTi (Europe) Limited</t>
        </r>
      </text>
    </comment>
    <comment ref="Z51" authorId="0" shapeId="0" xr:uid="{00000000-0006-0000-0100-00002F000000}">
      <text>
        <r>
          <rPr>
            <b/>
            <sz val="9"/>
            <rFont val="Tahoma"/>
            <family val="2"/>
          </rPr>
          <t>Canalyst (YiL):</t>
        </r>
        <r>
          <rPr>
            <sz val="9"/>
            <rFont val="Tahoma"/>
            <family val="2"/>
          </rPr>
          <t xml:space="preserve">
On Nov 30, 2018, the Company acquired TTi Global</t>
        </r>
      </text>
    </comment>
    <comment ref="AF51" authorId="1" shapeId="0" xr:uid="{00000000-0006-0000-0100-000030000000}">
      <text>
        <r>
          <rPr>
            <b/>
            <sz val="9"/>
            <rFont val="Tahoma"/>
            <family val="2"/>
            <charset val="1"/>
          </rPr>
          <t>Value is estimated due to partial update from PR. Numbers will be added upon release of the full statements.</t>
        </r>
      </text>
    </comment>
    <comment ref="AD52" authorId="6" shapeId="0" xr:uid="{00000000-0006-0000-0100-000031000000}">
      <text>
        <r>
          <rPr>
            <b/>
            <sz val="9"/>
            <rFont val="Tahoma"/>
            <family val="2"/>
          </rPr>
          <t>Canalyst (PZ):</t>
        </r>
        <r>
          <rPr>
            <sz val="9"/>
            <rFont val="Tahoma"/>
            <family val="2"/>
          </rPr>
          <t xml:space="preserve">
Sale of tuition program management business.</t>
        </r>
      </text>
    </comment>
    <comment ref="AF52" authorId="1" shapeId="0" xr:uid="{00000000-0006-0000-0100-000032000000}">
      <text>
        <r>
          <rPr>
            <b/>
            <sz val="9"/>
            <rFont val="Tahoma"/>
            <family val="2"/>
            <charset val="1"/>
          </rPr>
          <t>Value is estimated due to partial update from PR. Numbers will be added upon release of the full statements.</t>
        </r>
      </text>
    </comment>
    <comment ref="A64" authorId="2" shapeId="0" xr:uid="{00000000-0006-0000-0100-000033000000}">
      <text>
        <r>
          <rPr>
            <b/>
            <sz val="9"/>
            <rFont val="Tahoma"/>
            <family val="2"/>
          </rPr>
          <t>Canalyst (JiF):</t>
        </r>
        <r>
          <rPr>
            <sz val="9"/>
            <rFont val="Tahoma"/>
            <family val="2"/>
          </rPr>
          <t xml:space="preserve">
Previously named "Costs and estimated earnings in excess of billings on uncompleted contracts"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Canalyst (YiL)</author>
    <author>Canalyst (SJ)</author>
    <author>Canalyst (JiF)</author>
    <author>Canalyst (JH)</author>
    <author>Canalyst (JP)</author>
    <author>Canalyst (HZ)</author>
    <author>Canalyst (CW)</author>
    <author>Canalyst (KT)</author>
    <author>Canalyst (PZ)</author>
    <author>Canalyst (BP)</author>
    <author>Canalyst (AlD)</author>
    <author>Canalyst (JD)</author>
  </authors>
  <commentList>
    <comment ref="S2" authorId="0" shapeId="0" xr:uid="{00000000-0006-0000-0200-000001000000}">
      <text>
        <r>
          <rPr>
            <b/>
            <sz val="9"/>
            <rFont val="Tahoma"/>
            <family val="2"/>
          </rPr>
          <t>Canalyst (YiL):</t>
        </r>
        <r>
          <rPr>
            <sz val="9"/>
            <rFont val="Tahoma"/>
            <family val="2"/>
          </rPr>
          <t xml:space="preserve">
Quarters and FY2017 have been restated using 2018 financials</t>
        </r>
      </text>
    </comment>
    <comment ref="T2" authorId="0" shapeId="0" xr:uid="{00000000-0006-0000-0200-000002000000}">
      <text>
        <r>
          <rPr>
            <b/>
            <sz val="9"/>
            <rFont val="Tahoma"/>
            <family val="2"/>
          </rPr>
          <t>Canalyst (YiL):</t>
        </r>
        <r>
          <rPr>
            <sz val="9"/>
            <rFont val="Tahoma"/>
            <family val="2"/>
          </rPr>
          <t xml:space="preserve">
Quarters and FY2017 have been restated using 2018 financials</t>
        </r>
      </text>
    </comment>
    <comment ref="U2" authorId="0" shapeId="0" xr:uid="{00000000-0006-0000-0200-000003000000}">
      <text>
        <r>
          <rPr>
            <b/>
            <sz val="9"/>
            <rFont val="Tahoma"/>
            <family val="2"/>
          </rPr>
          <t>Canalyst (YiL):</t>
        </r>
        <r>
          <rPr>
            <sz val="9"/>
            <rFont val="Tahoma"/>
            <family val="2"/>
          </rPr>
          <t xml:space="preserve">
Quarters and FY2017 have been restated using 2018 financials</t>
        </r>
      </text>
    </comment>
    <comment ref="V2" authorId="0" shapeId="0" xr:uid="{00000000-0006-0000-0200-000004000000}">
      <text>
        <r>
          <rPr>
            <b/>
            <sz val="9"/>
            <rFont val="Tahoma"/>
            <family val="2"/>
          </rPr>
          <t>Canalyst (YiL):</t>
        </r>
        <r>
          <rPr>
            <sz val="9"/>
            <rFont val="Tahoma"/>
            <family val="2"/>
          </rPr>
          <t xml:space="preserve">
Quarters and FY2017 have been restated using 2018 financials</t>
        </r>
      </text>
    </comment>
    <comment ref="AF2" authorId="1" shapeId="0" xr:uid="{00000000-0006-0000-0200-000005000000}">
      <text>
        <r>
          <rPr>
            <b/>
            <sz val="9"/>
            <rFont val="Tahoma"/>
            <family val="2"/>
            <charset val="1"/>
          </rPr>
          <t>This period has been partially updated from a press release, prior to the release of the complete statements. Information that was not included in the press release has been left as assumptions, and can be identified by the red font in cells for this period. Upon release of the full statements, the model will be updated to reflect any new or changed information.</t>
        </r>
      </text>
    </comment>
    <comment ref="AV2" authorId="0" shapeId="0" xr:uid="{00000000-0006-0000-0200-000006000000}">
      <text>
        <r>
          <rPr>
            <b/>
            <sz val="9"/>
            <rFont val="Tahoma"/>
            <family val="2"/>
          </rPr>
          <t>Canalyst (YiL):</t>
        </r>
        <r>
          <rPr>
            <sz val="9"/>
            <rFont val="Tahoma"/>
            <family val="2"/>
          </rPr>
          <t xml:space="preserve">
Quarters and FY2017 have been restated using 2018 financials</t>
        </r>
      </text>
    </comment>
    <comment ref="AE6" authorId="0" shapeId="0" xr:uid="{00000000-0006-0000-0200-000007000000}">
      <text>
        <r>
          <rPr>
            <b/>
            <sz val="9"/>
            <rFont val="Tahoma"/>
            <family val="2"/>
          </rPr>
          <t>Canalyst (YiL):</t>
        </r>
        <r>
          <rPr>
            <sz val="9"/>
            <rFont val="Tahoma"/>
            <family val="2"/>
          </rPr>
          <t xml:space="preserve">
Effective January 1, 2020, the Company transferred the management responsibility of certain business units between the two operating segments, primarily the management of the Company's UK apprenticeship training business to the Business Transformation Services segment, and the management of the platform adoption services business to the Workforce Excellence segment.</t>
        </r>
      </text>
    </comment>
    <comment ref="AF6" authorId="0" shapeId="0" xr:uid="{00000000-0006-0000-0200-000008000000}">
      <text>
        <r>
          <rPr>
            <b/>
            <sz val="9"/>
            <rFont val="Tahoma"/>
            <family val="2"/>
          </rPr>
          <t>Canalyst (SJ):</t>
        </r>
        <r>
          <rPr>
            <sz val="9"/>
            <rFont val="Tahoma"/>
            <family val="2"/>
          </rPr>
          <t xml:space="preserve">
Effective January 1, 2020, the Company transferred the management responsibility of certain business units between the two operating segments, primarily the management of the Company's UK apprenticeship training business to the Business Transformation Services segment, and the management of the platform adoption services business to the Workforce Excellence segment.</t>
        </r>
      </text>
    </comment>
    <comment ref="AE7" authorId="0" shapeId="0" xr:uid="{00000000-0006-0000-0200-000009000000}">
      <text>
        <r>
          <rPr>
            <b/>
            <sz val="9"/>
            <rFont val="Tahoma"/>
            <family val="2"/>
          </rPr>
          <t>Canalyst (YiL):</t>
        </r>
        <r>
          <rPr>
            <sz val="9"/>
            <rFont val="Tahoma"/>
            <family val="2"/>
          </rPr>
          <t xml:space="preserve">
Formula revised due to resegmentation</t>
        </r>
      </text>
    </comment>
    <comment ref="AF7" authorId="0" shapeId="0" xr:uid="{00000000-0006-0000-0200-00000A000000}">
      <text>
        <r>
          <rPr>
            <b/>
            <sz val="9"/>
            <rFont val="Tahoma"/>
            <family val="2"/>
          </rPr>
          <t>Canalyst (SJ):</t>
        </r>
        <r>
          <rPr>
            <sz val="9"/>
            <rFont val="Tahoma"/>
            <family val="2"/>
          </rPr>
          <t xml:space="preserve">
Formula revised due to resegmentation</t>
        </r>
      </text>
    </comment>
    <comment ref="AG7" authorId="1" shapeId="0" xr:uid="{00000000-0006-0000-0200-00000B000000}">
      <text>
        <r>
          <rPr>
            <b/>
            <sz val="9"/>
            <rFont val="Tahoma"/>
            <family val="2"/>
          </rPr>
          <t>Canalyst (SJ):</t>
        </r>
        <r>
          <rPr>
            <sz val="9"/>
            <rFont val="Tahoma"/>
            <family val="2"/>
          </rPr>
          <t xml:space="preserve">
NMF after Q1 2020 resegmentation</t>
        </r>
      </text>
    </comment>
    <comment ref="AH7" authorId="1" shapeId="0" xr:uid="{00000000-0006-0000-0200-00000C000000}">
      <text>
        <r>
          <rPr>
            <b/>
            <sz val="9"/>
            <rFont val="Tahoma"/>
            <family val="2"/>
          </rPr>
          <t>Canalyst (SJ):</t>
        </r>
        <r>
          <rPr>
            <sz val="9"/>
            <rFont val="Tahoma"/>
            <family val="2"/>
          </rPr>
          <t xml:space="preserve">
NMF after Q1 2020 resegmentation</t>
        </r>
      </text>
    </comment>
    <comment ref="AY7" authorId="1" shapeId="0" xr:uid="{00000000-0006-0000-0200-00000D000000}">
      <text>
        <r>
          <rPr>
            <b/>
            <sz val="9"/>
            <rFont val="Tahoma"/>
            <family val="2"/>
          </rPr>
          <t>Canalyst (SJ):</t>
        </r>
        <r>
          <rPr>
            <sz val="9"/>
            <rFont val="Tahoma"/>
            <family val="2"/>
          </rPr>
          <t xml:space="preserve">
NMF after Q1 2020 resegmentation</t>
        </r>
      </text>
    </comment>
    <comment ref="AE8" authorId="0" shapeId="0" xr:uid="{00000000-0006-0000-0200-00000E000000}">
      <text>
        <r>
          <rPr>
            <b/>
            <sz val="9"/>
            <rFont val="Tahoma"/>
            <family val="2"/>
          </rPr>
          <t>Canalyst (YiL):</t>
        </r>
        <r>
          <rPr>
            <sz val="9"/>
            <rFont val="Tahoma"/>
            <family val="2"/>
          </rPr>
          <t xml:space="preserve">
Formula revised due to resegmentation</t>
        </r>
      </text>
    </comment>
    <comment ref="AF8" authorId="0" shapeId="0" xr:uid="{00000000-0006-0000-0200-00000F000000}">
      <text>
        <r>
          <rPr>
            <b/>
            <sz val="9"/>
            <rFont val="Tahoma"/>
            <family val="2"/>
          </rPr>
          <t>Canalyst (SJ):</t>
        </r>
        <r>
          <rPr>
            <sz val="9"/>
            <rFont val="Tahoma"/>
            <family val="2"/>
          </rPr>
          <t xml:space="preserve">
Formula revised due to resegmentation</t>
        </r>
      </text>
    </comment>
    <comment ref="AG8" authorId="1" shapeId="0" xr:uid="{00000000-0006-0000-0200-000010000000}">
      <text>
        <r>
          <rPr>
            <b/>
            <sz val="9"/>
            <rFont val="Tahoma"/>
            <family val="2"/>
          </rPr>
          <t>Canalyst (SJ):</t>
        </r>
        <r>
          <rPr>
            <sz val="9"/>
            <rFont val="Tahoma"/>
            <family val="2"/>
          </rPr>
          <t xml:space="preserve">
NMF after Q1 2020 resegmentation</t>
        </r>
      </text>
    </comment>
    <comment ref="AH8" authorId="1" shapeId="0" xr:uid="{00000000-0006-0000-0200-000011000000}">
      <text>
        <r>
          <rPr>
            <b/>
            <sz val="9"/>
            <rFont val="Tahoma"/>
            <family val="2"/>
          </rPr>
          <t>Canalyst (SJ):</t>
        </r>
        <r>
          <rPr>
            <sz val="9"/>
            <rFont val="Tahoma"/>
            <family val="2"/>
          </rPr>
          <t xml:space="preserve">
NMF after Q1 2020 resegmentation</t>
        </r>
      </text>
    </comment>
    <comment ref="AY8" authorId="1" shapeId="0" xr:uid="{00000000-0006-0000-0200-000012000000}">
      <text>
        <r>
          <rPr>
            <b/>
            <sz val="9"/>
            <rFont val="Tahoma"/>
            <family val="2"/>
          </rPr>
          <t>Canalyst (SJ):</t>
        </r>
        <r>
          <rPr>
            <sz val="9"/>
            <rFont val="Tahoma"/>
            <family val="2"/>
          </rPr>
          <t xml:space="preserve">
NMF after Q1 2020 resegmentation</t>
        </r>
      </text>
    </comment>
    <comment ref="W26" authorId="2" shapeId="0" xr:uid="{00000000-0006-0000-0200-000013000000}">
      <text>
        <r>
          <rPr>
            <b/>
            <sz val="9"/>
            <rFont val="Tahoma"/>
            <family val="2"/>
          </rPr>
          <t>Canalyst (JiF):</t>
        </r>
        <r>
          <rPr>
            <sz val="9"/>
            <rFont val="Tahoma"/>
            <family val="2"/>
          </rPr>
          <t xml:space="preserve">
In December 2017 the Company reorganized its operations into two operating segments.</t>
        </r>
      </text>
    </comment>
    <comment ref="AA26" authorId="0" shapeId="0" xr:uid="{00000000-0006-0000-0200-000014000000}">
      <text>
        <r>
          <rPr>
            <b/>
            <sz val="9"/>
            <rFont val="Tahoma"/>
            <family val="2"/>
          </rPr>
          <t>Canalyst (YiL):</t>
        </r>
        <r>
          <rPr>
            <sz val="9"/>
            <rFont val="Tahoma"/>
            <family val="2"/>
          </rPr>
          <t xml:space="preserve">
Segmented results to be restated with FY2020 reports due to resegmentation in Q1-2020</t>
        </r>
      </text>
    </comment>
    <comment ref="AB26" authorId="0" shapeId="0" xr:uid="{00000000-0006-0000-0200-000015000000}">
      <text>
        <r>
          <rPr>
            <b/>
            <sz val="9"/>
            <rFont val="Tahoma"/>
            <family val="2"/>
          </rPr>
          <t>Canalyst (YiL):</t>
        </r>
        <r>
          <rPr>
            <sz val="9"/>
            <rFont val="Tahoma"/>
            <family val="2"/>
          </rPr>
          <t xml:space="preserve">
Segmented results to be restated with FY2020 reports due to resegmentation in Q1-2020</t>
        </r>
      </text>
    </comment>
    <comment ref="AC26" authorId="0" shapeId="0" xr:uid="{00000000-0006-0000-0200-000016000000}">
      <text>
        <r>
          <rPr>
            <b/>
            <sz val="9"/>
            <rFont val="Tahoma"/>
            <family val="2"/>
          </rPr>
          <t>Canalyst (YiL):</t>
        </r>
        <r>
          <rPr>
            <sz val="9"/>
            <rFont val="Tahoma"/>
            <family val="2"/>
          </rPr>
          <t xml:space="preserve">
Segmented results to be restated with FY2020 reports due to resegmentation in Q1-2020</t>
        </r>
      </text>
    </comment>
    <comment ref="AD26" authorId="0" shapeId="0" xr:uid="{00000000-0006-0000-0200-000017000000}">
      <text>
        <r>
          <rPr>
            <b/>
            <sz val="9"/>
            <rFont val="Tahoma"/>
            <family val="2"/>
          </rPr>
          <t>Canalyst (YiL):</t>
        </r>
        <r>
          <rPr>
            <sz val="9"/>
            <rFont val="Tahoma"/>
            <family val="2"/>
          </rPr>
          <t xml:space="preserve">
Segmented results to be restated with FY2020 reports due to resegmentation in Q1-2020</t>
        </r>
      </text>
    </comment>
    <comment ref="AE26" authorId="0" shapeId="0" xr:uid="{00000000-0006-0000-0200-000018000000}">
      <text>
        <r>
          <rPr>
            <b/>
            <sz val="9"/>
            <rFont val="Tahoma"/>
            <family val="2"/>
          </rPr>
          <t>Canalyst (YiL):</t>
        </r>
        <r>
          <rPr>
            <sz val="9"/>
            <rFont val="Tahoma"/>
            <family val="2"/>
          </rPr>
          <t xml:space="preserve">
Effective January 1, 2020, the Company transferred the management responsibility of certain business units between the two operating segments, primarily the management of the Company's UK apprenticeship training business to the Business Transformation Services segment, and the management of the platform adoption services business to the Workforce Excellence segment.</t>
        </r>
      </text>
    </comment>
    <comment ref="AF26" authorId="0" shapeId="0" xr:uid="{00000000-0006-0000-0200-000019000000}">
      <text>
        <r>
          <rPr>
            <b/>
            <sz val="9"/>
            <rFont val="Tahoma"/>
            <family val="2"/>
          </rPr>
          <t>Canalyst (YiL):</t>
        </r>
        <r>
          <rPr>
            <sz val="9"/>
            <rFont val="Tahoma"/>
            <family val="2"/>
          </rPr>
          <t xml:space="preserve">
Effective January 1, 2020, the Company transferred the management responsibility of certain business units between the two operating segments, primarily the management of the Company's UK apprenticeship training business to the Business Transformation Services segment, and the management of the platform adoption services business to the Workforce Excellence segment.</t>
        </r>
      </text>
    </comment>
    <comment ref="AX26" authorId="0" shapeId="0" xr:uid="{00000000-0006-0000-0200-00001A000000}">
      <text>
        <r>
          <rPr>
            <b/>
            <sz val="9"/>
            <rFont val="Tahoma"/>
            <family val="2"/>
          </rPr>
          <t>Canalyst (YiL):</t>
        </r>
        <r>
          <rPr>
            <sz val="9"/>
            <rFont val="Tahoma"/>
            <family val="2"/>
          </rPr>
          <t xml:space="preserve">
Segmented results to be restated with FY2020 reports due to resegmentation in Q1-2020</t>
        </r>
      </text>
    </comment>
    <comment ref="A27" authorId="2" shapeId="0" xr:uid="{00000000-0006-0000-0100-000008000000}">
      <text>
        <r>
          <rPr>
            <b/>
            <sz val="9"/>
            <rFont val="Tahoma"/>
            <family val="2"/>
          </rPr>
          <t>Canalyst (JiF):</t>
        </r>
        <r>
          <rPr>
            <sz val="9"/>
            <rFont val="Tahoma"/>
            <family val="2"/>
          </rPr>
          <t xml:space="preserve">
Includes the majority of the former Learning Solutions and Professional &amp; Technical Services segments</t>
        </r>
      </text>
    </comment>
    <comment ref="AG27" authorId="1" shapeId="0" xr:uid="{00000000-0006-0000-0200-00001C000000}">
      <text>
        <r>
          <rPr>
            <b/>
            <sz val="9"/>
            <rFont val="Tahoma"/>
            <family val="2"/>
          </rPr>
          <t>Canalyst (SJ):</t>
        </r>
        <r>
          <rPr>
            <sz val="9"/>
            <rFont val="Tahoma"/>
            <family val="2"/>
          </rPr>
          <t xml:space="preserve">
hardcoded due to resegmentation</t>
        </r>
      </text>
    </comment>
    <comment ref="AH27" authorId="1" shapeId="0" xr:uid="{00000000-0006-0000-0200-00001D000000}">
      <text>
        <r>
          <rPr>
            <b/>
            <sz val="9"/>
            <rFont val="Tahoma"/>
            <family val="2"/>
          </rPr>
          <t>Canalyst (SJ):</t>
        </r>
        <r>
          <rPr>
            <sz val="9"/>
            <rFont val="Tahoma"/>
            <family val="2"/>
          </rPr>
          <t xml:space="preserve">
hardcoded due to resegmentation</t>
        </r>
      </text>
    </comment>
    <comment ref="A28" authorId="2" shapeId="0" xr:uid="{00000000-0006-0000-0100-000009000000}">
      <text>
        <r>
          <rPr>
            <b/>
            <sz val="9"/>
            <rFont val="Tahoma"/>
            <family val="2"/>
          </rPr>
          <t>Canalyst (JiF):</t>
        </r>
        <r>
          <rPr>
            <sz val="9"/>
            <rFont val="Tahoma"/>
            <family val="2"/>
          </rPr>
          <t xml:space="preserve">
Includes the majority of the former Performance Readiness solutions and Sandy Training &amp; Marketing segments.</t>
        </r>
      </text>
    </comment>
    <comment ref="AG28" authorId="1" shapeId="0" xr:uid="{00000000-0006-0000-0200-00001F000000}">
      <text>
        <r>
          <rPr>
            <b/>
            <sz val="9"/>
            <rFont val="Tahoma"/>
            <family val="2"/>
          </rPr>
          <t>Canalyst (SJ):</t>
        </r>
        <r>
          <rPr>
            <sz val="9"/>
            <rFont val="Tahoma"/>
            <family val="2"/>
          </rPr>
          <t xml:space="preserve">
hardcoded due to resegmentation</t>
        </r>
      </text>
    </comment>
    <comment ref="AH28" authorId="1" shapeId="0" xr:uid="{00000000-0006-0000-0200-000020000000}">
      <text>
        <r>
          <rPr>
            <b/>
            <sz val="9"/>
            <rFont val="Tahoma"/>
            <family val="2"/>
          </rPr>
          <t>Canalyst (SJ):</t>
        </r>
        <r>
          <rPr>
            <sz val="9"/>
            <rFont val="Tahoma"/>
            <family val="2"/>
          </rPr>
          <t xml:space="preserve">
hardcoded due to resegmentation</t>
        </r>
      </text>
    </comment>
    <comment ref="AG29" authorId="1" shapeId="0" xr:uid="{00000000-0006-0000-0200-000021000000}">
      <text>
        <r>
          <rPr>
            <b/>
            <sz val="9"/>
            <rFont val="Tahoma"/>
            <family val="2"/>
          </rPr>
          <t>Canalyst (SJ):</t>
        </r>
        <r>
          <rPr>
            <sz val="9"/>
            <rFont val="Tahoma"/>
            <family val="2"/>
          </rPr>
          <t xml:space="preserve">
"We expect our revenue to increase sequentially for the third and fourth quarters of the year"</t>
        </r>
      </text>
    </comment>
    <comment ref="AH29" authorId="1" shapeId="0" xr:uid="{00000000-0006-0000-0200-000022000000}">
      <text>
        <r>
          <rPr>
            <b/>
            <sz val="9"/>
            <rFont val="Tahoma"/>
            <family val="2"/>
          </rPr>
          <t>Canalyst (SJ):</t>
        </r>
        <r>
          <rPr>
            <sz val="9"/>
            <rFont val="Tahoma"/>
            <family val="2"/>
          </rPr>
          <t xml:space="preserve">
"We expect our revenue to increase sequentially for the third and fourth quarters of the year"</t>
        </r>
      </text>
    </comment>
    <comment ref="C40" authorId="3" shapeId="0" xr:uid="{00000000-0006-0000-0200-000023000000}">
      <text>
        <r>
          <rPr>
            <sz val="11"/>
            <rFont val="Calibri"/>
            <family val="2"/>
          </rPr>
          <t>Canalyst (JH):
no backlog data available</t>
        </r>
      </text>
    </comment>
    <comment ref="E40" authorId="3" shapeId="0" xr:uid="{00000000-0006-0000-0200-000024000000}">
      <text>
        <r>
          <rPr>
            <sz val="11"/>
            <rFont val="Calibri"/>
            <family val="2"/>
          </rPr>
          <t>Canalyst (JH):
no backlog data available</t>
        </r>
      </text>
    </comment>
    <comment ref="G40" authorId="3" shapeId="0" xr:uid="{00000000-0006-0000-0200-000025000000}">
      <text>
        <r>
          <rPr>
            <sz val="11"/>
            <rFont val="Calibri"/>
            <family val="2"/>
          </rPr>
          <t>Canalyst (JH):
no backlog data available</t>
        </r>
      </text>
    </comment>
    <comment ref="I40" authorId="3" shapeId="0" xr:uid="{00000000-0006-0000-0200-000026000000}">
      <text>
        <r>
          <rPr>
            <sz val="11"/>
            <rFont val="Calibri"/>
            <family val="2"/>
          </rPr>
          <t>Canalyst (JH):
no backlog data available</t>
        </r>
      </text>
    </comment>
    <comment ref="M40" authorId="3" shapeId="0" xr:uid="{00000000-0006-0000-0200-000027000000}">
      <text>
        <r>
          <rPr>
            <sz val="11"/>
            <rFont val="Calibri"/>
            <family val="2"/>
          </rPr>
          <t>Canalyst (JH):
no backlog data available</t>
        </r>
      </text>
    </comment>
    <comment ref="Q40" authorId="4" shapeId="0" xr:uid="{00000000-0006-0000-0200-000028000000}">
      <text>
        <r>
          <rPr>
            <b/>
            <sz val="9"/>
            <rFont val="Tahoma"/>
            <family val="2"/>
          </rPr>
          <t>Canalyst (JP):</t>
        </r>
        <r>
          <rPr>
            <sz val="9"/>
            <rFont val="Tahoma"/>
            <family val="2"/>
          </rPr>
          <t xml:space="preserve">
Backlog not available during this period</t>
        </r>
      </text>
    </comment>
    <comment ref="S40" authorId="2" shapeId="0" xr:uid="{00000000-0006-0000-0200-000029000000}">
      <text>
        <r>
          <rPr>
            <b/>
            <sz val="9"/>
            <rFont val="Tahoma"/>
            <family val="2"/>
          </rPr>
          <t>Canalyst (JiF):</t>
        </r>
        <r>
          <rPr>
            <sz val="9"/>
            <rFont val="Tahoma"/>
            <family val="2"/>
          </rPr>
          <t xml:space="preserve">
Backlog information not available.</t>
        </r>
      </text>
    </comment>
    <comment ref="T40" authorId="5" shapeId="0" xr:uid="{00000000-0006-0000-0200-00002A000000}">
      <text>
        <r>
          <rPr>
            <b/>
            <sz val="9"/>
            <rFont val="Tahoma"/>
            <family val="2"/>
          </rPr>
          <t>Canalyst (HZ):</t>
        </r>
        <r>
          <rPr>
            <sz val="9"/>
            <rFont val="Tahoma"/>
            <family val="2"/>
          </rPr>
          <t xml:space="preserve">
Not reported</t>
        </r>
      </text>
    </comment>
    <comment ref="U40" authorId="2" shapeId="0" xr:uid="{00000000-0006-0000-0200-00002B000000}">
      <text>
        <r>
          <rPr>
            <b/>
            <sz val="9"/>
            <rFont val="Tahoma"/>
            <family val="2"/>
          </rPr>
          <t>Canalyst (JiF):</t>
        </r>
        <r>
          <rPr>
            <sz val="9"/>
            <rFont val="Tahoma"/>
            <family val="2"/>
          </rPr>
          <t xml:space="preserve">
Excludes 25.7mm in backlog on a contract with a foreign oil and gas client which was terminated in Q4-2017</t>
        </r>
      </text>
    </comment>
    <comment ref="AR42" authorId="0" shapeId="0" xr:uid="{00000000-0006-0000-0200-00002C000000}">
      <text>
        <r>
          <rPr>
            <b/>
            <sz val="9"/>
            <rFont val="Tahoma"/>
            <family val="2"/>
          </rPr>
          <t>Canalyst (YiL):</t>
        </r>
        <r>
          <rPr>
            <sz val="9"/>
            <rFont val="Tahoma"/>
            <family val="2"/>
          </rPr>
          <t xml:space="preserve">
Resegmented results were provided in FY2015 10-K</t>
        </r>
      </text>
    </comment>
    <comment ref="AO78" authorId="0" shapeId="0" xr:uid="{00000000-0006-0000-0200-00002D000000}">
      <text>
        <r>
          <rPr>
            <b/>
            <sz val="9"/>
            <rFont val="Tahoma"/>
            <family val="2"/>
          </rPr>
          <t>Canalyst (YiL):</t>
        </r>
        <r>
          <rPr>
            <sz val="9"/>
            <rFont val="Tahoma"/>
            <family val="2"/>
          </rPr>
          <t xml:space="preserve">
previously called RWD segment</t>
        </r>
      </text>
    </comment>
    <comment ref="W82" authorId="2" shapeId="0" xr:uid="{00000000-0006-0000-0200-00002E000000}">
      <text>
        <r>
          <rPr>
            <b/>
            <sz val="9"/>
            <rFont val="Tahoma"/>
            <family val="2"/>
          </rPr>
          <t>Canalyst (JiF):</t>
        </r>
        <r>
          <rPr>
            <sz val="9"/>
            <rFont val="Tahoma"/>
            <family val="2"/>
          </rPr>
          <t xml:space="preserve">
In December 2017 the Company reorganized its operations into two operating segments.</t>
        </r>
      </text>
    </comment>
    <comment ref="AR85" authorId="0" shapeId="0" xr:uid="{00000000-0006-0000-0200-00002F000000}">
      <text>
        <r>
          <rPr>
            <b/>
            <sz val="9"/>
            <rFont val="Tahoma"/>
            <family val="2"/>
          </rPr>
          <t>Canalyst (YiL):</t>
        </r>
        <r>
          <rPr>
            <sz val="9"/>
            <rFont val="Tahoma"/>
            <family val="2"/>
          </rPr>
          <t xml:space="preserve">
Resegmented results were provided in FY2015 10-K</t>
        </r>
      </text>
    </comment>
    <comment ref="AR86" authorId="0" shapeId="0" xr:uid="{00000000-0006-0000-0200-000030000000}">
      <text>
        <r>
          <rPr>
            <b/>
            <sz val="9"/>
            <rFont val="Tahoma"/>
            <family val="2"/>
          </rPr>
          <t>Canalyst (YiL):</t>
        </r>
        <r>
          <rPr>
            <sz val="9"/>
            <rFont val="Tahoma"/>
            <family val="2"/>
          </rPr>
          <t xml:space="preserve">
Resegmented results were provided in FY2015 10-K</t>
        </r>
      </text>
    </comment>
    <comment ref="AR87" authorId="0" shapeId="0" xr:uid="{00000000-0006-0000-0200-000031000000}">
      <text>
        <r>
          <rPr>
            <b/>
            <sz val="9"/>
            <rFont val="Tahoma"/>
            <family val="2"/>
          </rPr>
          <t>Canalyst (YiL):</t>
        </r>
        <r>
          <rPr>
            <sz val="9"/>
            <rFont val="Tahoma"/>
            <family val="2"/>
          </rPr>
          <t xml:space="preserve">
Resegmented results were provided in FY2015 10-K</t>
        </r>
      </text>
    </comment>
    <comment ref="AR88" authorId="0" shapeId="0" xr:uid="{00000000-0006-0000-0200-000032000000}">
      <text>
        <r>
          <rPr>
            <b/>
            <sz val="9"/>
            <rFont val="Tahoma"/>
            <family val="2"/>
          </rPr>
          <t>Canalyst (YiL):</t>
        </r>
        <r>
          <rPr>
            <sz val="9"/>
            <rFont val="Tahoma"/>
            <family val="2"/>
          </rPr>
          <t xml:space="preserve">
Resegmented results were provided in FY2015 10-K</t>
        </r>
      </text>
    </comment>
    <comment ref="S137" authorId="2" shapeId="0" xr:uid="{00000000-0006-0000-0200-000033000000}">
      <text>
        <r>
          <rPr>
            <b/>
            <sz val="9"/>
            <rFont val="Tahoma"/>
            <family val="2"/>
          </rPr>
          <t>Canalyst (JiF):</t>
        </r>
        <r>
          <rPr>
            <sz val="9"/>
            <rFont val="Tahoma"/>
            <family val="2"/>
          </rPr>
          <t xml:space="preserve">
Est. using the 3m and 6m ended Jun-17</t>
        </r>
      </text>
    </comment>
    <comment ref="S153" authorId="2" shapeId="0" xr:uid="{00000000-0006-0000-0200-000034000000}">
      <text>
        <r>
          <rPr>
            <b/>
            <sz val="9"/>
            <rFont val="Tahoma"/>
            <family val="2"/>
          </rPr>
          <t>Canalyst (JiF):</t>
        </r>
        <r>
          <rPr>
            <sz val="9"/>
            <rFont val="Tahoma"/>
            <family val="2"/>
          </rPr>
          <t xml:space="preserve">
Est. using the 3m and 6m ended Jun-17</t>
        </r>
      </text>
    </comment>
    <comment ref="AG168" authorId="1" shapeId="0" xr:uid="{00000000-0006-0000-0200-000035000000}">
      <text>
        <r>
          <rPr>
            <b/>
            <sz val="9"/>
            <rFont val="Tahoma"/>
            <family val="2"/>
          </rPr>
          <t>Canalyst (SJ):</t>
        </r>
        <r>
          <rPr>
            <sz val="9"/>
            <rFont val="Tahoma"/>
            <family val="2"/>
          </rPr>
          <t xml:space="preserve">
"We expect Adjusted EBITDA for the second half of 2020 to improve compared to the first half"</t>
        </r>
      </text>
    </comment>
    <comment ref="AH168" authorId="1" shapeId="0" xr:uid="{00000000-0006-0000-0200-000036000000}">
      <text>
        <r>
          <rPr>
            <b/>
            <sz val="9"/>
            <rFont val="Tahoma"/>
            <family val="2"/>
          </rPr>
          <t>Canalyst (SJ):</t>
        </r>
        <r>
          <rPr>
            <sz val="9"/>
            <rFont val="Tahoma"/>
            <family val="2"/>
          </rPr>
          <t xml:space="preserve">
"We expect Adjusted EBITDA for the second half of 2020 to improve compared to the first half"</t>
        </r>
      </text>
    </comment>
    <comment ref="AF171" authorId="1" shapeId="0" xr:uid="{00000000-0006-0000-0200-000037000000}">
      <text>
        <r>
          <rPr>
            <b/>
            <sz val="9"/>
            <rFont val="Tahoma"/>
            <family val="2"/>
            <charset val="1"/>
          </rPr>
          <t>Canalyst (SJ):</t>
        </r>
        <r>
          <rPr>
            <sz val="9"/>
            <rFont val="Tahoma"/>
            <family val="2"/>
            <charset val="1"/>
          </rPr>
          <t xml:space="preserve">
From PR</t>
        </r>
      </text>
    </comment>
    <comment ref="AF172" authorId="1" shapeId="0" xr:uid="{00000000-0006-0000-0200-000038000000}">
      <text>
        <r>
          <rPr>
            <b/>
            <sz val="9"/>
            <rFont val="Tahoma"/>
            <family val="2"/>
            <charset val="1"/>
          </rPr>
          <t>Canalyst (SJ):</t>
        </r>
        <r>
          <rPr>
            <sz val="9"/>
            <rFont val="Tahoma"/>
            <family val="2"/>
            <charset val="1"/>
          </rPr>
          <t xml:space="preserve">
From PR</t>
        </r>
      </text>
    </comment>
    <comment ref="AF182" authorId="1" shapeId="0" xr:uid="{00000000-0006-0000-0200-000039000000}">
      <text>
        <r>
          <rPr>
            <b/>
            <sz val="9"/>
            <rFont val="Tahoma"/>
            <family val="2"/>
            <charset val="1"/>
          </rPr>
          <t>Value is estimated due to partial update from PR. Numbers will be added upon release of the full statements.</t>
        </r>
      </text>
    </comment>
    <comment ref="AF195" authorId="1" shapeId="0" xr:uid="{00000000-0006-0000-0200-00003A000000}">
      <text>
        <r>
          <rPr>
            <b/>
            <sz val="9"/>
            <rFont val="Tahoma"/>
            <family val="2"/>
            <charset val="1"/>
          </rPr>
          <t>Value is estimated due to partial update from PR. Numbers will be added upon release of the full statements.</t>
        </r>
      </text>
    </comment>
    <comment ref="AF206" authorId="1" shapeId="0" xr:uid="{00000000-0006-0000-0200-00003B000000}">
      <text>
        <r>
          <rPr>
            <b/>
            <sz val="9"/>
            <rFont val="Tahoma"/>
            <family val="2"/>
            <charset val="1"/>
          </rPr>
          <t>Cash Flow is not included due to partial update from PR. Values within this section are estimated. Numbers will be added upon release of the full statements.</t>
        </r>
      </text>
    </comment>
    <comment ref="AF210" authorId="1" shapeId="0" xr:uid="{00000000-0006-0000-0200-00003C000000}">
      <text>
        <r>
          <rPr>
            <b/>
            <sz val="9"/>
            <rFont val="Tahoma"/>
            <family val="2"/>
          </rPr>
          <t>Canalyst (SJ):</t>
        </r>
        <r>
          <rPr>
            <sz val="9"/>
            <rFont val="Tahoma"/>
            <family val="2"/>
          </rPr>
          <t xml:space="preserve">
From PR</t>
        </r>
      </text>
    </comment>
    <comment ref="Q212" authorId="4" shapeId="0" xr:uid="{00000000-0006-0000-0200-00003D000000}">
      <text>
        <r>
          <rPr>
            <b/>
            <sz val="9"/>
            <rFont val="Tahoma"/>
            <family val="2"/>
          </rPr>
          <t>Canalyst (JP):</t>
        </r>
        <r>
          <rPr>
            <sz val="9"/>
            <rFont val="Tahoma"/>
            <family val="2"/>
          </rPr>
          <t xml:space="preserve">
As reported</t>
        </r>
      </text>
    </comment>
    <comment ref="W212" authorId="6" shapeId="0" xr:uid="{00000000-0006-0000-0200-00003E000000}">
      <text>
        <r>
          <rPr>
            <b/>
            <sz val="9"/>
            <rFont val="Tahoma"/>
            <family val="2"/>
          </rPr>
          <t>Canalyst (CW):</t>
        </r>
        <r>
          <rPr>
            <sz val="9"/>
            <rFont val="Tahoma"/>
            <family val="2"/>
          </rPr>
          <t xml:space="preserve">
On January 2, 2018 the company acquired Hula Partners.</t>
        </r>
      </text>
    </comment>
    <comment ref="X212" authorId="6" shapeId="0" xr:uid="{00000000-0006-0000-0200-00003F000000}">
      <text>
        <r>
          <rPr>
            <b/>
            <sz val="9"/>
            <rFont val="Tahoma"/>
            <family val="2"/>
          </rPr>
          <t>Canalyst (CW):</t>
        </r>
        <r>
          <rPr>
            <sz val="9"/>
            <rFont val="Tahoma"/>
            <family val="2"/>
          </rPr>
          <t xml:space="preserve">
On May 1, 2018 the company acquired IC Acquisition Corporation.</t>
        </r>
      </text>
    </comment>
    <comment ref="Y212" authorId="7" shapeId="0" xr:uid="{00000000-0006-0000-0200-000040000000}">
      <text>
        <r>
          <rPr>
            <b/>
            <sz val="9"/>
            <rFont val="Tahoma"/>
            <family val="2"/>
          </rPr>
          <t>Canalyst (KT):</t>
        </r>
        <r>
          <rPr>
            <sz val="9"/>
            <rFont val="Tahoma"/>
            <family val="2"/>
          </rPr>
          <t xml:space="preserve">
On August 7th, the Company acquired TTi (Europe) Limited</t>
        </r>
      </text>
    </comment>
    <comment ref="Z212" authorId="0" shapeId="0" xr:uid="{00000000-0006-0000-0200-000041000000}">
      <text>
        <r>
          <rPr>
            <b/>
            <sz val="9"/>
            <rFont val="Tahoma"/>
            <family val="2"/>
          </rPr>
          <t>Canalyst (YiL):</t>
        </r>
        <r>
          <rPr>
            <sz val="9"/>
            <rFont val="Tahoma"/>
            <family val="2"/>
          </rPr>
          <t xml:space="preserve">
On Nov 30, 2018, the Company acquired TTi Global</t>
        </r>
      </text>
    </comment>
    <comment ref="AF212" authorId="1" shapeId="0" xr:uid="{00000000-0006-0000-0200-000042000000}">
      <text>
        <r>
          <rPr>
            <b/>
            <sz val="9"/>
            <rFont val="Tahoma"/>
            <family val="2"/>
            <charset val="1"/>
          </rPr>
          <t>Value is estimated due to partial update from PR. Numbers will be added upon release of the full statements.</t>
        </r>
      </text>
    </comment>
    <comment ref="AD213" authorId="8" shapeId="0" xr:uid="{00000000-0006-0000-0200-000043000000}">
      <text>
        <r>
          <rPr>
            <b/>
            <sz val="9"/>
            <rFont val="Tahoma"/>
            <family val="2"/>
          </rPr>
          <t>Canalyst (PZ):</t>
        </r>
        <r>
          <rPr>
            <sz val="9"/>
            <rFont val="Tahoma"/>
            <family val="2"/>
          </rPr>
          <t xml:space="preserve">
Sale of tuition program management business.</t>
        </r>
      </text>
    </comment>
    <comment ref="AF213" authorId="1" shapeId="0" xr:uid="{00000000-0006-0000-0200-000044000000}">
      <text>
        <r>
          <rPr>
            <b/>
            <sz val="9"/>
            <rFont val="Tahoma"/>
            <family val="2"/>
            <charset val="1"/>
          </rPr>
          <t>Value is estimated due to partial update from PR. Numbers will be added upon release of the full statements.</t>
        </r>
      </text>
    </comment>
    <comment ref="AF267" authorId="1" shapeId="0" xr:uid="{00000000-0006-0000-0200-000045000000}">
      <text>
        <r>
          <rPr>
            <b/>
            <sz val="9"/>
            <rFont val="Tahoma"/>
            <family val="2"/>
            <charset val="1"/>
          </rPr>
          <t>Cash Flow is not included due to partial update from PR. Values within this section are estimated. Numbers will be added upon release of the full statements.</t>
        </r>
      </text>
    </comment>
    <comment ref="A284" authorId="0" shapeId="0" xr:uid="{00000000-0006-0000-0100-000024000000}">
      <text>
        <r>
          <rPr>
            <b/>
            <sz val="9"/>
            <rFont val="Tahoma"/>
            <family val="2"/>
          </rPr>
          <t>Canalyst (YiL):</t>
        </r>
        <r>
          <rPr>
            <sz val="9"/>
            <rFont val="Tahoma"/>
            <family val="2"/>
          </rPr>
          <t xml:space="preserve">
Previously called "Billings in excess of costs and estimated earnings on uncompleted contracts"</t>
        </r>
      </text>
    </comment>
    <comment ref="AF320" authorId="1" shapeId="0" xr:uid="{00000000-0006-0000-0200-000047000000}">
      <text>
        <r>
          <rPr>
            <b/>
            <sz val="9"/>
            <rFont val="Tahoma"/>
            <family val="2"/>
            <charset val="1"/>
          </rPr>
          <t>Cash Flow is not included due to partial update from PR. The formula has been adjusted accordingly.</t>
        </r>
      </text>
    </comment>
    <comment ref="AF323" authorId="1" shapeId="0" xr:uid="{00000000-0006-0000-0200-000048000000}">
      <text>
        <r>
          <rPr>
            <b/>
            <sz val="9"/>
            <rFont val="Tahoma"/>
            <family val="2"/>
            <charset val="1"/>
          </rPr>
          <t>Cash Flow is not included due to partial update from PR. The formula has been adjusted accordingly.</t>
        </r>
      </text>
    </comment>
    <comment ref="AF325" authorId="1" shapeId="0" xr:uid="{00000000-0006-0000-0200-000049000000}">
      <text>
        <r>
          <rPr>
            <b/>
            <sz val="9"/>
            <rFont val="Tahoma"/>
            <family val="2"/>
            <charset val="1"/>
          </rPr>
          <t>Cash Flow is not included due to partial update from PR. Values within this section are estimated. Numbers will be added upon release of the full statements.</t>
        </r>
      </text>
    </comment>
    <comment ref="AF345" authorId="1" shapeId="0" xr:uid="{00000000-0006-0000-0200-00004A000000}">
      <text>
        <r>
          <rPr>
            <b/>
            <sz val="9"/>
            <rFont val="Tahoma"/>
            <family val="2"/>
          </rPr>
          <t>Canalyst (SJ):</t>
        </r>
        <r>
          <rPr>
            <sz val="9"/>
            <rFont val="Tahoma"/>
            <family val="2"/>
          </rPr>
          <t xml:space="preserve">
Estimated to match CFO as reported</t>
        </r>
      </text>
    </comment>
    <comment ref="AF373" authorId="1" shapeId="0" xr:uid="{00000000-0006-0000-0200-00004B000000}">
      <text>
        <r>
          <rPr>
            <b/>
            <sz val="9"/>
            <rFont val="Tahoma"/>
            <family val="2"/>
          </rPr>
          <t>Canalyst (SJ):</t>
        </r>
        <r>
          <rPr>
            <sz val="9"/>
            <rFont val="Tahoma"/>
            <family val="2"/>
          </rPr>
          <t xml:space="preserve">
Estimated to match cash</t>
        </r>
      </text>
    </comment>
    <comment ref="AF378" authorId="1" shapeId="0" xr:uid="{00000000-0006-0000-0200-00004C000000}">
      <text>
        <r>
          <rPr>
            <b/>
            <sz val="9"/>
            <rFont val="Tahoma"/>
            <family val="2"/>
            <charset val="1"/>
          </rPr>
          <t>Cash Flow is not included due to partial update from PR. The formula has been adjusted accordingly.</t>
        </r>
      </text>
    </comment>
    <comment ref="AY378" authorId="1" shapeId="0" xr:uid="{00000000-0006-0000-0200-00004D000000}">
      <text>
        <r>
          <rPr>
            <b/>
            <sz val="9"/>
            <rFont val="Tahoma"/>
            <family val="2"/>
            <charset val="1"/>
          </rPr>
          <t>Cash Flow is not included due to partial update from PR. The formula has been adjusted accordingly.</t>
        </r>
      </text>
    </comment>
    <comment ref="AF381" authorId="1" shapeId="0" xr:uid="{00000000-0006-0000-0200-00004E000000}">
      <text>
        <r>
          <rPr>
            <b/>
            <sz val="9"/>
            <rFont val="Tahoma"/>
            <family val="2"/>
            <charset val="1"/>
          </rPr>
          <t>Cash Flow is not included due to partial update from PR. The formula has been adjusted accordingly.</t>
        </r>
      </text>
    </comment>
    <comment ref="A387" authorId="2" shapeId="0" xr:uid="{00000000-0006-0000-0100-00002C000000}">
      <text>
        <r>
          <rPr>
            <b/>
            <sz val="9"/>
            <rFont val="Tahoma"/>
            <family val="2"/>
          </rPr>
          <t>Canalyst (JiF):</t>
        </r>
        <r>
          <rPr>
            <sz val="9"/>
            <rFont val="Tahoma"/>
            <family val="2"/>
          </rPr>
          <t xml:space="preserve">
Previously named "Costs and estimated earnings in excess of billings on uncompleted contracts"</t>
        </r>
      </text>
    </comment>
    <comment ref="A392" authorId="2" shapeId="0" xr:uid="{00000000-0006-0000-0100-00002D000000}">
      <text>
        <r>
          <rPr>
            <b/>
            <sz val="9"/>
            <rFont val="Tahoma"/>
            <family val="2"/>
          </rPr>
          <t>Canalyst (JiF):</t>
        </r>
        <r>
          <rPr>
            <sz val="9"/>
            <rFont val="Tahoma"/>
            <family val="2"/>
          </rPr>
          <t xml:space="preserve">
Previously named "Costs and estimated earnings in excess of billings on uncompleted contracts"</t>
        </r>
      </text>
    </comment>
    <comment ref="AF396" authorId="1" shapeId="0" xr:uid="{00000000-0006-0000-0200-000051000000}">
      <text>
        <r>
          <rPr>
            <b/>
            <sz val="9"/>
            <rFont val="Tahoma"/>
            <family val="2"/>
          </rPr>
          <t>Canalyst (SJ):</t>
        </r>
        <r>
          <rPr>
            <sz val="9"/>
            <rFont val="Tahoma"/>
            <family val="2"/>
          </rPr>
          <t xml:space="preserve">
To be updated with 10-Q</t>
        </r>
      </text>
    </comment>
    <comment ref="A400" authorId="2" shapeId="0" xr:uid="{00000000-0006-0000-0100-00002F000000}">
      <text>
        <r>
          <rPr>
            <b/>
            <sz val="9"/>
            <rFont val="Tahoma"/>
            <family val="2"/>
          </rPr>
          <t>Canalyst (JiF):</t>
        </r>
        <r>
          <rPr>
            <sz val="9"/>
            <rFont val="Tahoma"/>
            <family val="2"/>
          </rPr>
          <t xml:space="preserve">
Previously named "Costs and estimated earnings in excess of billings on uncompleted contracts"</t>
        </r>
      </text>
    </comment>
    <comment ref="AV400" authorId="2" shapeId="0" xr:uid="{00000000-0006-0000-0200-000053000000}">
      <text>
        <r>
          <rPr>
            <b/>
            <sz val="9"/>
            <rFont val="Tahoma"/>
            <family val="2"/>
          </rPr>
          <t>Canalyst (JiF):</t>
        </r>
        <r>
          <rPr>
            <sz val="9"/>
            <rFont val="Tahoma"/>
            <family val="2"/>
          </rPr>
          <t xml:space="preserve">
Previously named "Costs and estimated earnings in excess of billings on uncompleted contracts"</t>
        </r>
      </text>
    </comment>
    <comment ref="AF407" authorId="1" shapeId="0" xr:uid="{00000000-0006-0000-0200-000054000000}">
      <text>
        <r>
          <rPr>
            <b/>
            <sz val="9"/>
            <rFont val="Tahoma"/>
            <family val="2"/>
          </rPr>
          <t>Canalyst (SJ):</t>
        </r>
        <r>
          <rPr>
            <sz val="9"/>
            <rFont val="Tahoma"/>
            <family val="2"/>
          </rPr>
          <t xml:space="preserve">
Estimated</t>
        </r>
      </text>
    </comment>
    <comment ref="AF408" authorId="1" shapeId="0" xr:uid="{00000000-0006-0000-0200-000055000000}">
      <text>
        <r>
          <rPr>
            <b/>
            <sz val="9"/>
            <rFont val="Tahoma"/>
            <family val="2"/>
          </rPr>
          <t>Canalyst (SJ):</t>
        </r>
        <r>
          <rPr>
            <sz val="9"/>
            <rFont val="Tahoma"/>
            <family val="2"/>
          </rPr>
          <t xml:space="preserve">
Estimated</t>
        </r>
      </text>
    </comment>
    <comment ref="AF410" authorId="1" shapeId="0" xr:uid="{00000000-0006-0000-0200-000056000000}">
      <text>
        <r>
          <rPr>
            <b/>
            <sz val="9"/>
            <rFont val="Tahoma"/>
            <family val="2"/>
          </rPr>
          <t>Canalyst (SJ):</t>
        </r>
        <r>
          <rPr>
            <sz val="9"/>
            <rFont val="Tahoma"/>
            <family val="2"/>
          </rPr>
          <t xml:space="preserve">
Estimated</t>
        </r>
      </text>
    </comment>
    <comment ref="AF412" authorId="1" shapeId="0" xr:uid="{00000000-0006-0000-0200-000057000000}">
      <text>
        <r>
          <rPr>
            <b/>
            <sz val="9"/>
            <rFont val="Tahoma"/>
            <family val="2"/>
          </rPr>
          <t>Canalyst (SJ):</t>
        </r>
        <r>
          <rPr>
            <sz val="9"/>
            <rFont val="Tahoma"/>
            <family val="2"/>
          </rPr>
          <t xml:space="preserve">
Estimated</t>
        </r>
      </text>
    </comment>
    <comment ref="A423" authorId="2" shapeId="0" xr:uid="{00000000-0006-0000-0100-000035000000}">
      <text>
        <r>
          <rPr>
            <b/>
            <sz val="9"/>
            <rFont val="Tahoma"/>
            <family val="2"/>
          </rPr>
          <t>Canalyst (JiF):</t>
        </r>
        <r>
          <rPr>
            <sz val="9"/>
            <rFont val="Tahoma"/>
            <family val="2"/>
          </rPr>
          <t xml:space="preserve">
Previously called "Billings in excess of costs and estimated earnings on uncompleted contracts"</t>
        </r>
      </text>
    </comment>
    <comment ref="AV423" authorId="2" shapeId="0" xr:uid="{00000000-0006-0000-0200-000059000000}">
      <text>
        <r>
          <rPr>
            <b/>
            <sz val="9"/>
            <rFont val="Tahoma"/>
            <family val="2"/>
          </rPr>
          <t>Canalyst (JiF):</t>
        </r>
        <r>
          <rPr>
            <sz val="9"/>
            <rFont val="Tahoma"/>
            <family val="2"/>
          </rPr>
          <t xml:space="preserve">
Previously called "Billings in excess of costs and estimated earnings on uncompleted contracts"</t>
        </r>
      </text>
    </comment>
    <comment ref="AF429" authorId="1" shapeId="0" xr:uid="{00000000-0006-0000-0200-00005A000000}">
      <text>
        <r>
          <rPr>
            <b/>
            <sz val="9"/>
            <rFont val="Tahoma"/>
            <family val="2"/>
          </rPr>
          <t>Canalyst (SJ):</t>
        </r>
        <r>
          <rPr>
            <sz val="9"/>
            <rFont val="Tahoma"/>
            <family val="2"/>
          </rPr>
          <t xml:space="preserve">
Estimated</t>
        </r>
      </text>
    </comment>
    <comment ref="AF430" authorId="1" shapeId="0" xr:uid="{00000000-0006-0000-0200-00005B000000}">
      <text>
        <r>
          <rPr>
            <b/>
            <sz val="9"/>
            <rFont val="Tahoma"/>
            <family val="2"/>
          </rPr>
          <t>Canalyst (SJ):</t>
        </r>
        <r>
          <rPr>
            <sz val="9"/>
            <rFont val="Tahoma"/>
            <family val="2"/>
          </rPr>
          <t xml:space="preserve">
Estimated</t>
        </r>
      </text>
    </comment>
    <comment ref="AF436" authorId="1" shapeId="0" xr:uid="{00000000-0006-0000-0200-00005C000000}">
      <text>
        <r>
          <rPr>
            <b/>
            <sz val="9"/>
            <rFont val="Tahoma"/>
            <family val="2"/>
          </rPr>
          <t>Canalyst (SJ):</t>
        </r>
        <r>
          <rPr>
            <sz val="9"/>
            <rFont val="Tahoma"/>
            <family val="2"/>
          </rPr>
          <t xml:space="preserve">
Estimated</t>
        </r>
      </text>
    </comment>
    <comment ref="AF437" authorId="1" shapeId="0" xr:uid="{00000000-0006-0000-0200-00005D000000}">
      <text>
        <r>
          <rPr>
            <b/>
            <sz val="9"/>
            <rFont val="Tahoma"/>
            <family val="2"/>
          </rPr>
          <t>Canalyst (SJ):</t>
        </r>
        <r>
          <rPr>
            <sz val="9"/>
            <rFont val="Tahoma"/>
            <family val="2"/>
          </rPr>
          <t xml:space="preserve">
Estimated</t>
        </r>
      </text>
    </comment>
    <comment ref="AF438" authorId="1" shapeId="0" xr:uid="{00000000-0006-0000-0200-00005E000000}">
      <text>
        <r>
          <rPr>
            <b/>
            <sz val="9"/>
            <rFont val="Tahoma"/>
            <family val="2"/>
          </rPr>
          <t>Canalyst (SJ):</t>
        </r>
        <r>
          <rPr>
            <sz val="9"/>
            <rFont val="Tahoma"/>
            <family val="2"/>
          </rPr>
          <t xml:space="preserve">
Estimated</t>
        </r>
      </text>
    </comment>
    <comment ref="AF439" authorId="1" shapeId="0" xr:uid="{00000000-0006-0000-0200-00005F000000}">
      <text>
        <r>
          <rPr>
            <b/>
            <sz val="9"/>
            <rFont val="Tahoma"/>
            <family val="2"/>
          </rPr>
          <t>Canalyst (SJ):</t>
        </r>
        <r>
          <rPr>
            <sz val="9"/>
            <rFont val="Tahoma"/>
            <family val="2"/>
          </rPr>
          <t xml:space="preserve">
Estimated</t>
        </r>
      </text>
    </comment>
    <comment ref="AF440" authorId="1" shapeId="0" xr:uid="{00000000-0006-0000-0200-000060000000}">
      <text>
        <r>
          <rPr>
            <b/>
            <sz val="9"/>
            <rFont val="Tahoma"/>
            <family val="2"/>
          </rPr>
          <t>Canalyst (SJ):</t>
        </r>
        <r>
          <rPr>
            <sz val="9"/>
            <rFont val="Tahoma"/>
            <family val="2"/>
          </rPr>
          <t xml:space="preserve">
Estimated</t>
        </r>
      </text>
    </comment>
    <comment ref="S452" authorId="0" shapeId="0" xr:uid="{00000000-0006-0000-0200-000061000000}">
      <text>
        <r>
          <rPr>
            <b/>
            <sz val="9"/>
            <rFont val="Tahoma"/>
            <family val="2"/>
          </rPr>
          <t>Canalyst (YiL):</t>
        </r>
        <r>
          <rPr>
            <sz val="9"/>
            <rFont val="Tahoma"/>
            <family val="2"/>
          </rPr>
          <t xml:space="preserve">
Formula revised as the company realigned its business segments in 2017</t>
        </r>
      </text>
    </comment>
    <comment ref="F462" authorId="9" shapeId="0" xr:uid="{00000000-0006-0000-0200-000062000000}">
      <text>
        <r>
          <rPr>
            <sz val="11"/>
            <rFont val="Calibri"/>
            <family val="2"/>
          </rPr>
          <t>Canalyst (BP):
As reported.</t>
        </r>
      </text>
    </comment>
    <comment ref="Q462" authorId="4" shapeId="0" xr:uid="{00000000-0006-0000-0200-000063000000}">
      <text>
        <r>
          <rPr>
            <b/>
            <sz val="9"/>
            <rFont val="Tahoma"/>
            <family val="2"/>
          </rPr>
          <t>Canalyst (JP):</t>
        </r>
        <r>
          <rPr>
            <sz val="9"/>
            <rFont val="Tahoma"/>
            <family val="2"/>
          </rPr>
          <t xml:space="preserve">
As reported</t>
        </r>
      </text>
    </comment>
    <comment ref="V462" authorId="2" shapeId="0" xr:uid="{00000000-0006-0000-0200-000064000000}">
      <text>
        <r>
          <rPr>
            <b/>
            <sz val="9"/>
            <rFont val="Tahoma"/>
            <family val="2"/>
          </rPr>
          <t>Canalyst (JiF):</t>
        </r>
        <r>
          <rPr>
            <sz val="9"/>
            <rFont val="Tahoma"/>
            <family val="2"/>
          </rPr>
          <t xml:space="preserve">
Acquisitions are net of cash acquired</t>
        </r>
      </text>
    </comment>
    <comment ref="AC462" authorId="10" shapeId="0" xr:uid="{00000000-0006-0000-0200-000065000000}">
      <text>
        <r>
          <rPr>
            <b/>
            <sz val="9"/>
            <rFont val="Tahoma"/>
            <family val="2"/>
            <charset val="1"/>
          </rPr>
          <t>Canalyst (AlD):</t>
        </r>
        <r>
          <rPr>
            <sz val="9"/>
            <rFont val="Tahoma"/>
            <family val="2"/>
            <charset val="1"/>
          </rPr>
          <t xml:space="preserve">
as reported</t>
        </r>
      </text>
    </comment>
    <comment ref="AX462" authorId="10" shapeId="0" xr:uid="{00000000-0006-0000-0200-000066000000}">
      <text>
        <r>
          <rPr>
            <b/>
            <sz val="9"/>
            <rFont val="Tahoma"/>
            <family val="2"/>
            <charset val="1"/>
          </rPr>
          <t>Canalyst (YiL):</t>
        </r>
        <r>
          <rPr>
            <sz val="9"/>
            <rFont val="Tahoma"/>
            <family val="2"/>
            <charset val="1"/>
          </rPr>
          <t xml:space="preserve">
as reported and to be updated with 10-K</t>
        </r>
      </text>
    </comment>
    <comment ref="AU464" authorId="11" shapeId="0" xr:uid="{00000000-0006-0000-0200-000067000000}">
      <text>
        <r>
          <rPr>
            <b/>
            <sz val="9"/>
            <rFont val="Tahoma"/>
            <family val="2"/>
          </rPr>
          <t>Canalyst (JD):</t>
        </r>
        <r>
          <rPr>
            <sz val="9"/>
            <rFont val="Tahoma"/>
            <family val="2"/>
          </rPr>
          <t xml:space="preserve">
new adjusted EPS reporting</t>
        </r>
      </text>
    </comment>
    <comment ref="AV464" authorId="11" shapeId="0" xr:uid="{00000000-0006-0000-0200-000068000000}">
      <text>
        <r>
          <rPr>
            <b/>
            <sz val="9"/>
            <rFont val="Tahoma"/>
            <family val="2"/>
          </rPr>
          <t>Canalyst (JD):</t>
        </r>
        <r>
          <rPr>
            <sz val="9"/>
            <rFont val="Tahoma"/>
            <family val="2"/>
          </rPr>
          <t xml:space="preserve">
new adjusted EPS reporting</t>
        </r>
      </text>
    </comment>
    <comment ref="AW464" authorId="0" shapeId="0" xr:uid="{00000000-0006-0000-0200-000069000000}">
      <text>
        <r>
          <rPr>
            <b/>
            <sz val="9"/>
            <rFont val="Tahoma"/>
            <family val="2"/>
          </rPr>
          <t>Canalyst (YiL):</t>
        </r>
        <r>
          <rPr>
            <sz val="9"/>
            <rFont val="Tahoma"/>
            <family val="2"/>
          </rPr>
          <t xml:space="preserve">
As reported</t>
        </r>
      </text>
    </comment>
    <comment ref="AX464" authorId="0" shapeId="0" xr:uid="{00000000-0006-0000-0200-00006A000000}">
      <text>
        <r>
          <rPr>
            <b/>
            <sz val="9"/>
            <rFont val="Tahoma"/>
            <family val="2"/>
          </rPr>
          <t>Canalyst (YiL):</t>
        </r>
        <r>
          <rPr>
            <sz val="9"/>
            <rFont val="Tahoma"/>
            <family val="2"/>
          </rPr>
          <t xml:space="preserve">
As reported</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Canalyst (CC)</author>
    <author>Canalyst (YiL)</author>
  </authors>
  <commentList>
    <comment ref="A4" authorId="0" shapeId="0" xr:uid="{2BF7ED89-9F3C-43E0-A9EF-737CC86FF4B3}">
      <text>
        <r>
          <rPr>
            <b/>
            <sz val="9"/>
            <rFont val="Tahoma"/>
            <family val="2"/>
          </rPr>
          <t>Canalyst:</t>
        </r>
        <r>
          <rPr>
            <sz val="9"/>
            <rFont val="Tahoma"/>
            <family val="2"/>
          </rPr>
          <t xml:space="preserve">
Sort Largest to Smallest to return to default.</t>
        </r>
      </text>
    </comment>
    <comment ref="J6" authorId="1" shapeId="0" xr:uid="{8F6455EF-C4C8-443C-AF84-B35792A3634A}">
      <text>
        <r>
          <rPr>
            <b/>
            <sz val="9"/>
            <rFont val="Tahoma"/>
            <family val="2"/>
          </rPr>
          <t>Canalyst (YiL):</t>
        </r>
        <r>
          <rPr>
            <sz val="9"/>
            <rFont val="Tahoma"/>
            <family val="2"/>
          </rPr>
          <t xml:space="preserve">
to be consistent with or greater than Q1-2020</t>
        </r>
      </text>
    </comment>
    <comment ref="J8" authorId="1" shapeId="0" xr:uid="{9BD60D5E-5405-4ADC-8424-024AD05F2E95}">
      <text>
        <r>
          <rPr>
            <b/>
            <sz val="9"/>
            <rFont val="Tahoma"/>
            <family val="2"/>
          </rPr>
          <t>Canalyst (YiL):</t>
        </r>
        <r>
          <rPr>
            <sz val="9"/>
            <rFont val="Tahoma"/>
            <family val="2"/>
          </rPr>
          <t xml:space="preserve">
Mid-single digit growth</t>
        </r>
      </text>
    </comment>
    <comment ref="M8" authorId="1" shapeId="0" xr:uid="{187FFE81-2E48-4F2A-9196-EAEAEF95596D}">
      <text>
        <r>
          <rPr>
            <b/>
            <sz val="9"/>
            <rFont val="Tahoma"/>
            <family val="2"/>
          </rPr>
          <t>Canalyst (YiL):</t>
        </r>
        <r>
          <rPr>
            <sz val="9"/>
            <rFont val="Tahoma"/>
            <family val="2"/>
          </rPr>
          <t xml:space="preserve">
Metric currently not included in the model</t>
        </r>
      </text>
    </comment>
  </commentList>
</comments>
</file>

<file path=xl/sharedStrings.xml><?xml version="1.0" encoding="utf-8"?>
<sst xmlns="http://schemas.openxmlformats.org/spreadsheetml/2006/main" count="605" uniqueCount="481">
  <si>
    <t xml:space="preserve">Please contact this email for any model-specific questions: </t>
  </si>
  <si>
    <t>support@canalyst.com</t>
  </si>
  <si>
    <t>Company Model:</t>
  </si>
  <si>
    <t>Comments on Model:</t>
  </si>
  <si>
    <t xml:space="preserve">Updated: </t>
  </si>
  <si>
    <t>For:</t>
  </si>
  <si>
    <t>Consensus Data and Real-Time Stock Price:</t>
  </si>
  <si>
    <t>Bloomberg</t>
  </si>
  <si>
    <t>Real-Time Stock Price:</t>
  </si>
  <si>
    <t>Stock Price Override:</t>
  </si>
  <si>
    <t>GP Strategies Corp.</t>
  </si>
  <si>
    <t>Restated</t>
  </si>
  <si>
    <t>USD</t>
  </si>
  <si>
    <t>FY2009</t>
  </si>
  <si>
    <t>Growth Analysis</t>
  </si>
  <si>
    <t>Workforce Excellence revenue growth, %</t>
  </si>
  <si>
    <t>Business Transformation Services revenue growth, %</t>
  </si>
  <si>
    <t>Learning Solutions revenue growth, %</t>
  </si>
  <si>
    <t>Professional &amp; Technical Services revenue growth, %</t>
  </si>
  <si>
    <t>Sandy Training &amp; Marketing revenue growth, %</t>
  </si>
  <si>
    <t>Performance Readiness Solutions revenue growth, %</t>
  </si>
  <si>
    <t>Total Revenue Growth, %</t>
  </si>
  <si>
    <t>Segmented Results Breakdown (FS)</t>
  </si>
  <si>
    <t>Workforce Excellence revenue, mm</t>
  </si>
  <si>
    <t>Business Transformation Services revenue, mm</t>
  </si>
  <si>
    <t>Total Revenue, mm</t>
  </si>
  <si>
    <t>Workforce Excellence COGS, mm</t>
  </si>
  <si>
    <t>Business Transformation Services COGS, mm</t>
  </si>
  <si>
    <t>Total COGS, mm</t>
  </si>
  <si>
    <t>Workforce Excellence Gross Profit, mm</t>
  </si>
  <si>
    <t>Business Transformation Services Gross Profit, mm</t>
  </si>
  <si>
    <t>Total Gross Profit, mm</t>
  </si>
  <si>
    <t>Segmented Results Breakdown - Historical (FS)</t>
  </si>
  <si>
    <t>Learning Solutions revenue, mm</t>
  </si>
  <si>
    <t>Professional &amp; Technical Services revenue, mm</t>
  </si>
  <si>
    <t>Sandy Training &amp; Marketing revenue, mm</t>
  </si>
  <si>
    <t>Performance Readiness Solutions revenue, mm</t>
  </si>
  <si>
    <t>Learning Solutions COGS, mm</t>
  </si>
  <si>
    <t>Professional &amp; Technical Services COGS, mm</t>
  </si>
  <si>
    <t>Sandy Training &amp; Marketing COGS, mm</t>
  </si>
  <si>
    <t>Performance Readiness Solutions COGS, mm</t>
  </si>
  <si>
    <t>Learning Solutions Gross Profit, mm</t>
  </si>
  <si>
    <t>Professional &amp; Technical Services Gross Profit, mm</t>
  </si>
  <si>
    <t>Sandy Training &amp; Marketing Gross Profit, mm</t>
  </si>
  <si>
    <t>Performance Readiness Solutions Gross Profit, mm</t>
  </si>
  <si>
    <t>Key Metrics - Backlog (FS)</t>
  </si>
  <si>
    <t>Total Backlog, mm</t>
  </si>
  <si>
    <t>Margin Analysis</t>
  </si>
  <si>
    <t>Workforce Excellence COGS margin, %</t>
  </si>
  <si>
    <t>Business Transformation COGS margin, %</t>
  </si>
  <si>
    <t>Learning Solutions COGS margin, %</t>
  </si>
  <si>
    <t>Professional &amp; Technical Services COGS margin, %</t>
  </si>
  <si>
    <t>Sandy Training &amp; Marketing COGS margin, %</t>
  </si>
  <si>
    <t>Performance Readiness Solutions COGS margin, %</t>
  </si>
  <si>
    <t>COGS Margin (Excluding D&amp;A), %</t>
  </si>
  <si>
    <t>COGS Margin (Including D&amp;A), %</t>
  </si>
  <si>
    <t>Gross Margin (Excluding D&amp;A), %</t>
  </si>
  <si>
    <t>Gross Margin (Including D&amp;A), %</t>
  </si>
  <si>
    <t>Consensus Estimates - Gross Margin, %</t>
  </si>
  <si>
    <t>SG&amp;A Margin (adj. for SBC), %</t>
  </si>
  <si>
    <t>EBITDA Margin, %</t>
  </si>
  <si>
    <t>Consensus Estimates - Adjusted EBITDA Margin, %</t>
  </si>
  <si>
    <t>Income Statement - As Reported</t>
  </si>
  <si>
    <t>Revenue</t>
  </si>
  <si>
    <t>Cost of revenue</t>
  </si>
  <si>
    <t>Gross profit</t>
  </si>
  <si>
    <t>Selling, general and administrative expenses</t>
  </si>
  <si>
    <t>Gain on reversal of deferred rent liability</t>
  </si>
  <si>
    <t>Restructuring charges</t>
  </si>
  <si>
    <t>Loss on change in fair value of contingent consideration, net</t>
  </si>
  <si>
    <t>Goodwill and intangible asset impairment loss</t>
  </si>
  <si>
    <t>Operating income</t>
  </si>
  <si>
    <t>Interest expense</t>
  </si>
  <si>
    <t>Other income (expense)</t>
  </si>
  <si>
    <t>Income before income tax expense</t>
  </si>
  <si>
    <t>Income tax expense</t>
  </si>
  <si>
    <t>Net income</t>
  </si>
  <si>
    <t>IS Check</t>
  </si>
  <si>
    <t>Adjusted Numbers - As Reported</t>
  </si>
  <si>
    <t>Depreciation and amortization</t>
  </si>
  <si>
    <t>Goodwill impairment loss</t>
  </si>
  <si>
    <t>EBITDA</t>
  </si>
  <si>
    <t>Stock Based Comp</t>
  </si>
  <si>
    <t>Restructuring Charges</t>
  </si>
  <si>
    <t>Severance expense</t>
  </si>
  <si>
    <t>Gain/Loss on Contingent Consideration</t>
  </si>
  <si>
    <t>ERP Implementation</t>
  </si>
  <si>
    <t>Foreign currency translation losses</t>
  </si>
  <si>
    <t>Legal acquisition costs</t>
  </si>
  <si>
    <t>Loss on divested business</t>
  </si>
  <si>
    <t>Loss of contract</t>
  </si>
  <si>
    <t>Adjusted EBITDA</t>
  </si>
  <si>
    <t>GAAP EPS</t>
  </si>
  <si>
    <t>Restructuring</t>
  </si>
  <si>
    <t>US Tax Cuts</t>
  </si>
  <si>
    <t>Foreign currency transaction losses</t>
  </si>
  <si>
    <t>Contingent Payment</t>
  </si>
  <si>
    <t>Adjusted EPS</t>
  </si>
  <si>
    <t>Revised Income Statement</t>
  </si>
  <si>
    <t>Net Revenue</t>
  </si>
  <si>
    <t>COGS (adj. for D&amp;A)</t>
  </si>
  <si>
    <t>Gross Profit</t>
  </si>
  <si>
    <t>SG&amp;A (adj. for SBC)</t>
  </si>
  <si>
    <t>D&amp;A</t>
  </si>
  <si>
    <t>SBC</t>
  </si>
  <si>
    <t>EBIT</t>
  </si>
  <si>
    <t>Other items</t>
  </si>
  <si>
    <t>One-time item</t>
  </si>
  <si>
    <t>EBT</t>
  </si>
  <si>
    <t>Current tax</t>
  </si>
  <si>
    <t>Deferred tax</t>
  </si>
  <si>
    <t>Net Income from Continued Operation</t>
  </si>
  <si>
    <t>Discontinued Operations</t>
  </si>
  <si>
    <t>Net Income to NCI</t>
  </si>
  <si>
    <t>Preferred stock dividends</t>
  </si>
  <si>
    <t>Net Income to Common Shareholders</t>
  </si>
  <si>
    <t>Adjustments for Convertible Securities</t>
  </si>
  <si>
    <t>Diluted Net Income to Common Shareholders</t>
  </si>
  <si>
    <t>Non-GAAP Adjustments</t>
  </si>
  <si>
    <t>Non-GAAP Adjustments for Dilutive Securities</t>
  </si>
  <si>
    <t>Adjusted Net Income</t>
  </si>
  <si>
    <t>Current tax rate</t>
  </si>
  <si>
    <t>Deferred tax rate</t>
  </si>
  <si>
    <t>Earnings Per Share - WAB</t>
  </si>
  <si>
    <t>Earnings Per Share - WAD</t>
  </si>
  <si>
    <t>Adjusted Earnings Per Share - WAD</t>
  </si>
  <si>
    <t>Shares Outstanding - WAB</t>
  </si>
  <si>
    <t>Shares Outstanding - WAD</t>
  </si>
  <si>
    <t>Adjusted Shares Outstanding - WAD</t>
  </si>
  <si>
    <t>Cash Flow Summary</t>
  </si>
  <si>
    <t>Operating Cash Flow before WC</t>
  </si>
  <si>
    <t>Cash Flow Per Diluted Share</t>
  </si>
  <si>
    <t>Capex</t>
  </si>
  <si>
    <t>Acquisitions</t>
  </si>
  <si>
    <t>Divestiture</t>
  </si>
  <si>
    <t>Dividend Paid</t>
  </si>
  <si>
    <t>Dividend Per Share</t>
  </si>
  <si>
    <t>FCF, Pre Div</t>
  </si>
  <si>
    <t>FCF, Post Div Pre A/D</t>
  </si>
  <si>
    <t>FCF, Post Div Post A/D</t>
  </si>
  <si>
    <t>Balance Sheet Summary</t>
  </si>
  <si>
    <t>Cash</t>
  </si>
  <si>
    <t>Debt</t>
  </si>
  <si>
    <t>Net Debt</t>
  </si>
  <si>
    <t>Net Debt / EBITDA</t>
  </si>
  <si>
    <t>Net Debt / Cash Flow</t>
  </si>
  <si>
    <t>Valuation</t>
  </si>
  <si>
    <t>Avg</t>
  </si>
  <si>
    <t>Enterprise Value Components</t>
  </si>
  <si>
    <t>Noncontrolling Interest</t>
  </si>
  <si>
    <t>Preferred Shares</t>
  </si>
  <si>
    <t>Other EV Components</t>
  </si>
  <si>
    <t>Cumulative Cash Flow Statement</t>
  </si>
  <si>
    <t>CFO</t>
  </si>
  <si>
    <t>Income tax benefit on reduction of uncertain tax position liabilities</t>
  </si>
  <si>
    <t>Non-cash compensation expense</t>
  </si>
  <si>
    <t>Deferred income taxes</t>
  </si>
  <si>
    <t>CFO before WC</t>
  </si>
  <si>
    <t>Accounts and other receivables</t>
  </si>
  <si>
    <t>Inventories</t>
  </si>
  <si>
    <t>Costs and estimated earnings in excess of billings on uncompleted contracts</t>
  </si>
  <si>
    <t>Prepaid expenses and other current assets</t>
  </si>
  <si>
    <t>Accounts payable and accrued expenses</t>
  </si>
  <si>
    <t>Excess Tax Benefit from Share-based Compensation, Operating Activities</t>
  </si>
  <si>
    <t>Contingent consideration payments in excess of fair value on acquisition date</t>
  </si>
  <si>
    <t>Other</t>
  </si>
  <si>
    <t>Net CFO</t>
  </si>
  <si>
    <t>CFI</t>
  </si>
  <si>
    <t>Additions to property, plant and equipment</t>
  </si>
  <si>
    <t>Acquisitions, net of cash acquired</t>
  </si>
  <si>
    <t>Proceeds from Sale of Productive Assets</t>
  </si>
  <si>
    <t>Investment in joint venture</t>
  </si>
  <si>
    <t>Capitalized software development costs</t>
  </si>
  <si>
    <t>Other investing activities</t>
  </si>
  <si>
    <t>Change in negative cash book balances</t>
  </si>
  <si>
    <t>Net CFI</t>
  </si>
  <si>
    <t>CFF</t>
  </si>
  <si>
    <t>Proceeds from (repayment of) short-term borrowings</t>
  </si>
  <si>
    <t>Proceeds from long-term debt</t>
  </si>
  <si>
    <t>Repayment of long-term debt</t>
  </si>
  <si>
    <t>Equity investment by Sagard Capital Partners, L.P.</t>
  </si>
  <si>
    <t>Contingent consideration payments</t>
  </si>
  <si>
    <t>Change in negative cash book balance</t>
  </si>
  <si>
    <t>Repurchases of common stock in the open market</t>
  </si>
  <si>
    <t>Premium paid for interest rate cap</t>
  </si>
  <si>
    <t>Cash proceeds from termination of interest rate derivatives</t>
  </si>
  <si>
    <t>Payment of debt issuance costs</t>
  </si>
  <si>
    <t>Tax withholding payments for employee stock-based compensation</t>
  </si>
  <si>
    <t>Income tax benefit of stock-based compensation</t>
  </si>
  <si>
    <t>Proceeds from issuance of common stock</t>
  </si>
  <si>
    <t>Other financing activities</t>
  </si>
  <si>
    <t>Dividends paid</t>
  </si>
  <si>
    <t>Net CFF</t>
  </si>
  <si>
    <t>FX</t>
  </si>
  <si>
    <t>Net Change in Cash Balance</t>
  </si>
  <si>
    <t>Beginning Cash Balance</t>
  </si>
  <si>
    <t>Ending Cash Balance</t>
  </si>
  <si>
    <t>Cash Flow Statement</t>
  </si>
  <si>
    <t>CF Check</t>
  </si>
  <si>
    <t>Working Capital Forecasting</t>
  </si>
  <si>
    <t>Accounts and other receivables, % of LTM Sales</t>
  </si>
  <si>
    <t>Unbilled revenue, % of LTM Sales</t>
  </si>
  <si>
    <t>Prepaid expenses and other current assets, % of LTM Sales</t>
  </si>
  <si>
    <t>Accounts payable and accrued expenses, % of LTM Sales</t>
  </si>
  <si>
    <t>Accounts and other receivables, Y/Y Change, %</t>
  </si>
  <si>
    <t>Unbilled revenue, Y/Y Change, %</t>
  </si>
  <si>
    <t>Prepaid expenses and other current assets, Y/Y Change, %</t>
  </si>
  <si>
    <t>Accounts payable and accrued expenses, Y/Y Change, %</t>
  </si>
  <si>
    <t>Balance Sheet</t>
  </si>
  <si>
    <t>Current Assets</t>
  </si>
  <si>
    <t>Cash and cash equivalents</t>
  </si>
  <si>
    <t>Unbilled revenue</t>
  </si>
  <si>
    <t>Deferred tax assets</t>
  </si>
  <si>
    <t>Total Current Assets</t>
  </si>
  <si>
    <t>Non-Current Assets</t>
  </si>
  <si>
    <t>Inventories, net</t>
  </si>
  <si>
    <t>Property, plant and equipment</t>
  </si>
  <si>
    <t>Accumulated depreciation</t>
  </si>
  <si>
    <t>Property, plant and equipment, net</t>
  </si>
  <si>
    <t>Goodwill</t>
  </si>
  <si>
    <t>Intangible assets, net</t>
  </si>
  <si>
    <t>Other assets</t>
  </si>
  <si>
    <t>Total Non-Current Assets</t>
  </si>
  <si>
    <t>Total Assets</t>
  </si>
  <si>
    <t>Current Liabilities</t>
  </si>
  <si>
    <t>Short-term borrowings</t>
  </si>
  <si>
    <t>Current portion of long-term debt</t>
  </si>
  <si>
    <t>Deferred revenue</t>
  </si>
  <si>
    <t>Total Current Liabilities</t>
  </si>
  <si>
    <t>Non-Current Liabilities</t>
  </si>
  <si>
    <t>Long-term debt</t>
  </si>
  <si>
    <t>Deferred tax liabilities</t>
  </si>
  <si>
    <t>Other noncurrent liabilities</t>
  </si>
  <si>
    <t>Total Non-Current liabilities</t>
  </si>
  <si>
    <t>Total Liabilities</t>
  </si>
  <si>
    <t>Shareholders' Equity</t>
  </si>
  <si>
    <t>Preferred stock</t>
  </si>
  <si>
    <t>Common stock</t>
  </si>
  <si>
    <t>Additional paid-in capital</t>
  </si>
  <si>
    <t>Retained earnings</t>
  </si>
  <si>
    <t>Treasury stock at cost</t>
  </si>
  <si>
    <t>Accumulated other comprehensive loss</t>
  </si>
  <si>
    <t>Total SE</t>
  </si>
  <si>
    <t>NCI</t>
  </si>
  <si>
    <t>Total Liabilities &amp; SE</t>
  </si>
  <si>
    <t>BS Check</t>
  </si>
  <si>
    <t>Model Checks</t>
  </si>
  <si>
    <t>Net Income on Revised IS = NI on CF statement</t>
  </si>
  <si>
    <t>Net Income on Reported IS = NI on Revised</t>
  </si>
  <si>
    <t>Segmented Revenue = Revenue</t>
  </si>
  <si>
    <t>Cash Flow is not Repeated</t>
  </si>
  <si>
    <t>Income Statement is not Repeated</t>
  </si>
  <si>
    <t>Balance Sheet is not Repeated</t>
  </si>
  <si>
    <t>Ending CF = Ending Cumulative CF</t>
  </si>
  <si>
    <t>Capex is Updated</t>
  </si>
  <si>
    <t>Margin is Updated</t>
  </si>
  <si>
    <t>Adjusted Numbers FY = Sum of Qs</t>
  </si>
  <si>
    <t>*Share Count is Updated</t>
  </si>
  <si>
    <t>*Margin adds up to 100%</t>
  </si>
  <si>
    <t>*Cash Flow Summary Signs are Correct</t>
  </si>
  <si>
    <t>*RIS NI FY = Sum of Qs</t>
  </si>
  <si>
    <t>*RIS Adjusted NI FY = Sum of Qs</t>
  </si>
  <si>
    <t>*CFO Before WC subtotal FY = Sum of Qs</t>
  </si>
  <si>
    <t>*CFO subtotal FY = Sum of Qs</t>
  </si>
  <si>
    <t>*CFI subtotal FY = Sum of Qs</t>
  </si>
  <si>
    <t>*CFF subtotal FY = Sum of Qs</t>
  </si>
  <si>
    <t>*CF Summary FY = Sum of Qs</t>
  </si>
  <si>
    <t>Other Tables</t>
  </si>
  <si>
    <t>Ticker Symbol</t>
  </si>
  <si>
    <t>GPX US</t>
  </si>
  <si>
    <t>NYSE:GPX</t>
  </si>
  <si>
    <t>GPX-US</t>
  </si>
  <si>
    <t>GPX.N</t>
  </si>
  <si>
    <t>Valuation Toggle Table</t>
  </si>
  <si>
    <t>High</t>
  </si>
  <si>
    <t>Low</t>
  </si>
  <si>
    <t>Consensus Estimate Table</t>
  </si>
  <si>
    <t>FY or FQ</t>
  </si>
  <si>
    <t>Period</t>
  </si>
  <si>
    <t>Stock Price Table</t>
  </si>
  <si>
    <t>Fiscal Period Start Date</t>
  </si>
  <si>
    <t>Real-Time Off Source</t>
  </si>
  <si>
    <t>Capital IQ</t>
  </si>
  <si>
    <t>FactSet</t>
  </si>
  <si>
    <t>Thomson</t>
  </si>
  <si>
    <t>General Table</t>
  </si>
  <si>
    <t>Last Price</t>
  </si>
  <si>
    <t>Last Price Date</t>
  </si>
  <si>
    <t>Real-Time Stock Price</t>
  </si>
  <si>
    <t>Last Price Formula</t>
  </si>
  <si>
    <t>Trade Currency</t>
  </si>
  <si>
    <t>Trade Currency Hardcoded</t>
  </si>
  <si>
    <t>Model Sheet Currency Hardcoded</t>
  </si>
  <si>
    <t>Most Recent FX</t>
  </si>
  <si>
    <t>Most Recent FX Hardcoded</t>
  </si>
  <si>
    <t>MRFP Column Number</t>
  </si>
  <si>
    <t>Most Recent Fiscal Period (MRFP)</t>
  </si>
  <si>
    <t>Current Fiscal Year</t>
  </si>
  <si>
    <t>Data Source Index</t>
  </si>
  <si>
    <t>Reports</t>
  </si>
  <si>
    <t>Capitalization Summary</t>
  </si>
  <si>
    <t>Company-Specific Operational Data</t>
  </si>
  <si>
    <t>GAAP Financials</t>
  </si>
  <si>
    <t>Other Items</t>
  </si>
  <si>
    <t>Tax</t>
  </si>
  <si>
    <t>Non-GAAP Financials</t>
  </si>
  <si>
    <t>Cash Flow Analysis</t>
  </si>
  <si>
    <t>Core FCF, Pre Div</t>
  </si>
  <si>
    <t>Core FCF, Post Div</t>
  </si>
  <si>
    <t>Change in WC</t>
  </si>
  <si>
    <t>New Equity Issuance</t>
  </si>
  <si>
    <t>New Debt Issuance</t>
  </si>
  <si>
    <t>Change in Cash Position</t>
  </si>
  <si>
    <t>Operating Cash Flow Per Share</t>
  </si>
  <si>
    <t>Core Free Cash Flow Per Share, Pre Div</t>
  </si>
  <si>
    <t>Dividend Payout Ratio vs Core FCF, Pre Div</t>
  </si>
  <si>
    <t>Dividend Payout Ratio vs Earnings Per Share</t>
  </si>
  <si>
    <t>Balance Sheet Ratios</t>
  </si>
  <si>
    <t>Net Debt / Capital</t>
  </si>
  <si>
    <t>LTM EBITDA</t>
  </si>
  <si>
    <t>LTM Cash Flow</t>
  </si>
  <si>
    <t>Net Income</t>
  </si>
  <si>
    <t>LTM Net Income</t>
  </si>
  <si>
    <t>Shareholder's Equity</t>
  </si>
  <si>
    <t>Average Shareholder's Equity</t>
  </si>
  <si>
    <t>ROE</t>
  </si>
  <si>
    <t>Net Operating Profit</t>
  </si>
  <si>
    <t>LTM Net Operating Profit</t>
  </si>
  <si>
    <t>Average Total Assets</t>
  </si>
  <si>
    <t>ROA</t>
  </si>
  <si>
    <t>Book Value of Debt</t>
  </si>
  <si>
    <t>Average Book Value of Debt</t>
  </si>
  <si>
    <t>Average Invested Capital</t>
  </si>
  <si>
    <t>ROIC</t>
  </si>
  <si>
    <t>LTM EBIT</t>
  </si>
  <si>
    <t>Average Current Liabilities</t>
  </si>
  <si>
    <t>Average Capital Employed</t>
  </si>
  <si>
    <t>ROCE</t>
  </si>
  <si>
    <t>Per-Share Growth Metrics</t>
  </si>
  <si>
    <t>Revenue Per Share Growth</t>
  </si>
  <si>
    <t>Adj. EBITDA Per Share Growth</t>
  </si>
  <si>
    <t>Adj. Earnings Per Share Growth</t>
  </si>
  <si>
    <t>Operating Cash Flow Per Share Growth</t>
  </si>
  <si>
    <t>Free Cash Flow Per Share Growth</t>
  </si>
  <si>
    <t>Valuation Metrics</t>
  </si>
  <si>
    <t>Check</t>
  </si>
  <si>
    <t>Non GAAP NI</t>
  </si>
  <si>
    <t>GAAP NI</t>
  </si>
  <si>
    <t>Change in Cash Summary = Change in Cash Model</t>
  </si>
  <si>
    <t>Update Date</t>
  </si>
  <si>
    <t>Updated By (Initials)</t>
  </si>
  <si>
    <t>Update Type</t>
  </si>
  <si>
    <t>Special Comments</t>
  </si>
  <si>
    <t>Link to Press Release / News Item</t>
  </si>
  <si>
    <t>CW KT</t>
  </si>
  <si>
    <t>Q3-2018</t>
  </si>
  <si>
    <t>Earnings Press Release</t>
  </si>
  <si>
    <t>KT</t>
  </si>
  <si>
    <t>WC Forecast</t>
  </si>
  <si>
    <t>AL CW</t>
  </si>
  <si>
    <t>Q2-2018</t>
  </si>
  <si>
    <t>JiF</t>
  </si>
  <si>
    <t>Q1-2018</t>
  </si>
  <si>
    <t>NO</t>
  </si>
  <si>
    <t>FY2017</t>
  </si>
  <si>
    <t>VS AN</t>
  </si>
  <si>
    <t>Q3-2017</t>
  </si>
  <si>
    <t>CS HZ</t>
  </si>
  <si>
    <t>Q2-2017</t>
  </si>
  <si>
    <t>JiF AG</t>
  </si>
  <si>
    <t>Q1-2017</t>
  </si>
  <si>
    <t>FV TS</t>
  </si>
  <si>
    <t>FY2016</t>
  </si>
  <si>
    <t>JP</t>
  </si>
  <si>
    <t>Q3-2016</t>
  </si>
  <si>
    <t>AD</t>
  </si>
  <si>
    <t>New Build</t>
  </si>
  <si>
    <t>YiL</t>
  </si>
  <si>
    <t>Annual (Earnings Report)</t>
  </si>
  <si>
    <r>
      <rPr>
        <b/>
        <sz val="8"/>
        <color rgb="FF000000"/>
        <rFont val="Calibri"/>
        <family val="2"/>
        <scheme val="minor"/>
      </rPr>
      <t>Disclaimer:</t>
    </r>
    <r>
      <rPr>
        <sz val="8"/>
        <color rgb="FF000000"/>
        <rFont val="Calibri"/>
        <family val="2"/>
        <scheme val="minor"/>
      </rPr>
      <t xml:space="preserve"> None of the Data contained in this Model constitutes a recommendation by Canalyst or a solicitation, or recommendation, to buy or sell any security or other investment product. Canalyst is not providing any investment advice to Subscriber, Subscriber is solely responsible for any investment decisions based on the software or data, and Canalyst shall not have any liability with respect to Subscriber's investments or trading decisions. Subscriber must evaluate the suitability of any investment based on Subscriber's financial situation and risk tolerance. </t>
    </r>
    <r>
      <rPr>
        <b/>
        <sz val="8"/>
        <color rgb="FF000000"/>
        <rFont val="Calibri"/>
        <family val="2"/>
        <scheme val="minor"/>
      </rPr>
      <t>The numbers contained in the "Forecast" period for each model are for illustrative purposes only, and are not meant to express any view on what might actually transpire. Canalyst has not performed company-specific research on the forecast period, and it is the responsibility of the Subscriber to express their own views on future results.</t>
    </r>
    <r>
      <rPr>
        <sz val="8"/>
        <color rgb="FF000000"/>
        <rFont val="Calibri"/>
        <family val="2"/>
        <scheme val="minor"/>
      </rPr>
      <t xml:space="preserve"> Additionally, as Canalyst is only providing a quantitative tool with no investment views, the respective directors, officers, employees, agents, contractors, and affiliates may hold long or short positions in any securities mentioned, based on their personal views, and may initiate or close out any positions in any securities at any time without any notice.
Canalyst does not  guarantee the accuracy, timeliness, or completeness of the Data.  THE MODEL AND DATA ARE BEING PROVIDED "AS IS" WITH NO WARRANTY OF ANY KIND. SUBSCRIBER AGREES THAT CANALYST DOES NOT MAKE ANY REPRESENTATIONS OR WARRANTIES, EXPRESS OR IMPLIED, WITH RESPECT TO THE DATA, OR THE TRANSMISSION, TIMELINESS, ACCURACY OR COMPLETENESS THEREOF, INCLUDING, WITHOUT LIMITATION, ANY IMPLIED WARRANTIES OR ANY WARRANTIES OF MERCHANTABILITY, QUALITY OR FITNESS FOR A PARTICULAR PURPOSE, AND THOSE ARISING BY STATUTE OR OTHERWISE IN LAW OR FROM ANY COURSE OF DEALING OR USAGE OF TRADE. CANALYST SHALL NOT BE LIABLE TO SUBSCRIBER OR ANY THIRD PARTY FOR ANY INACCURATE OR INCOMPLETE DATA OR OTHER MARKET INFORMATION SUPPLIED TO SUBSCRIBER, NOR FOR ANY ERRORS, OR OMISSIONS IN THE FURNISHING THEREOF, NOR FOR ANY DIRECT, INDIRECT, INCIDENTAL OR CONSEQUENTIAL DAMAGES ARISING FROM BY SAID INACCURACIES, DELAYS, INTERRUPTIONS, ERRORS, OR OMISSIONS OR ANY DATA OR SERVICES PROVIDED UNDER OR IN CONNECTION WITH THIS AGREEMENT.
A portion of the stock price data is powered by Quotemedia.com.  All rights reserved.  View the Terms of Use (http://www.quotemedia.com/termsofuse.php). Data delayed 15 minutes unless otherwise indicated.
Subscriber shall indemnify and hold harmless Canalyst, and each of their respective directors, officers, employees, agents and affiliates, from and against any claim, damages, loss, liability, cost and/or expense (including, but not limited to, reasonable attorney's fees and costs) that directly or indirectly arise from or are caused by (a) any use by Subscriber of the Model or any of the Data, and/or (b) any breach or violation by Subscriber of any term or condition of this Agreement.
BY CONTINUING TO ACCESS THIS MODEL, YOU EXPRESSLY AGREE WITH THE ABOVE TERMS AND CONDITIONS.</t>
    </r>
  </si>
  <si>
    <t>Stock Price (Reporting Cur.) - Avg, USD</t>
  </si>
  <si>
    <t>Is Historical Period</t>
  </si>
  <si>
    <t>Operating lease right of use of assets</t>
  </si>
  <si>
    <t>Current portion of operating lease liabilities</t>
  </si>
  <si>
    <t>Long term portion of operating lease liabilities</t>
  </si>
  <si>
    <t>CW</t>
  </si>
  <si>
    <t>FY2018</t>
  </si>
  <si>
    <t>(C) 2020 Canalyst. All rights reserved.</t>
  </si>
  <si>
    <t>AlD</t>
  </si>
  <si>
    <t>Q1-2019</t>
  </si>
  <si>
    <t>OFF</t>
  </si>
  <si>
    <t>Profitability Ratios</t>
  </si>
  <si>
    <t>Q2-2019</t>
  </si>
  <si>
    <t>First Forecast Fiscal Year</t>
  </si>
  <si>
    <t>Q3-2019</t>
  </si>
  <si>
    <t>Most Recent Period:</t>
  </si>
  <si>
    <t>Guidance</t>
  </si>
  <si>
    <t>Model</t>
  </si>
  <si>
    <t>Difference vs. Mid</t>
  </si>
  <si>
    <t>Update Log</t>
  </si>
  <si>
    <t>Type</t>
  </si>
  <si>
    <t>Item</t>
  </si>
  <si>
    <t>Item Name</t>
  </si>
  <si>
    <t>Fiscal Period</t>
  </si>
  <si>
    <t>Mid</t>
  </si>
  <si>
    <t>Output</t>
  </si>
  <si>
    <t>Absolute</t>
  </si>
  <si>
    <t>Relative</t>
  </si>
  <si>
    <t>Date</t>
  </si>
  <si>
    <t>Link</t>
  </si>
  <si>
    <t>Press Release</t>
  </si>
  <si>
    <t>Organic Revenue Growth</t>
  </si>
  <si>
    <t>FY2020</t>
  </si>
  <si>
    <t>Initial (Press Release)</t>
  </si>
  <si>
    <t>Operating Lease Liabilities</t>
  </si>
  <si>
    <t>Learning Solutions revenue (Prior to 2014), mm</t>
  </si>
  <si>
    <t>Professional &amp; Technical Services revenue (Prior to 2014), mm</t>
  </si>
  <si>
    <t>Sandy Training &amp; Marketing revenue (Prior to 2014), mm</t>
  </si>
  <si>
    <t>Performance Readiness Solutions revenue (Prior to 2014), mm</t>
  </si>
  <si>
    <t>Total Revenue (Prior to 2014), mm</t>
  </si>
  <si>
    <t>Learning Solutions COGS (Prior to 2014), mm</t>
  </si>
  <si>
    <t>Professional &amp; Technical Services COGS (Prior to 2014), mm</t>
  </si>
  <si>
    <t>Sandy Training &amp; Marketing COGS (Prior to 2014), mm</t>
  </si>
  <si>
    <t>Performance Readiness Solutions COGS (Prior to 2014), mm</t>
  </si>
  <si>
    <t>Total COGS (Prior to 2014), mm</t>
  </si>
  <si>
    <t>Learning Solutions Gross Profit (Prior to 2014), mm</t>
  </si>
  <si>
    <t>Professional &amp; Technical Services Gross Profit (Prior to 2014), mm</t>
  </si>
  <si>
    <t>Sandy Training &amp; Marketing Gross Profit (Prior to 2014), mm</t>
  </si>
  <si>
    <t>Performance Readiness Solutions Gross Profit (Prior to 2014), mm</t>
  </si>
  <si>
    <t>Total Gross Profit (Prior to 2014), mm</t>
  </si>
  <si>
    <t>Energy Services revenue (Prior to 2014), mm</t>
  </si>
  <si>
    <t>Energy Services COGS (Prior to 2014), mm</t>
  </si>
  <si>
    <t>Energy Services Gross Profit (Prior to 2014), mm</t>
  </si>
  <si>
    <t>Most Recent Period</t>
  </si>
  <si>
    <t>Quarterly (Earnings Report)</t>
  </si>
  <si>
    <t>Q2-2016</t>
  </si>
  <si>
    <t>FY2019</t>
  </si>
  <si>
    <t>Gain on sale of business</t>
  </si>
  <si>
    <t>Organic Revenue Growth, %</t>
  </si>
  <si>
    <t>Acq/Div Revenue Growth, %</t>
  </si>
  <si>
    <t>FX Impact Revenue Growth, %</t>
  </si>
  <si>
    <t>Organic Revenue Change, mm</t>
  </si>
  <si>
    <t>Acq/Div Revenue Change, mm</t>
  </si>
  <si>
    <t>FX Impact Revenue Change, mm</t>
  </si>
  <si>
    <t>Total Revenue, current period, mm</t>
  </si>
  <si>
    <t>Total Revenue, previous period, mm</t>
  </si>
  <si>
    <t>Loss on settlement with foreign oil &amp; gas client</t>
  </si>
  <si>
    <t>Settlement of contingent consideration in shares</t>
  </si>
  <si>
    <t>PZ</t>
  </si>
  <si>
    <t>Proceeds from sale of business</t>
  </si>
  <si>
    <t>Interest income</t>
  </si>
  <si>
    <t>Total other income (expense)</t>
  </si>
  <si>
    <t>Interest Expense</t>
  </si>
  <si>
    <t>Effective Interest Rate on Debt</t>
  </si>
  <si>
    <t>Interest Income</t>
  </si>
  <si>
    <t>Effective Interest Rate on Cash</t>
  </si>
  <si>
    <t>Net Interest Expense (Income)</t>
  </si>
  <si>
    <t>Effective Net Interest Rate on Debt</t>
  </si>
  <si>
    <t>EBITDA / Net Interest Expense</t>
  </si>
  <si>
    <t>ST Debt</t>
  </si>
  <si>
    <t>LT Debt</t>
  </si>
  <si>
    <t>Net Debt Issuance (Repayment)</t>
  </si>
  <si>
    <t>Cash is Positive</t>
  </si>
  <si>
    <t>Debt is Positive</t>
  </si>
  <si>
    <t>Net Share Issuance (Buybacks)</t>
  </si>
  <si>
    <t>Estimated Share Price for Issuance/Buybacks, USD</t>
  </si>
  <si>
    <t>FCF, Post Div, Debt, Buyback, A/D</t>
  </si>
  <si>
    <t>Key Outputs</t>
  </si>
  <si>
    <t>Q1-2020</t>
  </si>
  <si>
    <t>Impairment of operating lease right-of-use asset</t>
  </si>
  <si>
    <t>MO_RIS_EBITDA_Adj</t>
  </si>
  <si>
    <t>Q2-2020</t>
  </si>
  <si>
    <t>Partial</t>
  </si>
  <si>
    <t>SJ</t>
  </si>
  <si>
    <t>Updated with PR. CFS &amp; BS to be updated with 
10-Q.</t>
  </si>
  <si>
    <t>Drivers Worksheet</t>
  </si>
  <si>
    <t>Simplified FCF Calculation</t>
  </si>
  <si>
    <t>Total Tax</t>
  </si>
  <si>
    <t>Net Change in WC</t>
  </si>
  <si>
    <t>FCF - Firm</t>
  </si>
  <si>
    <t>Consensus Estimates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</si>
</sst>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8">
    <numFmt numFmtId="164" formatCode="_(* #,##0.0_);_(* \(#,##0.0\);_(* &quot;-&quot;??_);_(@_)"/>
    <numFmt numFmtId="165" formatCode="_(&quot;$&quot;* #,##0_);_(&quot;$&quot;* \(#,##0\);_(&quot;$&quot;* &quot;-&quot;??_);_(@_)"/>
    <numFmt numFmtId="166" formatCode="_(* #,##0_);_(* \(#,##0\);_(* &quot;-&quot;??_);_(@_)"/>
    <numFmt numFmtId="167" formatCode="_(* 0.0%_);_(* \-0.0%_);_(* &quot;-&quot;??_);_(@_)"/>
    <numFmt numFmtId="168" formatCode="_(* #,##0.0_);_(* \(#,##0.0\);_(* &quot;-&quot;??_);@"/>
    <numFmt numFmtId="169" formatCode="_(&quot;$&quot;* 0.00_);_(&quot;$&quot;* \(0.00\);_(&quot;$&quot;* &quot;-&quot;??_);_(@_)"/>
    <numFmt numFmtId="170" formatCode="_(* 0.0\ \x_);\ _(* &quot;n/a&quot;_);_(* &quot;-&quot;??_);_(@_)"/>
    <numFmt numFmtId="171" formatCode=";;;"/>
    <numFmt numFmtId="172" formatCode="_(&quot;$&quot;* 0.000_);_(&quot;$&quot;* \(0.000\);_(&quot;$&quot;* &quot;-&quot;??_);_(@_)"/>
    <numFmt numFmtId="173" formatCode="_(* #,##0.0_);_(* \(#,##0.0\);_(* &quot;-&quot;??_);_(&quot;Bloomberg &gt;&gt; &quot;@_)"/>
    <numFmt numFmtId="174" formatCode="_(* #,##0.0_);_(* \(#,##0.0\);_(* &quot;-&quot;??_);_(&quot;Capital IQ &gt;&gt; &quot;@_)"/>
    <numFmt numFmtId="175" formatCode="_(* #,##0.0_);_(* \(#,##0.0\);_(* &quot;-&quot;??_);_(&quot;FactSet &gt;&gt; &quot;@_)"/>
    <numFmt numFmtId="176" formatCode="_(* #,##0.0_);_(* \(#,##0.0\);_(* &quot;-&quot;??_);_(&quot;Ticker :   &quot;@_)"/>
    <numFmt numFmtId="177" formatCode="_(&quot;$&quot;* 0.00_);_(&quot;$&quot;* \(0.00\);_(&quot;$&quot;* &quot;-&quot;??_);_(@\ * \ &quot;Toggle  &gt;&gt;&gt;&quot;_)"/>
    <numFmt numFmtId="178" formatCode="&quot;$&quot;#,##0.00"/>
    <numFmt numFmtId="179" formatCode="_(* #,##0.0_);_(* \(#,##0.0\);_(* &quot;-&quot;??_);_(@\ * \ &quot;Toggle  &gt;&gt;&gt;&quot;_)"/>
    <numFmt numFmtId="180" formatCode="_(* 0.0%_);_(* &quot;NMF&quot;_);_(* &quot;-&quot;??_);_(@_)"/>
    <numFmt numFmtId="181" formatCode="_(* 0.0%_);_(* &quot;n/a&quot;_);_(* &quot;-&quot;??_);_(@_)"/>
    <numFmt numFmtId="182" formatCode="_(* #,##0.0_);_(* \(#,##0.0\);_(* &quot; -&quot;??_);_(&quot;Thomson &gt;&gt; &quot;@_)"/>
    <numFmt numFmtId="183" formatCode="_(* #,##0.0_);_(* \(#,##0.0\);_(* &quot;-&quot;??_);_(&quot;Model Sheet Currency :   &quot;@_)"/>
    <numFmt numFmtId="184" formatCode="_(* #,##0.0_);_(* \(#,##0.0\);_(* &quot;-&quot;??_);_(&quot;Canalyst Security Identification #: &quot;@_)"/>
    <numFmt numFmtId="185" formatCode="_(* #,##0.0_);_(* \(#,##0.0\);_(* &quot;-&quot;??_);_(&quot;Model Version #: &quot;@_)"/>
    <numFmt numFmtId="186" formatCode="_(* #,##0.0_);_(* \(#,##0.0\);_(* &quot; - &quot;??_);_(&quot;Last Price (&quot;@&quot;) &quot;_)"/>
    <numFmt numFmtId="187" formatCode="_(* #,##0.0_);_(* \(#,##0.0\);_(* &quot;-&quot;??_);_(&quot;Real-Time Stock Price :   &quot;@_)"/>
    <numFmt numFmtId="188" formatCode="_(&quot;$&quot;* 0.00_);_(&quot;$&quot;* \(0.00\);_(&quot;$&quot;* &quot; - &quot;??_);_(@_)"/>
    <numFmt numFmtId="189" formatCode="0.0%"/>
    <numFmt numFmtId="190" formatCode="_(* #,##0.000_);_(* \(#,##0.000\);_(* &quot;-&quot;??_);_(@_)"/>
    <numFmt numFmtId="191" formatCode="&quot;Most Recent Period:&quot;"/>
  </numFmts>
  <fonts count="60" x14ac:knownFonts="1">
    <font>
      <sz val="11"/>
      <name val="Calibri"/>
      <family val="2"/>
    </font>
    <font>
      <sz val="11"/>
      <color theme="1"/>
      <name val="Calibri"/>
      <family val="2"/>
      <scheme val="minor"/>
    </font>
    <font>
      <b/>
      <sz val="11"/>
      <color theme="1"/>
      <name val="Calibri"/>
      <family val="2"/>
      <scheme val="minor"/>
    </font>
    <font>
      <sz val="11"/>
      <color theme="10"/>
      <name val="Calibri"/>
      <family val="2"/>
      <scheme val="minor"/>
    </font>
    <font>
      <b/>
      <sz val="11"/>
      <name val="Calibri"/>
      <family val="2"/>
      <scheme val="minor"/>
    </font>
    <font>
      <b/>
      <sz val="11"/>
      <name val="Calibri"/>
      <family val="2"/>
    </font>
    <font>
      <sz val="11"/>
      <name val="Calibri"/>
      <family val="2"/>
      <scheme val="minor"/>
    </font>
    <font>
      <sz val="11"/>
      <color rgb="FFFF0000"/>
      <name val="Calibri"/>
      <family val="2"/>
    </font>
    <font>
      <sz val="11"/>
      <color theme="0"/>
      <name val="Calibri"/>
      <family val="2"/>
      <scheme val="minor"/>
    </font>
    <font>
      <sz val="22"/>
      <color theme="1"/>
      <name val="Calibri"/>
      <family val="2"/>
      <scheme val="minor"/>
    </font>
    <font>
      <sz val="11"/>
      <color theme="10"/>
      <name val="Calibri"/>
      <family val="2"/>
    </font>
    <font>
      <sz val="14"/>
      <color theme="1"/>
      <name val="Calibri"/>
      <family val="2"/>
      <scheme val="minor"/>
    </font>
    <font>
      <b/>
      <sz val="11"/>
      <color rgb="FFFF0000"/>
      <name val="Calibri"/>
      <family val="2"/>
    </font>
    <font>
      <sz val="11"/>
      <color rgb="FF006100"/>
      <name val="Calibri"/>
      <family val="2"/>
      <scheme val="minor"/>
    </font>
    <font>
      <sz val="10"/>
      <color theme="1"/>
      <name val="Calibri"/>
      <family val="2"/>
      <scheme val="minor"/>
    </font>
    <font>
      <b/>
      <sz val="10"/>
      <color theme="1"/>
      <name val="Calibri"/>
      <family val="2"/>
      <scheme val="minor"/>
    </font>
    <font>
      <b/>
      <sz val="14"/>
      <color rgb="FFFF0000"/>
      <name val="Calibri"/>
      <family val="2"/>
      <scheme val="minor"/>
    </font>
    <font>
      <b/>
      <sz val="14"/>
      <color theme="1"/>
      <name val="Calibri"/>
      <family val="2"/>
      <scheme val="minor"/>
    </font>
    <font>
      <sz val="14"/>
      <name val="Calibri"/>
      <family val="2"/>
      <scheme val="minor"/>
    </font>
    <font>
      <i/>
      <sz val="11"/>
      <name val="Calibri"/>
      <family val="2"/>
    </font>
    <font>
      <i/>
      <sz val="11"/>
      <name val="Calibri"/>
      <family val="2"/>
      <scheme val="minor"/>
    </font>
    <font>
      <sz val="11"/>
      <color rgb="FF000000"/>
      <name val="Calibri"/>
      <family val="2"/>
      <scheme val="minor"/>
    </font>
    <font>
      <b/>
      <sz val="11"/>
      <color rgb="FFFF0000"/>
      <name val="Calibri"/>
      <family val="2"/>
      <scheme val="minor"/>
    </font>
    <font>
      <b/>
      <sz val="11"/>
      <color rgb="FFFFFFFF"/>
      <name val="Calibri"/>
      <family val="2"/>
    </font>
    <font>
      <b/>
      <sz val="11"/>
      <color rgb="FF000000"/>
      <name val="Calibri"/>
      <family val="2"/>
    </font>
    <font>
      <b/>
      <sz val="11"/>
      <color rgb="FF000000"/>
      <name val="Calibri"/>
      <family val="2"/>
      <scheme val="minor"/>
    </font>
    <font>
      <sz val="11"/>
      <color rgb="FF000000"/>
      <name val="Calibri"/>
      <family val="2"/>
    </font>
    <font>
      <i/>
      <sz val="11"/>
      <color rgb="FF000000"/>
      <name val="Calibri"/>
      <family val="2"/>
    </font>
    <font>
      <i/>
      <sz val="11"/>
      <color rgb="FF000000"/>
      <name val="Calibri"/>
      <family val="2"/>
      <scheme val="minor"/>
    </font>
    <font>
      <sz val="11"/>
      <color theme="1"/>
      <name val="Calibri"/>
      <family val="2"/>
    </font>
    <font>
      <b/>
      <sz val="11"/>
      <color theme="1"/>
      <name val="Calibri"/>
      <family val="2"/>
    </font>
    <font>
      <i/>
      <sz val="11"/>
      <color theme="1"/>
      <name val="Calibri"/>
      <family val="2"/>
    </font>
    <font>
      <u/>
      <sz val="22"/>
      <color theme="10"/>
      <name val="Calibri"/>
      <family val="2"/>
      <scheme val="minor"/>
    </font>
    <font>
      <sz val="10"/>
      <color theme="0"/>
      <name val="Calibri"/>
      <family val="2"/>
      <scheme val="minor"/>
    </font>
    <font>
      <b/>
      <sz val="11"/>
      <color rgb="FFFFFFFF"/>
      <name val="Calibri"/>
      <family val="2"/>
      <scheme val="minor"/>
    </font>
    <font>
      <sz val="11"/>
      <color rgb="FFFFFFFF"/>
      <name val="Calibri"/>
      <family val="2"/>
    </font>
    <font>
      <b/>
      <i/>
      <sz val="11"/>
      <color rgb="FF000000"/>
      <name val="Calibri"/>
      <family val="2"/>
    </font>
    <font>
      <b/>
      <i/>
      <sz val="11"/>
      <color rgb="FF000000"/>
      <name val="Calibri"/>
      <family val="2"/>
      <scheme val="minor"/>
    </font>
    <font>
      <b/>
      <sz val="8"/>
      <color rgb="FF000000"/>
      <name val="Calibri"/>
      <family val="2"/>
      <scheme val="minor"/>
    </font>
    <font>
      <sz val="11"/>
      <color rgb="FFFF0000"/>
      <name val="Calibri"/>
      <family val="2"/>
      <scheme val="minor"/>
    </font>
    <font>
      <sz val="22"/>
      <color rgb="FF000000"/>
      <name val="Calibri"/>
      <family val="2"/>
      <scheme val="minor"/>
    </font>
    <font>
      <b/>
      <i/>
      <sz val="11"/>
      <name val="Calibri"/>
      <family val="2"/>
    </font>
    <font>
      <b/>
      <i/>
      <sz val="11"/>
      <color theme="1"/>
      <name val="Calibri"/>
      <family val="2"/>
    </font>
    <font>
      <b/>
      <i/>
      <sz val="11"/>
      <color rgb="FFFF0000"/>
      <name val="Calibri"/>
      <family val="2"/>
    </font>
    <font>
      <sz val="14"/>
      <color rgb="FF0000FF"/>
      <name val="Calibri"/>
      <family val="2"/>
      <scheme val="minor"/>
    </font>
    <font>
      <sz val="8"/>
      <color rgb="FF000000"/>
      <name val="Calibri"/>
      <family val="2"/>
      <scheme val="minor"/>
    </font>
    <font>
      <b/>
      <sz val="9"/>
      <name val="Tahoma"/>
      <family val="2"/>
    </font>
    <font>
      <sz val="9"/>
      <name val="Tahoma"/>
      <family val="2"/>
    </font>
    <font>
      <i/>
      <sz val="11"/>
      <color rgb="FFFF0000"/>
      <name val="Calibri"/>
      <family val="2"/>
    </font>
    <font>
      <i/>
      <sz val="11"/>
      <color rgb="FFFF0000"/>
      <name val="Calibri"/>
      <family val="2"/>
      <scheme val="minor"/>
    </font>
    <font>
      <sz val="11"/>
      <color theme="0" tint="-4.8066652424695579E-2"/>
      <name val="Calibri"/>
      <family val="2"/>
    </font>
    <font>
      <u/>
      <sz val="11"/>
      <color theme="10"/>
      <name val="Calibri"/>
      <family val="2"/>
      <scheme val="minor"/>
    </font>
    <font>
      <b/>
      <sz val="11"/>
      <color theme="0"/>
      <name val="Calibri"/>
      <family val="2"/>
    </font>
    <font>
      <sz val="11"/>
      <color rgb="FFF2F2F2"/>
      <name val="Calibri"/>
      <family val="2"/>
    </font>
    <font>
      <u/>
      <sz val="11"/>
      <color rgb="FF0000FF"/>
      <name val="Calibri"/>
      <family val="2"/>
      <scheme val="minor"/>
    </font>
    <font>
      <u/>
      <sz val="11"/>
      <color rgb="FF000000"/>
      <name val="Calibri"/>
      <family val="2"/>
      <scheme val="minor"/>
    </font>
    <font>
      <u/>
      <sz val="22"/>
      <color rgb="FF000000"/>
      <name val="Calibri"/>
      <family val="2"/>
      <scheme val="minor"/>
    </font>
    <font>
      <sz val="11"/>
      <name val="Calibri"/>
      <family val="2"/>
    </font>
    <font>
      <b/>
      <sz val="9"/>
      <name val="Tahoma"/>
      <family val="2"/>
      <charset val="1"/>
    </font>
    <font>
      <sz val="9"/>
      <name val="Tahoma"/>
      <family val="2"/>
      <charset val="1"/>
    </font>
  </fonts>
  <fills count="13">
    <fill>
      <patternFill patternType="none"/>
    </fill>
    <fill>
      <patternFill patternType="gray125"/>
    </fill>
    <fill>
      <patternFill patternType="solid">
        <fgColor rgb="FFC6EFCE"/>
        <bgColor indexed="64"/>
      </patternFill>
    </fill>
    <fill>
      <patternFill patternType="solid">
        <fgColor rgb="FFF2F2F2"/>
        <bgColor indexed="64"/>
      </patternFill>
    </fill>
    <fill>
      <patternFill patternType="solid">
        <fgColor theme="0"/>
        <bgColor indexed="64"/>
      </patternFill>
    </fill>
    <fill>
      <patternFill patternType="solid">
        <fgColor theme="0" tint="-4.7822504348887601E-2"/>
        <bgColor indexed="64"/>
      </patternFill>
    </fill>
    <fill>
      <patternFill patternType="solid">
        <fgColor rgb="FFFBCE20"/>
        <bgColor indexed="64"/>
      </patternFill>
    </fill>
    <fill>
      <patternFill patternType="solid">
        <fgColor rgb="FFFFFFFF"/>
        <bgColor indexed="64"/>
      </patternFill>
    </fill>
    <fill>
      <patternFill patternType="solid">
        <fgColor rgb="FF89E0FF"/>
        <bgColor indexed="64"/>
      </patternFill>
    </fill>
    <fill>
      <patternFill patternType="solid">
        <fgColor rgb="FF000000"/>
        <bgColor indexed="64"/>
      </patternFill>
    </fill>
    <fill>
      <patternFill patternType="solid">
        <fgColor theme="0" tint="-0.24781029694509721"/>
        <bgColor indexed="64"/>
      </patternFill>
    </fill>
    <fill>
      <patternFill patternType="solid">
        <fgColor rgb="FFBFBFBF"/>
        <bgColor indexed="64"/>
      </patternFill>
    </fill>
    <fill>
      <patternFill patternType="solid">
        <fgColor theme="1"/>
        <bgColor indexed="64"/>
      </patternFill>
    </fill>
  </fills>
  <borders count="35">
    <border>
      <left/>
      <right/>
      <top/>
      <bottom/>
      <diagonal/>
    </border>
    <border>
      <left/>
      <right style="thin">
        <color auto="1"/>
      </right>
      <top/>
      <bottom style="thin">
        <color auto="1"/>
      </bottom>
      <diagonal/>
    </border>
    <border>
      <left/>
      <right/>
      <top/>
      <bottom style="thin">
        <color auto="1"/>
      </bottom>
      <diagonal/>
    </border>
    <border>
      <left style="thin">
        <color auto="1"/>
      </left>
      <right/>
      <top/>
      <bottom style="thin">
        <color auto="1"/>
      </bottom>
      <diagonal/>
    </border>
    <border>
      <left/>
      <right style="thin">
        <color auto="1"/>
      </right>
      <top/>
      <bottom/>
      <diagonal/>
    </border>
    <border>
      <left style="thin">
        <color auto="1"/>
      </left>
      <right/>
      <top/>
      <bottom/>
      <diagonal/>
    </border>
    <border>
      <left/>
      <right style="thin">
        <color auto="1"/>
      </right>
      <top style="thin">
        <color auto="1"/>
      </top>
      <bottom/>
      <diagonal/>
    </border>
    <border>
      <left/>
      <right/>
      <top style="thin">
        <color auto="1"/>
      </top>
      <bottom/>
      <diagonal/>
    </border>
    <border>
      <left style="thin">
        <color auto="1"/>
      </left>
      <right/>
      <top style="thin">
        <color auto="1"/>
      </top>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right/>
      <top/>
      <bottom style="thin">
        <color rgb="FF000000"/>
      </bottom>
      <diagonal/>
    </border>
    <border>
      <left/>
      <right/>
      <top style="thin">
        <color rgb="FF000000"/>
      </top>
      <bottom/>
      <diagonal/>
    </border>
    <border>
      <left/>
      <right style="thin">
        <color rgb="FF000000"/>
      </right>
      <top/>
      <bottom style="thin">
        <color rgb="FF000000"/>
      </bottom>
      <diagonal/>
    </border>
    <border>
      <left style="thin">
        <color rgb="FF000000"/>
      </left>
      <right/>
      <top/>
      <bottom style="thin">
        <color rgb="FF000000"/>
      </bottom>
      <diagonal/>
    </border>
    <border>
      <left style="thin">
        <color auto="1"/>
      </left>
      <right style="thin">
        <color auto="1"/>
      </right>
      <top/>
      <bottom style="thin">
        <color auto="1"/>
      </bottom>
      <diagonal/>
    </border>
    <border>
      <left style="thin">
        <color auto="1"/>
      </left>
      <right style="thin">
        <color auto="1"/>
      </right>
      <top style="thin">
        <color auto="1"/>
      </top>
      <bottom style="thin">
        <color rgb="FF000000"/>
      </bottom>
      <diagonal/>
    </border>
    <border>
      <left style="thin">
        <color rgb="FF000000"/>
      </left>
      <right style="thin">
        <color auto="1"/>
      </right>
      <top style="thin">
        <color auto="1"/>
      </top>
      <bottom style="thin">
        <color rgb="FF000000"/>
      </bottom>
      <diagonal/>
    </border>
    <border>
      <left style="thin">
        <color rgb="FF000000"/>
      </left>
      <right style="thin">
        <color auto="1"/>
      </right>
      <top/>
      <bottom style="thin">
        <color rgb="FF000000"/>
      </bottom>
      <diagonal/>
    </border>
    <border>
      <left style="thin">
        <color auto="1"/>
      </left>
      <right style="thin">
        <color auto="1"/>
      </right>
      <top/>
      <bottom style="thin">
        <color rgb="FF000000"/>
      </bottom>
      <diagonal/>
    </border>
    <border>
      <left style="thin">
        <color rgb="FF000000"/>
      </left>
      <right/>
      <top/>
      <bottom/>
      <diagonal/>
    </border>
    <border>
      <left/>
      <right style="thin">
        <color rgb="FF000000"/>
      </right>
      <top/>
      <bottom/>
      <diagonal/>
    </border>
    <border>
      <left/>
      <right style="thin">
        <color rgb="FF000000"/>
      </right>
      <top style="thin">
        <color rgb="FF000000"/>
      </top>
      <bottom/>
      <diagonal/>
    </border>
    <border>
      <left style="thin">
        <color rgb="FF000000"/>
      </left>
      <right/>
      <top style="thin">
        <color rgb="FF000000"/>
      </top>
      <bottom/>
      <diagonal/>
    </border>
    <border>
      <left style="thin">
        <color auto="1"/>
      </left>
      <right style="thin">
        <color rgb="FF000000"/>
      </right>
      <top/>
      <bottom style="thin">
        <color rgb="FF000000"/>
      </bottom>
      <diagonal/>
    </border>
    <border>
      <left/>
      <right style="thick">
        <color rgb="FF000000"/>
      </right>
      <top/>
      <bottom/>
      <diagonal/>
    </border>
    <border>
      <left style="thin">
        <color auto="1"/>
      </left>
      <right style="thin">
        <color auto="1"/>
      </right>
      <top style="thin">
        <color auto="1"/>
      </top>
      <bottom/>
      <diagonal/>
    </border>
    <border>
      <left style="thin">
        <color auto="1"/>
      </left>
      <right style="thin">
        <color auto="1"/>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ck">
        <color auto="1"/>
      </right>
      <top/>
      <bottom/>
      <diagonal/>
    </border>
    <border>
      <left/>
      <right style="thick">
        <color auto="1"/>
      </right>
      <top style="thin">
        <color auto="1"/>
      </top>
      <bottom/>
      <diagonal/>
    </border>
    <border>
      <left/>
      <right style="thick">
        <color auto="1"/>
      </right>
      <top/>
      <bottom style="thin">
        <color auto="1"/>
      </bottom>
      <diagonal/>
    </border>
    <border>
      <left/>
      <right style="thick">
        <color auto="1"/>
      </right>
      <top style="thin">
        <color auto="1"/>
      </top>
      <bottom style="thin">
        <color auto="1"/>
      </bottom>
      <diagonal/>
    </border>
    <border>
      <left/>
      <right style="thick">
        <color auto="1"/>
      </right>
      <top/>
      <bottom style="thin">
        <color rgb="FF000000"/>
      </bottom>
      <diagonal/>
    </border>
  </borders>
  <cellStyleXfs count="11">
    <xf numFmtId="0" fontId="0" fillId="0" borderId="0"/>
    <xf numFmtId="0" fontId="57" fillId="0" borderId="0"/>
    <xf numFmtId="0" fontId="1" fillId="0" borderId="0"/>
    <xf numFmtId="0" fontId="13" fillId="2" borderId="0"/>
    <xf numFmtId="0" fontId="3" fillId="0" borderId="0"/>
    <xf numFmtId="0" fontId="10" fillId="0" borderId="0"/>
    <xf numFmtId="0" fontId="1" fillId="0" borderId="0"/>
    <xf numFmtId="0" fontId="1" fillId="0" borderId="0"/>
    <xf numFmtId="0" fontId="57" fillId="0" borderId="0"/>
    <xf numFmtId="0" fontId="1" fillId="0" borderId="0"/>
    <xf numFmtId="0" fontId="51" fillId="0" borderId="0" applyNumberFormat="0" applyFill="0" applyBorder="0" applyAlignment="0" applyProtection="0"/>
  </cellStyleXfs>
  <cellXfs count="982">
    <xf numFmtId="0" fontId="0" fillId="0" borderId="0" xfId="0"/>
    <xf numFmtId="0" fontId="44" fillId="3" borderId="0" xfId="4" applyFont="1" applyFill="1"/>
    <xf numFmtId="0" fontId="1" fillId="4" borderId="0" xfId="7" quotePrefix="1" applyFont="1" applyFill="1" applyAlignment="1">
      <alignment horizontal="left" vertical="top" wrapText="1"/>
    </xf>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45" fillId="0" borderId="8" xfId="7" applyFont="1" applyBorder="1" applyAlignment="1">
      <alignment vertical="top" wrapText="1"/>
    </xf>
    <xf numFmtId="0" fontId="1" fillId="0" borderId="0" xfId="7" applyFont="1"/>
    <xf numFmtId="0" fontId="9" fillId="5" borderId="0" xfId="7" applyFont="1" applyFill="1" applyAlignment="1">
      <alignment horizontal="center"/>
    </xf>
    <xf numFmtId="0" fontId="1" fillId="0" borderId="0" xfId="7"/>
    <xf numFmtId="0" fontId="57" fillId="0" borderId="0" xfId="8"/>
    <xf numFmtId="0" fontId="1" fillId="5" borderId="0" xfId="7" applyFont="1" applyFill="1"/>
    <xf numFmtId="0" fontId="1" fillId="0" borderId="0" xfId="7" applyFont="1"/>
    <xf numFmtId="0" fontId="17" fillId="5" borderId="0" xfId="7" applyFont="1" applyFill="1" applyAlignment="1">
      <alignment vertical="center"/>
    </xf>
    <xf numFmtId="14" fontId="11" fillId="6" borderId="0" xfId="7" applyNumberFormat="1" applyFont="1" applyFill="1" applyAlignment="1">
      <alignment horizontal="center" vertical="center"/>
    </xf>
    <xf numFmtId="0" fontId="1" fillId="4" borderId="0" xfId="7" applyFont="1" applyFill="1"/>
    <xf numFmtId="0" fontId="6" fillId="4" borderId="9" xfId="7" applyFont="1" applyFill="1" applyBorder="1" applyAlignment="1">
      <alignment horizontal="center"/>
    </xf>
    <xf numFmtId="14" fontId="6" fillId="4" borderId="9" xfId="7" applyNumberFormat="1" applyFont="1" applyFill="1" applyBorder="1" applyAlignment="1">
      <alignment horizontal="center"/>
    </xf>
    <xf numFmtId="0" fontId="11" fillId="0" borderId="0" xfId="7" applyFont="1" applyAlignment="1">
      <alignment vertical="center"/>
    </xf>
    <xf numFmtId="0" fontId="0" fillId="4" borderId="0" xfId="0" applyFont="1" applyFill="1"/>
    <xf numFmtId="0" fontId="1" fillId="4" borderId="9" xfId="7" applyFont="1" applyFill="1" applyBorder="1" applyAlignment="1">
      <alignment horizontal="center"/>
    </xf>
    <xf numFmtId="0" fontId="5" fillId="4" borderId="0" xfId="0" applyFont="1" applyFill="1"/>
    <xf numFmtId="0" fontId="5" fillId="0" borderId="0" xfId="0" applyFont="1"/>
    <xf numFmtId="0" fontId="0" fillId="0" borderId="0" xfId="0" applyFont="1"/>
    <xf numFmtId="164" fontId="0" fillId="7" borderId="0" xfId="0" applyNumberFormat="1" applyFont="1" applyFill="1"/>
    <xf numFmtId="164" fontId="5" fillId="0" borderId="0" xfId="0" applyNumberFormat="1" applyFont="1" applyAlignment="1">
      <alignment horizontal="center"/>
    </xf>
    <xf numFmtId="164" fontId="5" fillId="4" borderId="0" xfId="0" applyNumberFormat="1" applyFont="1" applyFill="1" applyAlignment="1">
      <alignment horizontal="center"/>
    </xf>
    <xf numFmtId="167" fontId="5" fillId="0" borderId="0" xfId="0" applyNumberFormat="1" applyFont="1"/>
    <xf numFmtId="167" fontId="0" fillId="0" borderId="0" xfId="0" applyNumberFormat="1" applyFont="1"/>
    <xf numFmtId="167" fontId="5" fillId="7" borderId="7" xfId="0" applyNumberFormat="1" applyFont="1" applyFill="1" applyBorder="1" applyAlignment="1">
      <alignment horizontal="left"/>
    </xf>
    <xf numFmtId="167" fontId="5" fillId="8" borderId="7" xfId="0" applyNumberFormat="1" applyFont="1" applyFill="1" applyBorder="1" applyAlignment="1">
      <alignment horizontal="right"/>
    </xf>
    <xf numFmtId="167" fontId="5" fillId="7" borderId="7" xfId="0" applyNumberFormat="1" applyFont="1" applyFill="1" applyBorder="1" applyAlignment="1">
      <alignment horizontal="right"/>
    </xf>
    <xf numFmtId="167" fontId="24" fillId="7" borderId="7" xfId="0" applyNumberFormat="1" applyFont="1" applyFill="1" applyBorder="1" applyAlignment="1">
      <alignment horizontal="right"/>
    </xf>
    <xf numFmtId="167" fontId="24" fillId="8" borderId="7" xfId="0" applyNumberFormat="1" applyFont="1" applyFill="1" applyBorder="1" applyAlignment="1">
      <alignment horizontal="right"/>
    </xf>
    <xf numFmtId="164" fontId="5" fillId="0" borderId="0" xfId="0" applyNumberFormat="1" applyFont="1"/>
    <xf numFmtId="164" fontId="0" fillId="0" borderId="0" xfId="0" applyNumberFormat="1" applyFont="1"/>
    <xf numFmtId="164" fontId="5" fillId="7" borderId="7" xfId="0" applyNumberFormat="1" applyFont="1" applyFill="1" applyBorder="1" applyAlignment="1">
      <alignment horizontal="left"/>
    </xf>
    <xf numFmtId="167" fontId="0" fillId="8" borderId="2" xfId="0" applyNumberFormat="1" applyFont="1" applyFill="1" applyBorder="1" applyAlignment="1">
      <alignment horizontal="right"/>
    </xf>
    <xf numFmtId="167" fontId="0" fillId="7" borderId="2" xfId="0" applyNumberFormat="1" applyFont="1" applyFill="1" applyBorder="1" applyAlignment="1">
      <alignment horizontal="right"/>
    </xf>
    <xf numFmtId="167" fontId="7" fillId="7" borderId="2" xfId="0" applyNumberFormat="1" applyFont="1" applyFill="1" applyBorder="1" applyAlignment="1">
      <alignment horizontal="right"/>
    </xf>
    <xf numFmtId="167" fontId="26" fillId="8" borderId="2" xfId="0" applyNumberFormat="1" applyFont="1" applyFill="1" applyBorder="1" applyAlignment="1">
      <alignment horizontal="right"/>
    </xf>
    <xf numFmtId="167" fontId="7" fillId="8" borderId="2" xfId="0" applyNumberFormat="1" applyFont="1" applyFill="1" applyBorder="1" applyAlignment="1">
      <alignment horizontal="right"/>
    </xf>
    <xf numFmtId="164" fontId="5" fillId="7" borderId="10" xfId="0" applyNumberFormat="1" applyFont="1" applyFill="1" applyBorder="1" applyAlignment="1">
      <alignment horizontal="left"/>
    </xf>
    <xf numFmtId="164" fontId="19" fillId="0" borderId="0" xfId="0" applyNumberFormat="1" applyFont="1"/>
    <xf numFmtId="169" fontId="19" fillId="0" borderId="0" xfId="0" applyNumberFormat="1" applyFont="1"/>
    <xf numFmtId="169" fontId="5" fillId="0" borderId="0" xfId="0" applyNumberFormat="1" applyFont="1"/>
    <xf numFmtId="172" fontId="0" fillId="0" borderId="0" xfId="0" applyNumberFormat="1" applyFont="1"/>
    <xf numFmtId="170" fontId="5" fillId="0" borderId="0" xfId="0" applyNumberFormat="1" applyFont="1"/>
    <xf numFmtId="170" fontId="0" fillId="0" borderId="0" xfId="0" applyNumberFormat="1" applyFont="1"/>
    <xf numFmtId="169" fontId="0" fillId="0" borderId="0" xfId="0" applyNumberFormat="1" applyFont="1"/>
    <xf numFmtId="166" fontId="5" fillId="0" borderId="0" xfId="0" applyNumberFormat="1" applyFont="1"/>
    <xf numFmtId="166" fontId="0" fillId="0" borderId="0" xfId="0" applyNumberFormat="1" applyFont="1"/>
    <xf numFmtId="164" fontId="57" fillId="0" borderId="0" xfId="8" applyNumberFormat="1"/>
    <xf numFmtId="169" fontId="5" fillId="0" borderId="0" xfId="8" applyNumberFormat="1" applyFont="1"/>
    <xf numFmtId="164" fontId="5" fillId="0" borderId="0" xfId="8" applyNumberFormat="1" applyFont="1"/>
    <xf numFmtId="169" fontId="57" fillId="0" borderId="0" xfId="8" applyNumberFormat="1"/>
    <xf numFmtId="167" fontId="57" fillId="0" borderId="0" xfId="8" applyNumberFormat="1"/>
    <xf numFmtId="167" fontId="5" fillId="0" borderId="0" xfId="8" applyNumberFormat="1" applyFont="1"/>
    <xf numFmtId="180" fontId="5" fillId="0" borderId="0" xfId="8" applyNumberFormat="1" applyFont="1"/>
    <xf numFmtId="170" fontId="5" fillId="0" borderId="0" xfId="8" applyNumberFormat="1" applyFont="1"/>
    <xf numFmtId="181" fontId="5" fillId="0" borderId="0" xfId="8" applyNumberFormat="1" applyFont="1"/>
    <xf numFmtId="170" fontId="57" fillId="0" borderId="0" xfId="8" applyNumberFormat="1"/>
    <xf numFmtId="164" fontId="0" fillId="0" borderId="0" xfId="0" applyNumberFormat="1"/>
    <xf numFmtId="167" fontId="0" fillId="7" borderId="0" xfId="0" applyNumberFormat="1" applyFont="1" applyFill="1" applyAlignment="1">
      <alignment horizontal="right"/>
    </xf>
    <xf numFmtId="167" fontId="5" fillId="7" borderId="0" xfId="0" applyNumberFormat="1" applyFont="1" applyFill="1" applyAlignment="1">
      <alignment horizontal="right"/>
    </xf>
    <xf numFmtId="167" fontId="23" fillId="9" borderId="0" xfId="0" applyNumberFormat="1" applyFont="1" applyFill="1"/>
    <xf numFmtId="167" fontId="0" fillId="7" borderId="0" xfId="0" applyNumberFormat="1" applyFont="1" applyFill="1" applyAlignment="1">
      <alignment horizontal="center"/>
    </xf>
    <xf numFmtId="169" fontId="19" fillId="7" borderId="0" xfId="0" applyNumberFormat="1" applyFont="1" applyFill="1"/>
    <xf numFmtId="167" fontId="5" fillId="7" borderId="0" xfId="0" applyNumberFormat="1" applyFont="1" applyFill="1"/>
    <xf numFmtId="169" fontId="5" fillId="7" borderId="0" xfId="0" applyNumberFormat="1" applyFont="1" applyFill="1"/>
    <xf numFmtId="172" fontId="0" fillId="7" borderId="0" xfId="0" applyNumberFormat="1" applyFont="1" applyFill="1"/>
    <xf numFmtId="164" fontId="0" fillId="7" borderId="0" xfId="0" applyNumberFormat="1" applyFont="1" applyFill="1" applyAlignment="1">
      <alignment horizontal="left" indent="1"/>
    </xf>
    <xf numFmtId="0" fontId="0" fillId="7" borderId="0" xfId="0" applyFont="1" applyFill="1"/>
    <xf numFmtId="0" fontId="11" fillId="5" borderId="0" xfId="7" applyFont="1" applyFill="1" applyAlignment="1">
      <alignment vertical="center"/>
    </xf>
    <xf numFmtId="0" fontId="1" fillId="5" borderId="0" xfId="7" applyFont="1" applyFill="1" applyAlignment="1">
      <alignment vertical="center"/>
    </xf>
    <xf numFmtId="0" fontId="17" fillId="5" borderId="0" xfId="7" applyFont="1" applyFill="1" applyAlignment="1">
      <alignment horizontal="center" vertical="center"/>
    </xf>
    <xf numFmtId="0" fontId="11" fillId="5" borderId="0" xfId="7" applyFont="1" applyFill="1"/>
    <xf numFmtId="0" fontId="11" fillId="5" borderId="0" xfId="7" applyFont="1" applyFill="1" applyAlignment="1">
      <alignment horizontal="center"/>
    </xf>
    <xf numFmtId="0" fontId="18" fillId="6" borderId="0" xfId="7" applyFont="1" applyFill="1" applyAlignment="1">
      <alignment horizontal="center" vertical="center"/>
    </xf>
    <xf numFmtId="1" fontId="16" fillId="10" borderId="0" xfId="7" applyNumberFormat="1" applyFont="1" applyFill="1" applyAlignment="1">
      <alignment horizontal="center" vertical="center"/>
    </xf>
    <xf numFmtId="0" fontId="15" fillId="5" borderId="0" xfId="7" applyFont="1" applyFill="1"/>
    <xf numFmtId="0" fontId="14" fillId="5" borderId="0" xfId="7" applyFont="1" applyFill="1"/>
    <xf numFmtId="0" fontId="1" fillId="5" borderId="0" xfId="7" applyFont="1" applyFill="1" applyAlignment="1">
      <alignment vertical="center"/>
    </xf>
    <xf numFmtId="1" fontId="14" fillId="5" borderId="0" xfId="7" applyNumberFormat="1" applyFont="1" applyFill="1" applyAlignment="1">
      <alignment horizontal="center"/>
    </xf>
    <xf numFmtId="0" fontId="14" fillId="5" borderId="0" xfId="7" applyFont="1" applyFill="1" applyAlignment="1">
      <alignment horizontal="left" wrapText="1" indent="1"/>
    </xf>
    <xf numFmtId="0" fontId="14" fillId="0" borderId="0" xfId="7" applyFont="1"/>
    <xf numFmtId="0" fontId="15" fillId="5" borderId="0" xfId="7" quotePrefix="1" applyFont="1" applyFill="1"/>
    <xf numFmtId="0" fontId="17" fillId="5" borderId="0" xfId="7" applyFont="1" applyFill="1"/>
    <xf numFmtId="164" fontId="21" fillId="2" borderId="0" xfId="3" applyNumberFormat="1" applyFont="1" applyFill="1"/>
    <xf numFmtId="0" fontId="1" fillId="5" borderId="0" xfId="7" applyFill="1"/>
    <xf numFmtId="0" fontId="1" fillId="4" borderId="0" xfId="7" applyFill="1"/>
    <xf numFmtId="168" fontId="32" fillId="7" borderId="0" xfId="4" applyNumberFormat="1" applyFont="1" applyFill="1" applyAlignment="1">
      <alignment horizontal="left"/>
    </xf>
    <xf numFmtId="167" fontId="0" fillId="7" borderId="0" xfId="0" applyNumberFormat="1" applyFont="1" applyFill="1" applyAlignment="1">
      <alignment horizontal="left" indent="1"/>
    </xf>
    <xf numFmtId="0" fontId="3" fillId="0" borderId="9" xfId="4" applyBorder="1" applyAlignment="1">
      <alignment horizontal="left"/>
    </xf>
    <xf numFmtId="0" fontId="3" fillId="4" borderId="9" xfId="4" applyFill="1" applyBorder="1" applyAlignment="1">
      <alignment horizontal="left"/>
    </xf>
    <xf numFmtId="167" fontId="30" fillId="7" borderId="7" xfId="0" applyNumberFormat="1" applyFont="1" applyFill="1" applyBorder="1" applyAlignment="1">
      <alignment horizontal="right"/>
    </xf>
    <xf numFmtId="167" fontId="29" fillId="7" borderId="2" xfId="0" applyNumberFormat="1" applyFont="1" applyFill="1" applyBorder="1" applyAlignment="1">
      <alignment horizontal="right"/>
    </xf>
    <xf numFmtId="0" fontId="29" fillId="7" borderId="0" xfId="0" applyFont="1" applyFill="1"/>
    <xf numFmtId="0" fontId="3" fillId="0" borderId="9" xfId="4" applyBorder="1"/>
    <xf numFmtId="183" fontId="2" fillId="7" borderId="0" xfId="0" applyNumberFormat="1" applyFont="1" applyFill="1"/>
    <xf numFmtId="0" fontId="33" fillId="5" borderId="0" xfId="7" applyFont="1" applyFill="1" applyAlignment="1">
      <alignment horizontal="center"/>
    </xf>
    <xf numFmtId="184" fontId="2" fillId="5" borderId="0" xfId="7" applyNumberFormat="1" applyFont="1" applyFill="1" applyAlignment="1">
      <alignment horizontal="right"/>
    </xf>
    <xf numFmtId="167" fontId="5" fillId="8" borderId="0" xfId="0" applyNumberFormat="1" applyFont="1" applyFill="1" applyAlignment="1">
      <alignment horizontal="right"/>
    </xf>
    <xf numFmtId="167" fontId="5" fillId="8" borderId="0" xfId="0" applyNumberFormat="1" applyFont="1" applyFill="1"/>
    <xf numFmtId="169" fontId="5" fillId="8" borderId="0" xfId="0" applyNumberFormat="1" applyFont="1" applyFill="1"/>
    <xf numFmtId="170" fontId="0" fillId="8" borderId="0" xfId="0" applyNumberFormat="1" applyFont="1" applyFill="1" applyAlignment="1">
      <alignment horizontal="right"/>
    </xf>
    <xf numFmtId="164" fontId="27" fillId="0" borderId="0" xfId="0" applyNumberFormat="1" applyFont="1"/>
    <xf numFmtId="169" fontId="27" fillId="7" borderId="0" xfId="0" applyNumberFormat="1" applyFont="1" applyFill="1"/>
    <xf numFmtId="169" fontId="27" fillId="0" borderId="0" xfId="0" applyNumberFormat="1" applyFont="1"/>
    <xf numFmtId="167" fontId="19" fillId="7" borderId="0" xfId="0" applyNumberFormat="1" applyFont="1" applyFill="1" applyAlignment="1">
      <alignment horizontal="left" indent="1"/>
    </xf>
    <xf numFmtId="167" fontId="19" fillId="0" borderId="0" xfId="0" applyNumberFormat="1" applyFont="1" applyAlignment="1">
      <alignment horizontal="left" indent="1"/>
    </xf>
    <xf numFmtId="167" fontId="4" fillId="7" borderId="7" xfId="1" applyNumberFormat="1" applyFont="1" applyFill="1" applyBorder="1"/>
    <xf numFmtId="167" fontId="6" fillId="7" borderId="2" xfId="1" applyNumberFormat="1" applyFont="1" applyFill="1" applyBorder="1"/>
    <xf numFmtId="164" fontId="5" fillId="7" borderId="7" xfId="0" applyNumberFormat="1" applyFont="1" applyFill="1" applyBorder="1" applyAlignment="1">
      <alignment horizontal="left" indent="3"/>
    </xf>
    <xf numFmtId="164" fontId="5" fillId="7" borderId="10" xfId="0" applyNumberFormat="1" applyFont="1" applyFill="1" applyBorder="1" applyAlignment="1">
      <alignment horizontal="left" indent="3"/>
    </xf>
    <xf numFmtId="167" fontId="24" fillId="7" borderId="0" xfId="0" applyNumberFormat="1" applyFont="1" applyFill="1" applyAlignment="1">
      <alignment horizontal="right"/>
    </xf>
    <xf numFmtId="167" fontId="24" fillId="8" borderId="0" xfId="0" applyNumberFormat="1" applyFont="1" applyFill="1" applyAlignment="1">
      <alignment horizontal="right"/>
    </xf>
    <xf numFmtId="167" fontId="24" fillId="0" borderId="0" xfId="0" applyNumberFormat="1" applyFont="1"/>
    <xf numFmtId="167" fontId="0" fillId="7" borderId="2" xfId="0" applyNumberFormat="1" applyFont="1" applyFill="1" applyBorder="1" applyAlignment="1">
      <alignment horizontal="left" indent="3"/>
    </xf>
    <xf numFmtId="167" fontId="24" fillId="7" borderId="7" xfId="0" applyNumberFormat="1" applyFont="1" applyFill="1" applyBorder="1" applyAlignment="1">
      <alignment horizontal="left" indent="1"/>
    </xf>
    <xf numFmtId="167" fontId="25" fillId="7" borderId="7" xfId="1" applyNumberFormat="1" applyFont="1" applyFill="1" applyBorder="1"/>
    <xf numFmtId="167" fontId="27" fillId="7" borderId="0" xfId="0" applyNumberFormat="1" applyFont="1" applyFill="1"/>
    <xf numFmtId="167" fontId="27" fillId="0" borderId="0" xfId="0" applyNumberFormat="1" applyFont="1"/>
    <xf numFmtId="167" fontId="26" fillId="7" borderId="0" xfId="0" applyNumberFormat="1" applyFont="1" applyFill="1"/>
    <xf numFmtId="0" fontId="5" fillId="7" borderId="0" xfId="0" applyFont="1" applyFill="1"/>
    <xf numFmtId="164" fontId="34" fillId="9" borderId="0" xfId="8" applyNumberFormat="1" applyFont="1" applyFill="1"/>
    <xf numFmtId="167" fontId="23" fillId="9" borderId="0" xfId="8" applyNumberFormat="1" applyFont="1" applyFill="1"/>
    <xf numFmtId="167" fontId="35" fillId="9" borderId="0" xfId="8" applyNumberFormat="1" applyFont="1" applyFill="1"/>
    <xf numFmtId="164" fontId="23" fillId="9" borderId="0" xfId="8" applyNumberFormat="1" applyFont="1" applyFill="1"/>
    <xf numFmtId="164" fontId="25" fillId="7" borderId="0" xfId="8" applyNumberFormat="1" applyFont="1" applyFill="1" applyAlignment="1">
      <alignment horizontal="center"/>
    </xf>
    <xf numFmtId="169" fontId="24" fillId="7" borderId="0" xfId="8" applyNumberFormat="1" applyFont="1" applyFill="1" applyAlignment="1">
      <alignment horizontal="right"/>
    </xf>
    <xf numFmtId="169" fontId="24" fillId="8" borderId="0" xfId="8" applyNumberFormat="1" applyFont="1" applyFill="1"/>
    <xf numFmtId="167" fontId="26" fillId="8" borderId="0" xfId="0" applyNumberFormat="1" applyFont="1" applyFill="1" applyAlignment="1">
      <alignment horizontal="right"/>
    </xf>
    <xf numFmtId="167" fontId="26" fillId="7" borderId="0" xfId="0" applyNumberFormat="1" applyFont="1" applyFill="1" applyAlignment="1">
      <alignment horizontal="right"/>
    </xf>
    <xf numFmtId="169" fontId="26" fillId="8" borderId="0" xfId="8" applyNumberFormat="1" applyFont="1" applyFill="1"/>
    <xf numFmtId="169" fontId="26" fillId="7" borderId="0" xfId="8" applyNumberFormat="1" applyFont="1" applyFill="1"/>
    <xf numFmtId="169" fontId="24" fillId="7" borderId="0" xfId="8" applyNumberFormat="1" applyFont="1" applyFill="1"/>
    <xf numFmtId="167" fontId="24" fillId="7" borderId="0" xfId="8" applyNumberFormat="1" applyFont="1" applyFill="1" applyAlignment="1">
      <alignment horizontal="center"/>
    </xf>
    <xf numFmtId="167" fontId="26" fillId="7" borderId="0" xfId="8" applyNumberFormat="1" applyFont="1" applyFill="1" applyAlignment="1">
      <alignment horizontal="center"/>
    </xf>
    <xf numFmtId="167" fontId="26" fillId="8" borderId="0" xfId="8" applyNumberFormat="1" applyFont="1" applyFill="1"/>
    <xf numFmtId="167" fontId="26" fillId="8" borderId="0" xfId="8" applyNumberFormat="1" applyFont="1" applyFill="1" applyAlignment="1">
      <alignment horizontal="right"/>
    </xf>
    <xf numFmtId="167" fontId="26" fillId="7" borderId="0" xfId="8" applyNumberFormat="1" applyFont="1" applyFill="1" applyAlignment="1">
      <alignment horizontal="right"/>
    </xf>
    <xf numFmtId="167" fontId="24" fillId="8" borderId="7" xfId="8" applyNumberFormat="1" applyFont="1" applyFill="1" applyBorder="1" applyAlignment="1">
      <alignment horizontal="right"/>
    </xf>
    <xf numFmtId="167" fontId="24" fillId="7" borderId="7" xfId="8" applyNumberFormat="1" applyFont="1" applyFill="1" applyBorder="1" applyAlignment="1">
      <alignment horizontal="right"/>
    </xf>
    <xf numFmtId="167" fontId="24" fillId="8" borderId="0" xfId="8" applyNumberFormat="1" applyFont="1" applyFill="1" applyAlignment="1">
      <alignment horizontal="right"/>
    </xf>
    <xf numFmtId="167" fontId="24" fillId="7" borderId="0" xfId="8" applyNumberFormat="1" applyFont="1" applyFill="1" applyAlignment="1">
      <alignment horizontal="right"/>
    </xf>
    <xf numFmtId="180" fontId="24" fillId="8" borderId="0" xfId="8" applyNumberFormat="1" applyFont="1" applyFill="1" applyAlignment="1">
      <alignment horizontal="right"/>
    </xf>
    <xf numFmtId="180" fontId="24" fillId="7" borderId="0" xfId="8" applyNumberFormat="1" applyFont="1" applyFill="1" applyAlignment="1">
      <alignment horizontal="right"/>
    </xf>
    <xf numFmtId="170" fontId="24" fillId="7" borderId="0" xfId="8" applyNumberFormat="1" applyFont="1" applyFill="1"/>
    <xf numFmtId="170" fontId="26" fillId="8" borderId="0" xfId="8" applyNumberFormat="1" applyFont="1" applyFill="1" applyAlignment="1">
      <alignment horizontal="right"/>
    </xf>
    <xf numFmtId="170" fontId="26" fillId="7" borderId="0" xfId="8" applyNumberFormat="1" applyFont="1" applyFill="1"/>
    <xf numFmtId="169" fontId="2" fillId="7" borderId="0" xfId="1" applyNumberFormat="1" applyFont="1" applyFill="1"/>
    <xf numFmtId="167" fontId="6" fillId="7" borderId="0" xfId="1" applyNumberFormat="1" applyFont="1" applyFill="1"/>
    <xf numFmtId="14" fontId="6" fillId="4" borderId="9" xfId="7" applyNumberFormat="1" applyFont="1" applyFill="1" applyBorder="1" applyAlignment="1">
      <alignment horizontal="center"/>
    </xf>
    <xf numFmtId="0" fontId="6" fillId="4" borderId="9" xfId="7" applyFont="1" applyFill="1" applyBorder="1" applyAlignment="1">
      <alignment horizontal="center"/>
    </xf>
    <xf numFmtId="0" fontId="1" fillId="4" borderId="9" xfId="7" applyFont="1" applyFill="1" applyBorder="1" applyAlignment="1">
      <alignment horizontal="center"/>
    </xf>
    <xf numFmtId="0" fontId="3" fillId="0" borderId="9" xfId="4" applyBorder="1"/>
    <xf numFmtId="167" fontId="5" fillId="7" borderId="0" xfId="0" applyNumberFormat="1" applyFont="1" applyFill="1" applyAlignment="1">
      <alignment horizontal="left"/>
    </xf>
    <xf numFmtId="164" fontId="5" fillId="7" borderId="0" xfId="0" applyNumberFormat="1" applyFont="1" applyFill="1" applyAlignment="1">
      <alignment horizontal="left"/>
    </xf>
    <xf numFmtId="167" fontId="0" fillId="7" borderId="0" xfId="0" applyNumberFormat="1" applyFont="1" applyFill="1" applyAlignment="1">
      <alignment horizontal="left" indent="3"/>
    </xf>
    <xf numFmtId="167" fontId="24" fillId="7" borderId="0" xfId="0" applyNumberFormat="1" applyFont="1" applyFill="1" applyAlignment="1">
      <alignment horizontal="left" indent="2"/>
    </xf>
    <xf numFmtId="167" fontId="24" fillId="7" borderId="0" xfId="0" applyNumberFormat="1" applyFont="1" applyFill="1" applyAlignment="1">
      <alignment horizontal="left" indent="1"/>
    </xf>
    <xf numFmtId="167" fontId="28" fillId="7" borderId="0" xfId="0" applyNumberFormat="1" applyFont="1" applyFill="1" applyAlignment="1">
      <alignment horizontal="left" indent="1"/>
    </xf>
    <xf numFmtId="167" fontId="5" fillId="7" borderId="0" xfId="0" applyNumberFormat="1" applyFont="1" applyFill="1" applyAlignment="1">
      <alignment horizontal="left" indent="1"/>
    </xf>
    <xf numFmtId="167" fontId="0" fillId="7" borderId="0" xfId="0" applyNumberFormat="1" applyFont="1" applyFill="1"/>
    <xf numFmtId="164" fontId="20" fillId="7" borderId="0" xfId="0" applyNumberFormat="1" applyFont="1" applyFill="1" applyAlignment="1">
      <alignment horizontal="left" indent="1"/>
    </xf>
    <xf numFmtId="169" fontId="28" fillId="7" borderId="0" xfId="0" applyNumberFormat="1" applyFont="1" applyFill="1" applyAlignment="1">
      <alignment horizontal="left" indent="1"/>
    </xf>
    <xf numFmtId="164" fontId="0" fillId="7" borderId="0" xfId="0" applyNumberFormat="1" applyFont="1" applyFill="1" applyAlignment="1">
      <alignment horizontal="left" indent="3"/>
    </xf>
    <xf numFmtId="170" fontId="2" fillId="7" borderId="0" xfId="0" applyNumberFormat="1" applyFont="1" applyFill="1"/>
    <xf numFmtId="0" fontId="0" fillId="7" borderId="0" xfId="0" applyFont="1" applyFill="1" applyAlignment="1">
      <alignment horizontal="left" indent="3"/>
    </xf>
    <xf numFmtId="177" fontId="5" fillId="7" borderId="0" xfId="0" applyNumberFormat="1" applyFont="1" applyFill="1" applyAlignment="1">
      <alignment horizontal="left"/>
    </xf>
    <xf numFmtId="170" fontId="6" fillId="7" borderId="0" xfId="0" applyNumberFormat="1" applyFont="1" applyFill="1"/>
    <xf numFmtId="170" fontId="1" fillId="7" borderId="0" xfId="0" applyNumberFormat="1" applyFont="1" applyFill="1"/>
    <xf numFmtId="167" fontId="0" fillId="7" borderId="0" xfId="0" applyNumberFormat="1" applyFont="1" applyFill="1" applyAlignment="1">
      <alignment horizontal="left"/>
    </xf>
    <xf numFmtId="169" fontId="0" fillId="7" borderId="0" xfId="0" applyNumberFormat="1" applyFont="1" applyFill="1" applyAlignment="1">
      <alignment horizontal="left" indent="1"/>
    </xf>
    <xf numFmtId="164" fontId="5" fillId="7" borderId="0" xfId="0" applyNumberFormat="1" applyFont="1" applyFill="1" applyAlignment="1">
      <alignment horizontal="left" indent="1"/>
    </xf>
    <xf numFmtId="164" fontId="0" fillId="7" borderId="0" xfId="0" applyNumberFormat="1" applyFont="1" applyFill="1" applyAlignment="1">
      <alignment horizontal="left" indent="2"/>
    </xf>
    <xf numFmtId="164" fontId="1" fillId="7" borderId="0" xfId="6" applyNumberFormat="1" applyFont="1" applyFill="1" applyAlignment="1">
      <alignment horizontal="left" indent="1"/>
    </xf>
    <xf numFmtId="167" fontId="4" fillId="7" borderId="0" xfId="1" applyNumberFormat="1" applyFont="1" applyFill="1"/>
    <xf numFmtId="164" fontId="0" fillId="7" borderId="0" xfId="0" applyNumberFormat="1" applyFont="1" applyFill="1" applyAlignment="1">
      <alignment horizontal="left" indent="4"/>
    </xf>
    <xf numFmtId="167" fontId="25" fillId="7" borderId="0" xfId="1" applyNumberFormat="1" applyFont="1" applyFill="1"/>
    <xf numFmtId="167" fontId="27" fillId="7" borderId="0" xfId="0" applyNumberFormat="1" applyFont="1" applyFill="1" applyAlignment="1">
      <alignment horizontal="left" indent="3"/>
    </xf>
    <xf numFmtId="167" fontId="20" fillId="7" borderId="0" xfId="1" applyNumberFormat="1" applyFont="1" applyFill="1" applyAlignment="1">
      <alignment horizontal="left" indent="1"/>
    </xf>
    <xf numFmtId="164" fontId="5" fillId="7" borderId="0" xfId="0" applyNumberFormat="1" applyFont="1" applyFill="1" applyAlignment="1">
      <alignment horizontal="left" indent="3"/>
    </xf>
    <xf numFmtId="164" fontId="19" fillId="7" borderId="0" xfId="0" applyNumberFormat="1" applyFont="1" applyFill="1" applyAlignment="1">
      <alignment horizontal="left" indent="3"/>
    </xf>
    <xf numFmtId="167" fontId="5" fillId="7" borderId="0" xfId="0" applyNumberFormat="1" applyFont="1" applyFill="1" applyAlignment="1">
      <alignment horizontal="left" indent="3"/>
    </xf>
    <xf numFmtId="169" fontId="5" fillId="7" borderId="0" xfId="0" applyNumberFormat="1" applyFont="1" applyFill="1" applyAlignment="1">
      <alignment horizontal="left" indent="3"/>
    </xf>
    <xf numFmtId="169" fontId="27" fillId="7" borderId="0" xfId="0" applyNumberFormat="1" applyFont="1" applyFill="1" applyAlignment="1">
      <alignment horizontal="left" indent="3"/>
    </xf>
    <xf numFmtId="170" fontId="5" fillId="7" borderId="0" xfId="0" applyNumberFormat="1" applyFont="1" applyFill="1" applyAlignment="1">
      <alignment horizontal="left" indent="3"/>
    </xf>
    <xf numFmtId="170" fontId="0" fillId="7" borderId="0" xfId="0" applyNumberFormat="1" applyFont="1" applyFill="1" applyAlignment="1">
      <alignment horizontal="left" indent="3"/>
    </xf>
    <xf numFmtId="166" fontId="5" fillId="7" borderId="0" xfId="0" applyNumberFormat="1" applyFont="1" applyFill="1"/>
    <xf numFmtId="166" fontId="0" fillId="7" borderId="0" xfId="0" applyNumberFormat="1" applyFont="1" applyFill="1"/>
    <xf numFmtId="0" fontId="29" fillId="0" borderId="0" xfId="0" applyFont="1"/>
    <xf numFmtId="1" fontId="24" fillId="7" borderId="0" xfId="0" applyNumberFormat="1" applyFont="1" applyFill="1" applyAlignment="1">
      <alignment horizontal="center"/>
    </xf>
    <xf numFmtId="17" fontId="21" fillId="7" borderId="0" xfId="0" applyNumberFormat="1" applyFont="1" applyFill="1" applyAlignment="1">
      <alignment horizontal="center"/>
    </xf>
    <xf numFmtId="0" fontId="25" fillId="7" borderId="0" xfId="0" applyFont="1" applyFill="1" applyAlignment="1">
      <alignment horizontal="center"/>
    </xf>
    <xf numFmtId="167" fontId="7" fillId="7" borderId="0" xfId="0" applyNumberFormat="1" applyFont="1" applyFill="1" applyAlignment="1">
      <alignment horizontal="right"/>
    </xf>
    <xf numFmtId="167" fontId="27" fillId="7" borderId="0" xfId="0" applyNumberFormat="1" applyFont="1" applyFill="1" applyAlignment="1">
      <alignment horizontal="left" indent="1"/>
    </xf>
    <xf numFmtId="169" fontId="24" fillId="7" borderId="0" xfId="0" applyNumberFormat="1" applyFont="1" applyFill="1"/>
    <xf numFmtId="169" fontId="24" fillId="7" borderId="0" xfId="1" applyNumberFormat="1" applyFont="1" applyFill="1"/>
    <xf numFmtId="172" fontId="7" fillId="7" borderId="0" xfId="0" applyNumberFormat="1" applyFont="1" applyFill="1"/>
    <xf numFmtId="170" fontId="5" fillId="7" borderId="0" xfId="0" applyNumberFormat="1" applyFont="1" applyFill="1"/>
    <xf numFmtId="170" fontId="0" fillId="7" borderId="0" xfId="0" applyNumberFormat="1" applyFont="1" applyFill="1"/>
    <xf numFmtId="167" fontId="27" fillId="8" borderId="0" xfId="0" applyNumberFormat="1" applyFont="1" applyFill="1" applyAlignment="1">
      <alignment horizontal="right"/>
    </xf>
    <xf numFmtId="167" fontId="27" fillId="8" borderId="0" xfId="0" applyNumberFormat="1" applyFont="1" applyFill="1" applyAlignment="1">
      <alignment horizontal="left" indent="1"/>
    </xf>
    <xf numFmtId="167" fontId="0" fillId="8" borderId="0" xfId="0" applyNumberFormat="1" applyFont="1" applyFill="1"/>
    <xf numFmtId="167" fontId="24" fillId="8" borderId="0" xfId="0" applyNumberFormat="1" applyFont="1" applyFill="1"/>
    <xf numFmtId="169" fontId="24" fillId="8" borderId="0" xfId="0" applyNumberFormat="1" applyFont="1" applyFill="1"/>
    <xf numFmtId="169" fontId="27" fillId="8" borderId="0" xfId="0" applyNumberFormat="1" applyFont="1" applyFill="1" applyAlignment="1">
      <alignment horizontal="right"/>
    </xf>
    <xf numFmtId="169" fontId="24" fillId="8" borderId="0" xfId="1" applyNumberFormat="1" applyFont="1" applyFill="1"/>
    <xf numFmtId="172" fontId="26" fillId="8" borderId="0" xfId="0" applyNumberFormat="1" applyFont="1" applyFill="1"/>
    <xf numFmtId="170" fontId="24" fillId="8" borderId="0" xfId="0" applyNumberFormat="1" applyFont="1" applyFill="1" applyAlignment="1">
      <alignment horizontal="right"/>
    </xf>
    <xf numFmtId="170" fontId="26" fillId="8" borderId="0" xfId="0" applyNumberFormat="1" applyFont="1" applyFill="1" applyAlignment="1">
      <alignment horizontal="right"/>
    </xf>
    <xf numFmtId="167" fontId="7" fillId="8" borderId="0" xfId="0" applyNumberFormat="1" applyFont="1" applyFill="1" applyAlignment="1">
      <alignment horizontal="right"/>
    </xf>
    <xf numFmtId="169" fontId="28" fillId="8" borderId="0" xfId="1" applyNumberFormat="1" applyFont="1" applyFill="1" applyAlignment="1">
      <alignment horizontal="right"/>
    </xf>
    <xf numFmtId="172" fontId="7" fillId="8" borderId="0" xfId="0" applyNumberFormat="1" applyFont="1" applyFill="1"/>
    <xf numFmtId="14" fontId="14" fillId="5" borderId="0" xfId="7" applyNumberFormat="1" applyFont="1" applyFill="1"/>
    <xf numFmtId="0" fontId="6" fillId="4" borderId="9" xfId="7" applyFont="1" applyFill="1" applyBorder="1" applyAlignment="1">
      <alignment horizontal="center"/>
    </xf>
    <xf numFmtId="0" fontId="1" fillId="4" borderId="9" xfId="7" applyFont="1" applyFill="1" applyBorder="1" applyAlignment="1">
      <alignment horizontal="center"/>
    </xf>
    <xf numFmtId="0" fontId="3" fillId="0" borderId="9" xfId="4" applyBorder="1"/>
    <xf numFmtId="14" fontId="6" fillId="4" borderId="9" xfId="7" applyNumberFormat="1" applyFont="1" applyFill="1" applyBorder="1" applyAlignment="1">
      <alignment horizontal="center"/>
    </xf>
    <xf numFmtId="164" fontId="26" fillId="7" borderId="0" xfId="0" applyNumberFormat="1" applyFont="1" applyFill="1" applyAlignment="1">
      <alignment horizontal="left" indent="3"/>
    </xf>
    <xf numFmtId="164" fontId="26" fillId="0" borderId="0" xfId="0" applyNumberFormat="1" applyFont="1"/>
    <xf numFmtId="164" fontId="0" fillId="7" borderId="2" xfId="0" applyNumberFormat="1" applyFont="1" applyFill="1" applyBorder="1" applyAlignment="1">
      <alignment horizontal="left" indent="1"/>
    </xf>
    <xf numFmtId="169" fontId="4" fillId="3" borderId="0" xfId="1" applyNumberFormat="1" applyFont="1" applyFill="1" applyAlignment="1">
      <alignment horizontal="center"/>
    </xf>
    <xf numFmtId="0" fontId="22" fillId="7" borderId="0" xfId="1" applyFont="1" applyFill="1" applyAlignment="1">
      <alignment horizontal="center"/>
    </xf>
    <xf numFmtId="17" fontId="37" fillId="7" borderId="0" xfId="8" applyNumberFormat="1" applyFont="1" applyFill="1" applyAlignment="1">
      <alignment horizontal="center"/>
    </xf>
    <xf numFmtId="164" fontId="12" fillId="7" borderId="0" xfId="8" applyNumberFormat="1" applyFont="1" applyFill="1" applyAlignment="1">
      <alignment horizontal="left"/>
    </xf>
    <xf numFmtId="0" fontId="1" fillId="4" borderId="9" xfId="7" applyFont="1" applyFill="1" applyBorder="1" applyAlignment="1">
      <alignment horizontal="center"/>
    </xf>
    <xf numFmtId="164" fontId="0" fillId="7" borderId="2" xfId="0" applyNumberFormat="1" applyFont="1" applyFill="1" applyBorder="1" applyAlignment="1">
      <alignment horizontal="left" indent="4"/>
    </xf>
    <xf numFmtId="164" fontId="4" fillId="7" borderId="0" xfId="1" applyNumberFormat="1" applyFont="1" applyFill="1"/>
    <xf numFmtId="167" fontId="5" fillId="7" borderId="7" xfId="0" applyNumberFormat="1" applyFont="1" applyFill="1" applyBorder="1" applyAlignment="1">
      <alignment horizontal="left" indent="2"/>
    </xf>
    <xf numFmtId="0" fontId="6" fillId="4" borderId="9" xfId="7" applyFont="1" applyFill="1" applyBorder="1" applyAlignment="1">
      <alignment horizontal="center"/>
    </xf>
    <xf numFmtId="0" fontId="1" fillId="4" borderId="9" xfId="7" applyFont="1" applyFill="1" applyBorder="1" applyAlignment="1">
      <alignment horizontal="center"/>
    </xf>
    <xf numFmtId="0" fontId="3" fillId="0" borderId="9" xfId="4" applyBorder="1"/>
    <xf numFmtId="14" fontId="6" fillId="4" borderId="9" xfId="7" applyNumberFormat="1" applyFont="1" applyFill="1" applyBorder="1" applyAlignment="1">
      <alignment horizontal="center"/>
    </xf>
    <xf numFmtId="185" fontId="2" fillId="5" borderId="0" xfId="7" applyNumberFormat="1" applyFont="1" applyFill="1" applyAlignment="1">
      <alignment horizontal="right"/>
    </xf>
    <xf numFmtId="168" fontId="39" fillId="3" borderId="0" xfId="0" applyNumberFormat="1" applyFont="1" applyFill="1" applyAlignment="1">
      <alignment horizontal="center"/>
    </xf>
    <xf numFmtId="168" fontId="40" fillId="7" borderId="0" xfId="4" applyNumberFormat="1" applyFont="1" applyFill="1" applyAlignment="1">
      <alignment horizontal="left"/>
    </xf>
    <xf numFmtId="164" fontId="26" fillId="4" borderId="0" xfId="8" applyNumberFormat="1" applyFont="1" applyFill="1"/>
    <xf numFmtId="164" fontId="25" fillId="7" borderId="0" xfId="8" applyNumberFormat="1" applyFont="1" applyFill="1" applyAlignment="1">
      <alignment horizontal="left"/>
    </xf>
    <xf numFmtId="164" fontId="37" fillId="7" borderId="0" xfId="8" applyNumberFormat="1" applyFont="1" applyFill="1" applyAlignment="1">
      <alignment horizontal="center"/>
    </xf>
    <xf numFmtId="179" fontId="24" fillId="7" borderId="0" xfId="8" applyNumberFormat="1" applyFont="1" applyFill="1" applyAlignment="1">
      <alignment horizontal="left" indent="1"/>
    </xf>
    <xf numFmtId="164" fontId="24" fillId="7" borderId="0" xfId="8" applyNumberFormat="1" applyFont="1" applyFill="1" applyAlignment="1">
      <alignment horizontal="left"/>
    </xf>
    <xf numFmtId="164" fontId="26" fillId="7" borderId="0" xfId="8" applyNumberFormat="1" applyFont="1" applyFill="1" applyAlignment="1">
      <alignment horizontal="left" indent="1"/>
    </xf>
    <xf numFmtId="164" fontId="26" fillId="7" borderId="0" xfId="8" applyNumberFormat="1" applyFont="1" applyFill="1" applyAlignment="1">
      <alignment horizontal="left" indent="3"/>
    </xf>
    <xf numFmtId="164" fontId="24" fillId="7" borderId="7" xfId="8" applyNumberFormat="1" applyFont="1" applyFill="1" applyBorder="1" applyAlignment="1">
      <alignment horizontal="left"/>
    </xf>
    <xf numFmtId="164" fontId="24" fillId="7" borderId="7" xfId="8" applyNumberFormat="1" applyFont="1" applyFill="1" applyBorder="1" applyAlignment="1">
      <alignment horizontal="left" indent="3"/>
    </xf>
    <xf numFmtId="164" fontId="24" fillId="7" borderId="0" xfId="8" applyNumberFormat="1" applyFont="1" applyFill="1" applyAlignment="1">
      <alignment horizontal="left" indent="3"/>
    </xf>
    <xf numFmtId="167" fontId="26" fillId="7" borderId="0" xfId="0" applyNumberFormat="1" applyFont="1" applyFill="1" applyAlignment="1">
      <alignment horizontal="left" indent="1"/>
    </xf>
    <xf numFmtId="167" fontId="21" fillId="7" borderId="0" xfId="1" applyNumberFormat="1" applyFont="1" applyFill="1"/>
    <xf numFmtId="167" fontId="24" fillId="7" borderId="7" xfId="0" applyNumberFormat="1" applyFont="1" applyFill="1" applyBorder="1" applyAlignment="1">
      <alignment horizontal="left"/>
    </xf>
    <xf numFmtId="169" fontId="21" fillId="7" borderId="0" xfId="1" applyNumberFormat="1" applyFont="1" applyFill="1"/>
    <xf numFmtId="169" fontId="26" fillId="7" borderId="0" xfId="8" applyNumberFormat="1" applyFont="1" applyFill="1" applyAlignment="1">
      <alignment horizontal="left" indent="3"/>
    </xf>
    <xf numFmtId="164" fontId="21" fillId="7" borderId="0" xfId="1" applyNumberFormat="1" applyFont="1" applyFill="1" applyAlignment="1">
      <alignment horizontal="left" indent="1"/>
    </xf>
    <xf numFmtId="164" fontId="24" fillId="7" borderId="7" xfId="0" applyNumberFormat="1" applyFont="1" applyFill="1" applyBorder="1" applyAlignment="1">
      <alignment horizontal="left"/>
    </xf>
    <xf numFmtId="164" fontId="24" fillId="7" borderId="7" xfId="0" applyNumberFormat="1" applyFont="1" applyFill="1" applyBorder="1" applyAlignment="1">
      <alignment horizontal="left" indent="3"/>
    </xf>
    <xf numFmtId="169" fontId="25" fillId="7" borderId="0" xfId="1" applyNumberFormat="1" applyFont="1" applyFill="1"/>
    <xf numFmtId="169" fontId="24" fillId="7" borderId="0" xfId="8" applyNumberFormat="1" applyFont="1" applyFill="1" applyAlignment="1">
      <alignment horizontal="left" indent="3"/>
    </xf>
    <xf numFmtId="167" fontId="26" fillId="7" borderId="0" xfId="8" applyNumberFormat="1" applyFont="1" applyFill="1"/>
    <xf numFmtId="167" fontId="26" fillId="7" borderId="0" xfId="8" applyNumberFormat="1" applyFont="1" applyFill="1" applyAlignment="1">
      <alignment horizontal="left" indent="1"/>
    </xf>
    <xf numFmtId="167" fontId="24" fillId="7" borderId="7" xfId="8" applyNumberFormat="1" applyFont="1" applyFill="1" applyBorder="1" applyAlignment="1">
      <alignment horizontal="left"/>
    </xf>
    <xf numFmtId="167" fontId="24" fillId="7" borderId="0" xfId="8" applyNumberFormat="1" applyFont="1" applyFill="1" applyAlignment="1">
      <alignment horizontal="left"/>
    </xf>
    <xf numFmtId="180" fontId="24" fillId="7" borderId="0" xfId="8" applyNumberFormat="1" applyFont="1" applyFill="1" applyAlignment="1">
      <alignment horizontal="left"/>
    </xf>
    <xf numFmtId="180" fontId="25" fillId="7" borderId="0" xfId="1" applyNumberFormat="1" applyFont="1" applyFill="1"/>
    <xf numFmtId="170" fontId="25" fillId="7" borderId="0" xfId="8" applyNumberFormat="1" applyFont="1" applyFill="1"/>
    <xf numFmtId="170" fontId="24" fillId="7" borderId="0" xfId="8" applyNumberFormat="1" applyFont="1" applyFill="1" applyAlignment="1">
      <alignment horizontal="left" indent="3"/>
    </xf>
    <xf numFmtId="181" fontId="24" fillId="7" borderId="0" xfId="8" applyNumberFormat="1" applyFont="1" applyFill="1" applyAlignment="1">
      <alignment horizontal="left"/>
    </xf>
    <xf numFmtId="181" fontId="25" fillId="7" borderId="0" xfId="1" applyNumberFormat="1" applyFont="1" applyFill="1"/>
    <xf numFmtId="167" fontId="26" fillId="7" borderId="0" xfId="8" applyNumberFormat="1" applyFont="1" applyFill="1" applyAlignment="1">
      <alignment horizontal="left"/>
    </xf>
    <xf numFmtId="170" fontId="21" fillId="7" borderId="0" xfId="8" applyNumberFormat="1" applyFont="1" applyFill="1"/>
    <xf numFmtId="170" fontId="26" fillId="7" borderId="0" xfId="8" applyNumberFormat="1" applyFont="1" applyFill="1" applyAlignment="1">
      <alignment horizontal="left" indent="3"/>
    </xf>
    <xf numFmtId="0" fontId="26" fillId="7" borderId="0" xfId="8" applyFont="1" applyFill="1"/>
    <xf numFmtId="0" fontId="3" fillId="0" borderId="1" xfId="4" applyBorder="1"/>
    <xf numFmtId="186" fontId="2" fillId="3" borderId="0" xfId="0" applyNumberFormat="1" applyFont="1" applyFill="1" applyAlignment="1">
      <alignment horizontal="left"/>
    </xf>
    <xf numFmtId="187" fontId="2" fillId="3" borderId="0" xfId="0" applyNumberFormat="1" applyFont="1" applyFill="1"/>
    <xf numFmtId="0" fontId="5" fillId="3" borderId="0" xfId="0" applyFont="1" applyFill="1" applyAlignment="1">
      <alignment horizontal="center"/>
    </xf>
    <xf numFmtId="0" fontId="26" fillId="7" borderId="11" xfId="0" applyFont="1" applyFill="1" applyBorder="1"/>
    <xf numFmtId="164" fontId="5" fillId="7" borderId="12" xfId="0" applyNumberFormat="1" applyFont="1" applyFill="1" applyBorder="1"/>
    <xf numFmtId="188" fontId="0" fillId="0" borderId="0" xfId="0" applyNumberFormat="1"/>
    <xf numFmtId="166" fontId="0" fillId="0" borderId="0" xfId="0" applyNumberFormat="1"/>
    <xf numFmtId="0" fontId="0" fillId="7" borderId="0" xfId="0" applyFill="1"/>
    <xf numFmtId="164" fontId="0" fillId="7" borderId="12" xfId="0" applyNumberFormat="1" applyFill="1" applyBorder="1"/>
    <xf numFmtId="164" fontId="0" fillId="7" borderId="0" xfId="0" applyNumberFormat="1" applyFill="1"/>
    <xf numFmtId="188" fontId="0" fillId="7" borderId="0" xfId="0" applyNumberFormat="1" applyFill="1" applyAlignment="1">
      <alignment horizontal="left" indent="1"/>
    </xf>
    <xf numFmtId="188" fontId="7" fillId="7" borderId="0" xfId="0" applyNumberFormat="1" applyFont="1" applyFill="1"/>
    <xf numFmtId="188" fontId="0" fillId="7" borderId="0" xfId="0" applyNumberFormat="1" applyFill="1"/>
    <xf numFmtId="164" fontId="0" fillId="7" borderId="0" xfId="0" applyNumberFormat="1" applyFill="1" applyAlignment="1">
      <alignment horizontal="left" indent="1"/>
    </xf>
    <xf numFmtId="14" fontId="7" fillId="7" borderId="0" xfId="0" applyNumberFormat="1" applyFont="1" applyFill="1"/>
    <xf numFmtId="166" fontId="0" fillId="7" borderId="0" xfId="0" applyNumberFormat="1" applyFill="1" applyAlignment="1">
      <alignment horizontal="left" indent="1"/>
    </xf>
    <xf numFmtId="166" fontId="0" fillId="7" borderId="0" xfId="0" applyNumberFormat="1" applyFill="1"/>
    <xf numFmtId="166" fontId="0" fillId="7" borderId="11" xfId="0" applyNumberFormat="1" applyFill="1" applyBorder="1" applyAlignment="1">
      <alignment horizontal="left" indent="1"/>
    </xf>
    <xf numFmtId="166" fontId="0" fillId="7" borderId="11" xfId="0" applyNumberFormat="1" applyFill="1" applyBorder="1"/>
    <xf numFmtId="0" fontId="35" fillId="9" borderId="0" xfId="0" applyFont="1" applyFill="1"/>
    <xf numFmtId="164" fontId="23" fillId="9" borderId="0" xfId="0" applyNumberFormat="1" applyFont="1" applyFill="1" applyAlignment="1">
      <alignment horizontal="left"/>
    </xf>
    <xf numFmtId="164" fontId="23" fillId="9" borderId="0" xfId="0" applyNumberFormat="1" applyFont="1" applyFill="1" applyAlignment="1">
      <alignment horizontal="left" indent="3"/>
    </xf>
    <xf numFmtId="164" fontId="41" fillId="7" borderId="0" xfId="0" applyNumberFormat="1" applyFont="1" applyFill="1" applyAlignment="1">
      <alignment horizontal="left" indent="1"/>
    </xf>
    <xf numFmtId="164" fontId="41" fillId="7" borderId="0" xfId="0" applyNumberFormat="1" applyFont="1" applyFill="1" applyAlignment="1">
      <alignment horizontal="left" indent="3"/>
    </xf>
    <xf numFmtId="189" fontId="41" fillId="8" borderId="0" xfId="0" applyNumberFormat="1" applyFont="1" applyFill="1"/>
    <xf numFmtId="189" fontId="41" fillId="7" borderId="0" xfId="0" applyNumberFormat="1" applyFont="1" applyFill="1"/>
    <xf numFmtId="167" fontId="41" fillId="7" borderId="0" xfId="0" applyNumberFormat="1" applyFont="1" applyFill="1" applyAlignment="1">
      <alignment horizontal="left" indent="1"/>
    </xf>
    <xf numFmtId="167" fontId="41" fillId="7" borderId="0" xfId="0" applyNumberFormat="1" applyFont="1" applyFill="1" applyAlignment="1">
      <alignment horizontal="left" indent="3"/>
    </xf>
    <xf numFmtId="167" fontId="41" fillId="8" borderId="0" xfId="0" applyNumberFormat="1" applyFont="1" applyFill="1"/>
    <xf numFmtId="164" fontId="26" fillId="7" borderId="0" xfId="0" applyNumberFormat="1" applyFont="1" applyFill="1" applyAlignment="1">
      <alignment horizontal="left" indent="1"/>
    </xf>
    <xf numFmtId="167" fontId="24" fillId="7" borderId="0" xfId="0" applyNumberFormat="1" applyFont="1" applyFill="1"/>
    <xf numFmtId="169" fontId="0" fillId="7" borderId="0" xfId="0" applyNumberFormat="1" applyFont="1" applyFill="1"/>
    <xf numFmtId="0" fontId="26" fillId="7" borderId="13" xfId="0" applyFont="1" applyFill="1" applyBorder="1"/>
    <xf numFmtId="0" fontId="26" fillId="7" borderId="14" xfId="0" applyFont="1" applyFill="1" applyBorder="1"/>
    <xf numFmtId="167" fontId="24" fillId="7" borderId="0" xfId="8" applyNumberFormat="1" applyFont="1" applyFill="1"/>
    <xf numFmtId="180" fontId="24" fillId="7" borderId="0" xfId="8" applyNumberFormat="1" applyFont="1" applyFill="1"/>
    <xf numFmtId="181" fontId="24" fillId="7" borderId="0" xfId="8" applyNumberFormat="1" applyFont="1" applyFill="1"/>
    <xf numFmtId="14" fontId="6" fillId="4" borderId="15" xfId="7" applyNumberFormat="1" applyFont="1" applyFill="1" applyBorder="1" applyAlignment="1">
      <alignment horizontal="center"/>
    </xf>
    <xf numFmtId="0" fontId="6" fillId="4" borderId="15" xfId="7" applyFont="1" applyFill="1" applyBorder="1" applyAlignment="1">
      <alignment horizontal="center"/>
    </xf>
    <xf numFmtId="0" fontId="1" fillId="4" borderId="15" xfId="7" applyFont="1" applyFill="1" applyBorder="1" applyAlignment="1">
      <alignment horizontal="center"/>
    </xf>
    <xf numFmtId="0" fontId="6" fillId="4" borderId="16" xfId="7" applyFont="1" applyFill="1" applyBorder="1" applyAlignment="1">
      <alignment horizontal="center"/>
    </xf>
    <xf numFmtId="14" fontId="6" fillId="4" borderId="17" xfId="7" applyNumberFormat="1" applyFont="1" applyFill="1" applyBorder="1" applyAlignment="1">
      <alignment horizontal="center"/>
    </xf>
    <xf numFmtId="0" fontId="1" fillId="4" borderId="16" xfId="7" applyFont="1" applyFill="1" applyBorder="1" applyAlignment="1">
      <alignment horizontal="center"/>
    </xf>
    <xf numFmtId="169" fontId="5" fillId="7" borderId="0" xfId="0" applyNumberFormat="1" applyFont="1" applyFill="1" applyAlignment="1">
      <alignment horizontal="left"/>
    </xf>
    <xf numFmtId="169" fontId="0" fillId="7" borderId="0" xfId="0" applyNumberFormat="1" applyFont="1" applyFill="1" applyAlignment="1">
      <alignment horizontal="left" indent="3"/>
    </xf>
    <xf numFmtId="169" fontId="0" fillId="8" borderId="0" xfId="0" applyNumberFormat="1" applyFont="1" applyFill="1"/>
    <xf numFmtId="169" fontId="0" fillId="7" borderId="2" xfId="0" applyNumberFormat="1" applyFont="1" applyFill="1" applyBorder="1" applyAlignment="1">
      <alignment horizontal="left" indent="1"/>
    </xf>
    <xf numFmtId="169" fontId="0" fillId="7" borderId="2" xfId="0" applyNumberFormat="1" applyFont="1" applyFill="1" applyBorder="1" applyAlignment="1">
      <alignment horizontal="left" indent="3"/>
    </xf>
    <xf numFmtId="169" fontId="0" fillId="8" borderId="2" xfId="0" applyNumberFormat="1" applyFont="1" applyFill="1" applyBorder="1"/>
    <xf numFmtId="169" fontId="0" fillId="7" borderId="2" xfId="0" applyNumberFormat="1" applyFont="1" applyFill="1" applyBorder="1"/>
    <xf numFmtId="169" fontId="29" fillId="7" borderId="2" xfId="0" applyNumberFormat="1" applyFont="1" applyFill="1" applyBorder="1"/>
    <xf numFmtId="14" fontId="6" fillId="4" borderId="18" xfId="7" applyNumberFormat="1" applyFont="1" applyFill="1" applyBorder="1" applyAlignment="1">
      <alignment horizontal="center"/>
    </xf>
    <xf numFmtId="0" fontId="6" fillId="4" borderId="19" xfId="7" applyFont="1" applyFill="1" applyBorder="1" applyAlignment="1">
      <alignment horizontal="center"/>
    </xf>
    <xf numFmtId="0" fontId="1" fillId="4" borderId="19" xfId="7" applyFont="1" applyFill="1" applyBorder="1" applyAlignment="1">
      <alignment horizontal="center"/>
    </xf>
    <xf numFmtId="0" fontId="3" fillId="0" borderId="15" xfId="4" applyBorder="1"/>
    <xf numFmtId="190" fontId="0" fillId="7" borderId="0" xfId="0" applyNumberFormat="1" applyFill="1"/>
    <xf numFmtId="190" fontId="7" fillId="7" borderId="0" xfId="0" applyNumberFormat="1" applyFont="1" applyFill="1"/>
    <xf numFmtId="0" fontId="26" fillId="7" borderId="0" xfId="0" applyFont="1" applyFill="1"/>
    <xf numFmtId="0" fontId="26" fillId="7" borderId="20" xfId="0" applyFont="1" applyFill="1" applyBorder="1"/>
    <xf numFmtId="0" fontId="26" fillId="7" borderId="21" xfId="0" applyFont="1" applyFill="1" applyBorder="1"/>
    <xf numFmtId="0" fontId="26" fillId="7" borderId="12" xfId="0" applyFont="1" applyFill="1" applyBorder="1"/>
    <xf numFmtId="0" fontId="26" fillId="7" borderId="22" xfId="0" applyFont="1" applyFill="1" applyBorder="1"/>
    <xf numFmtId="165" fontId="24" fillId="7" borderId="23" xfId="0" applyNumberFormat="1" applyFont="1" applyFill="1" applyBorder="1"/>
    <xf numFmtId="165" fontId="26" fillId="7" borderId="20" xfId="0" applyNumberFormat="1" applyFont="1" applyFill="1" applyBorder="1"/>
    <xf numFmtId="17" fontId="26" fillId="7" borderId="0" xfId="0" applyNumberFormat="1" applyFont="1" applyFill="1"/>
    <xf numFmtId="17" fontId="26" fillId="7" borderId="21" xfId="0" applyNumberFormat="1" applyFont="1" applyFill="1" applyBorder="1"/>
    <xf numFmtId="188" fontId="26" fillId="7" borderId="20" xfId="0" applyNumberFormat="1" applyFont="1" applyFill="1" applyBorder="1" applyAlignment="1">
      <alignment horizontal="left" indent="1"/>
    </xf>
    <xf numFmtId="188" fontId="26" fillId="7" borderId="0" xfId="0" applyNumberFormat="1" applyFont="1" applyFill="1"/>
    <xf numFmtId="188" fontId="26" fillId="7" borderId="21" xfId="0" applyNumberFormat="1" applyFont="1" applyFill="1" applyBorder="1"/>
    <xf numFmtId="188" fontId="0" fillId="7" borderId="0" xfId="0" applyNumberFormat="1" applyFont="1" applyFill="1"/>
    <xf numFmtId="188" fontId="0" fillId="0" borderId="0" xfId="0" applyNumberFormat="1" applyFont="1"/>
    <xf numFmtId="188" fontId="26" fillId="7" borderId="20" xfId="0" applyNumberFormat="1" applyFont="1" applyFill="1" applyBorder="1" applyAlignment="1">
      <alignment horizontal="left" indent="2"/>
    </xf>
    <xf numFmtId="190" fontId="26" fillId="7" borderId="20" xfId="0" applyNumberFormat="1" applyFont="1" applyFill="1" applyBorder="1" applyAlignment="1">
      <alignment horizontal="left" indent="1"/>
    </xf>
    <xf numFmtId="190" fontId="26" fillId="7" borderId="0" xfId="0" applyNumberFormat="1" applyFont="1" applyFill="1"/>
    <xf numFmtId="190" fontId="26" fillId="7" borderId="21" xfId="0" applyNumberFormat="1" applyFont="1" applyFill="1" applyBorder="1"/>
    <xf numFmtId="190" fontId="0" fillId="7" borderId="0" xfId="0" applyNumberFormat="1" applyFont="1" applyFill="1"/>
    <xf numFmtId="190" fontId="0" fillId="0" borderId="0" xfId="0" applyNumberFormat="1" applyFont="1"/>
    <xf numFmtId="190" fontId="26" fillId="7" borderId="20" xfId="0" applyNumberFormat="1" applyFont="1" applyFill="1" applyBorder="1" applyAlignment="1">
      <alignment horizontal="left" indent="2"/>
    </xf>
    <xf numFmtId="188" fontId="0" fillId="7" borderId="0" xfId="0" applyNumberFormat="1" applyFont="1" applyFill="1" applyAlignment="1">
      <alignment horizontal="left" indent="1"/>
    </xf>
    <xf numFmtId="188" fontId="6" fillId="7" borderId="0" xfId="1" applyNumberFormat="1" applyFont="1" applyFill="1"/>
    <xf numFmtId="188" fontId="0" fillId="7" borderId="0" xfId="0" applyNumberFormat="1" applyFont="1" applyFill="1" applyAlignment="1">
      <alignment horizontal="right"/>
    </xf>
    <xf numFmtId="188" fontId="26" fillId="8" borderId="0" xfId="0" applyNumberFormat="1" applyFont="1" applyFill="1"/>
    <xf numFmtId="190" fontId="0" fillId="7" borderId="0" xfId="0" applyNumberFormat="1" applyFont="1" applyFill="1" applyAlignment="1">
      <alignment horizontal="left" indent="1"/>
    </xf>
    <xf numFmtId="190" fontId="6" fillId="7" borderId="0" xfId="1" applyNumberFormat="1" applyFont="1" applyFill="1"/>
    <xf numFmtId="190" fontId="0" fillId="7" borderId="0" xfId="0" applyNumberFormat="1" applyFont="1" applyFill="1" applyAlignment="1">
      <alignment horizontal="right"/>
    </xf>
    <xf numFmtId="190" fontId="26" fillId="8" borderId="0" xfId="0" applyNumberFormat="1" applyFont="1" applyFill="1"/>
    <xf numFmtId="188" fontId="12" fillId="7" borderId="0" xfId="0" applyNumberFormat="1" applyFont="1" applyFill="1" applyAlignment="1">
      <alignment horizontal="left"/>
    </xf>
    <xf numFmtId="188" fontId="5" fillId="7" borderId="0" xfId="0" applyNumberFormat="1" applyFont="1" applyFill="1" applyAlignment="1">
      <alignment horizontal="right"/>
    </xf>
    <xf numFmtId="188" fontId="24" fillId="8" borderId="0" xfId="0" applyNumberFormat="1" applyFont="1" applyFill="1"/>
    <xf numFmtId="188" fontId="5" fillId="7" borderId="0" xfId="0" applyNumberFormat="1" applyFont="1" applyFill="1"/>
    <xf numFmtId="188" fontId="5" fillId="0" borderId="0" xfId="0" applyNumberFormat="1" applyFont="1"/>
    <xf numFmtId="0" fontId="1" fillId="4" borderId="19" xfId="7" applyFont="1" applyFill="1" applyBorder="1" applyAlignment="1">
      <alignment horizontal="center"/>
    </xf>
    <xf numFmtId="0" fontId="3" fillId="0" borderId="24" xfId="4" applyBorder="1"/>
    <xf numFmtId="0" fontId="3" fillId="0" borderId="13" xfId="4" applyBorder="1"/>
    <xf numFmtId="0" fontId="0" fillId="8" borderId="0" xfId="0" applyNumberFormat="1" applyFont="1" applyFill="1"/>
    <xf numFmtId="0" fontId="0" fillId="7" borderId="0" xfId="0" applyNumberFormat="1" applyFont="1" applyFill="1"/>
    <xf numFmtId="171" fontId="0" fillId="7" borderId="0" xfId="0" applyNumberFormat="1" applyFont="1" applyFill="1" applyBorder="1"/>
    <xf numFmtId="0" fontId="0" fillId="7" borderId="0" xfId="0" applyFont="1" applyFill="1" applyBorder="1"/>
    <xf numFmtId="0" fontId="29" fillId="7" borderId="0" xfId="0" applyFont="1" applyFill="1" applyBorder="1"/>
    <xf numFmtId="0" fontId="19" fillId="7" borderId="0" xfId="0" applyFont="1" applyFill="1" applyBorder="1"/>
    <xf numFmtId="1" fontId="5" fillId="7" borderId="0" xfId="0" applyNumberFormat="1" applyFont="1" applyFill="1" applyBorder="1" applyAlignment="1">
      <alignment horizontal="center"/>
    </xf>
    <xf numFmtId="1" fontId="30" fillId="7" borderId="0" xfId="0" applyNumberFormat="1" applyFont="1" applyFill="1" applyBorder="1" applyAlignment="1">
      <alignment horizontal="center"/>
    </xf>
    <xf numFmtId="1" fontId="24" fillId="7" borderId="0" xfId="0" applyNumberFormat="1" applyFont="1" applyFill="1" applyBorder="1" applyAlignment="1">
      <alignment horizontal="center"/>
    </xf>
    <xf numFmtId="17" fontId="0" fillId="7" borderId="0" xfId="0" applyNumberFormat="1" applyFont="1" applyFill="1" applyBorder="1" applyAlignment="1">
      <alignment horizontal="center"/>
    </xf>
    <xf numFmtId="17" fontId="1" fillId="7" borderId="0" xfId="0" applyNumberFormat="1" applyFont="1" applyFill="1" applyBorder="1" applyAlignment="1">
      <alignment horizontal="center"/>
    </xf>
    <xf numFmtId="17" fontId="21" fillId="7" borderId="0" xfId="0" applyNumberFormat="1" applyFont="1" applyFill="1" applyBorder="1" applyAlignment="1">
      <alignment horizontal="center"/>
    </xf>
    <xf numFmtId="0" fontId="2" fillId="7" borderId="0" xfId="0" applyFont="1" applyFill="1" applyBorder="1" applyAlignment="1">
      <alignment horizontal="center"/>
    </xf>
    <xf numFmtId="0" fontId="25" fillId="7" borderId="0" xfId="0" applyFont="1" applyFill="1" applyBorder="1" applyAlignment="1">
      <alignment horizontal="center"/>
    </xf>
    <xf numFmtId="167" fontId="23" fillId="9" borderId="0" xfId="0" applyNumberFormat="1" applyFont="1" applyFill="1" applyBorder="1"/>
    <xf numFmtId="167" fontId="0" fillId="8" borderId="0" xfId="0" applyNumberFormat="1" applyFont="1" applyFill="1" applyBorder="1" applyAlignment="1">
      <alignment horizontal="right"/>
    </xf>
    <xf numFmtId="167" fontId="0" fillId="7" borderId="0" xfId="0" applyNumberFormat="1" applyFont="1" applyFill="1" applyBorder="1" applyAlignment="1">
      <alignment horizontal="right"/>
    </xf>
    <xf numFmtId="167" fontId="29" fillId="7" borderId="0" xfId="0" applyNumberFormat="1" applyFont="1" applyFill="1" applyBorder="1" applyAlignment="1">
      <alignment horizontal="right"/>
    </xf>
    <xf numFmtId="167" fontId="5" fillId="8" borderId="0" xfId="0" applyNumberFormat="1" applyFont="1" applyFill="1" applyBorder="1" applyAlignment="1">
      <alignment horizontal="right"/>
    </xf>
    <xf numFmtId="167" fontId="5" fillId="7" borderId="0" xfId="0" applyNumberFormat="1" applyFont="1" applyFill="1" applyBorder="1" applyAlignment="1">
      <alignment horizontal="right"/>
    </xf>
    <xf numFmtId="167" fontId="30" fillId="7" borderId="0" xfId="0" applyNumberFormat="1" applyFont="1" applyFill="1" applyBorder="1" applyAlignment="1">
      <alignment horizontal="right"/>
    </xf>
    <xf numFmtId="167" fontId="24" fillId="8" borderId="0" xfId="0" applyNumberFormat="1" applyFont="1" applyFill="1" applyBorder="1" applyAlignment="1">
      <alignment horizontal="right"/>
    </xf>
    <xf numFmtId="167" fontId="24" fillId="7" borderId="0" xfId="0" applyNumberFormat="1" applyFont="1" applyFill="1" applyBorder="1" applyAlignment="1">
      <alignment horizontal="right"/>
    </xf>
    <xf numFmtId="167" fontId="27" fillId="8" borderId="0" xfId="0" applyNumberFormat="1" applyFont="1" applyFill="1" applyBorder="1"/>
    <xf numFmtId="167" fontId="27" fillId="7" borderId="0" xfId="0" applyNumberFormat="1" applyFont="1" applyFill="1" applyBorder="1"/>
    <xf numFmtId="167" fontId="28" fillId="7" borderId="0" xfId="0" applyNumberFormat="1" applyFont="1" applyFill="1" applyBorder="1"/>
    <xf numFmtId="167" fontId="19" fillId="8" borderId="0" xfId="0" applyNumberFormat="1" applyFont="1" applyFill="1" applyBorder="1" applyAlignment="1">
      <alignment horizontal="left" indent="1"/>
    </xf>
    <xf numFmtId="167" fontId="19" fillId="7" borderId="0" xfId="0" applyNumberFormat="1" applyFont="1" applyFill="1" applyBorder="1" applyAlignment="1">
      <alignment horizontal="left" indent="1"/>
    </xf>
    <xf numFmtId="167" fontId="31" fillId="7" borderId="0" xfId="0" applyNumberFormat="1" applyFont="1" applyFill="1" applyBorder="1" applyAlignment="1">
      <alignment horizontal="left" indent="1"/>
    </xf>
    <xf numFmtId="167" fontId="0" fillId="8" borderId="0" xfId="0" applyNumberFormat="1" applyFont="1" applyFill="1" applyBorder="1" applyAlignment="1">
      <alignment horizontal="center"/>
    </xf>
    <xf numFmtId="167" fontId="0" fillId="7" borderId="0" xfId="0" applyNumberFormat="1" applyFont="1" applyFill="1" applyBorder="1" applyAlignment="1">
      <alignment horizontal="center"/>
    </xf>
    <xf numFmtId="167" fontId="29" fillId="7" borderId="0" xfId="0" applyNumberFormat="1" applyFont="1" applyFill="1" applyBorder="1" applyAlignment="1">
      <alignment horizontal="center"/>
    </xf>
    <xf numFmtId="169" fontId="5" fillId="8" borderId="0" xfId="0" applyNumberFormat="1" applyFont="1" applyFill="1" applyBorder="1"/>
    <xf numFmtId="169" fontId="5" fillId="7" borderId="0" xfId="0" applyNumberFormat="1" applyFont="1" applyFill="1" applyBorder="1"/>
    <xf numFmtId="169" fontId="30" fillId="7" borderId="0" xfId="0" applyNumberFormat="1" applyFont="1" applyFill="1" applyBorder="1"/>
    <xf numFmtId="169" fontId="0" fillId="8" borderId="0" xfId="0" applyNumberFormat="1" applyFont="1" applyFill="1" applyBorder="1"/>
    <xf numFmtId="169" fontId="0" fillId="7" borderId="0" xfId="0" applyNumberFormat="1" applyFont="1" applyFill="1" applyBorder="1"/>
    <xf numFmtId="169" fontId="29" fillId="7" borderId="0" xfId="0" applyNumberFormat="1" applyFont="1" applyFill="1" applyBorder="1"/>
    <xf numFmtId="167" fontId="5" fillId="8" borderId="0" xfId="0" applyNumberFormat="1" applyFont="1" applyFill="1" applyBorder="1"/>
    <xf numFmtId="167" fontId="5" fillId="7" borderId="0" xfId="0" applyNumberFormat="1" applyFont="1" applyFill="1" applyBorder="1"/>
    <xf numFmtId="167" fontId="30" fillId="7" borderId="0" xfId="0" applyNumberFormat="1" applyFont="1" applyFill="1" applyBorder="1"/>
    <xf numFmtId="169" fontId="27" fillId="8" borderId="0" xfId="0" applyNumberFormat="1" applyFont="1" applyFill="1" applyBorder="1"/>
    <xf numFmtId="169" fontId="27" fillId="7" borderId="0" xfId="0" applyNumberFormat="1" applyFont="1" applyFill="1" applyBorder="1"/>
    <xf numFmtId="169" fontId="28" fillId="7" borderId="0" xfId="0" applyNumberFormat="1" applyFont="1" applyFill="1" applyBorder="1"/>
    <xf numFmtId="169" fontId="28" fillId="7" borderId="0" xfId="1" applyNumberFormat="1" applyFont="1" applyFill="1" applyBorder="1"/>
    <xf numFmtId="170" fontId="5" fillId="8" borderId="0" xfId="0" applyNumberFormat="1" applyFont="1" applyFill="1" applyBorder="1" applyAlignment="1">
      <alignment horizontal="right"/>
    </xf>
    <xf numFmtId="170" fontId="5" fillId="7" borderId="0" xfId="0" applyNumberFormat="1" applyFont="1" applyFill="1" applyBorder="1" applyAlignment="1">
      <alignment horizontal="right"/>
    </xf>
    <xf numFmtId="170" fontId="30" fillId="7" borderId="0" xfId="0" applyNumberFormat="1" applyFont="1" applyFill="1" applyBorder="1"/>
    <xf numFmtId="170" fontId="5" fillId="7" borderId="0" xfId="0" applyNumberFormat="1" applyFont="1" applyFill="1" applyBorder="1"/>
    <xf numFmtId="170" fontId="24" fillId="8" borderId="0" xfId="0" applyNumberFormat="1" applyFont="1" applyFill="1" applyBorder="1" applyAlignment="1">
      <alignment horizontal="right"/>
    </xf>
    <xf numFmtId="0" fontId="0" fillId="8" borderId="0" xfId="0" applyNumberFormat="1" applyFont="1" applyFill="1" applyBorder="1"/>
    <xf numFmtId="0" fontId="0" fillId="7" borderId="0" xfId="0" applyNumberFormat="1" applyFont="1" applyFill="1" applyBorder="1"/>
    <xf numFmtId="0" fontId="29" fillId="7" borderId="0" xfId="0" applyNumberFormat="1" applyFont="1" applyFill="1" applyBorder="1"/>
    <xf numFmtId="188" fontId="5" fillId="8" borderId="0" xfId="0" applyNumberFormat="1" applyFont="1" applyFill="1" applyBorder="1" applyAlignment="1">
      <alignment horizontal="right"/>
    </xf>
    <xf numFmtId="188" fontId="5" fillId="7" borderId="0" xfId="0" applyNumberFormat="1" applyFont="1" applyFill="1" applyBorder="1" applyAlignment="1">
      <alignment horizontal="right"/>
    </xf>
    <xf numFmtId="188" fontId="30" fillId="7" borderId="0" xfId="0" applyNumberFormat="1" applyFont="1" applyFill="1" applyBorder="1" applyAlignment="1">
      <alignment horizontal="right"/>
    </xf>
    <xf numFmtId="188" fontId="24" fillId="8" borderId="0" xfId="0" applyNumberFormat="1" applyFont="1" applyFill="1" applyBorder="1"/>
    <xf numFmtId="170" fontId="0" fillId="8" borderId="0" xfId="0" applyNumberFormat="1" applyFont="1" applyFill="1" applyBorder="1" applyAlignment="1">
      <alignment horizontal="right"/>
    </xf>
    <xf numFmtId="170" fontId="0" fillId="7" borderId="0" xfId="0" applyNumberFormat="1" applyFont="1" applyFill="1" applyBorder="1" applyAlignment="1">
      <alignment horizontal="right"/>
    </xf>
    <xf numFmtId="170" fontId="29" fillId="7" borderId="0" xfId="0" applyNumberFormat="1" applyFont="1" applyFill="1" applyBorder="1"/>
    <xf numFmtId="170" fontId="0" fillId="7" borderId="0" xfId="0" applyNumberFormat="1" applyFont="1" applyFill="1" applyBorder="1"/>
    <xf numFmtId="170" fontId="26" fillId="8" borderId="0" xfId="0" applyNumberFormat="1" applyFont="1" applyFill="1" applyBorder="1" applyAlignment="1">
      <alignment horizontal="right"/>
    </xf>
    <xf numFmtId="167" fontId="26" fillId="8" borderId="0" xfId="0" applyNumberFormat="1" applyFont="1" applyFill="1" applyBorder="1" applyAlignment="1">
      <alignment horizontal="right"/>
    </xf>
    <xf numFmtId="188" fontId="0" fillId="8" borderId="0" xfId="0" applyNumberFormat="1" applyFont="1" applyFill="1" applyBorder="1" applyAlignment="1">
      <alignment horizontal="right"/>
    </xf>
    <xf numFmtId="188" fontId="0" fillId="7" borderId="0" xfId="0" applyNumberFormat="1" applyFont="1" applyFill="1" applyBorder="1" applyAlignment="1">
      <alignment horizontal="right"/>
    </xf>
    <xf numFmtId="188" fontId="29" fillId="7" borderId="0" xfId="0" applyNumberFormat="1" applyFont="1" applyFill="1" applyBorder="1" applyAlignment="1">
      <alignment horizontal="right"/>
    </xf>
    <xf numFmtId="188" fontId="26" fillId="8" borderId="0" xfId="0" applyNumberFormat="1" applyFont="1" applyFill="1" applyBorder="1"/>
    <xf numFmtId="190" fontId="0" fillId="8" borderId="0" xfId="0" applyNumberFormat="1" applyFont="1" applyFill="1" applyBorder="1" applyAlignment="1">
      <alignment horizontal="right"/>
    </xf>
    <xf numFmtId="190" fontId="0" fillId="7" borderId="0" xfId="0" applyNumberFormat="1" applyFont="1" applyFill="1" applyBorder="1" applyAlignment="1">
      <alignment horizontal="right"/>
    </xf>
    <xf numFmtId="190" fontId="29" fillId="7" borderId="0" xfId="0" applyNumberFormat="1" applyFont="1" applyFill="1" applyBorder="1" applyAlignment="1">
      <alignment horizontal="right"/>
    </xf>
    <xf numFmtId="190" fontId="26" fillId="8" borderId="0" xfId="0" applyNumberFormat="1" applyFont="1" applyFill="1" applyBorder="1"/>
    <xf numFmtId="167" fontId="41" fillId="8" borderId="0" xfId="0" applyNumberFormat="1" applyFont="1" applyFill="1" applyBorder="1"/>
    <xf numFmtId="167" fontId="41" fillId="7" borderId="0" xfId="0" applyNumberFormat="1" applyFont="1" applyFill="1" applyBorder="1"/>
    <xf numFmtId="167" fontId="42" fillId="7" borderId="0" xfId="0" applyNumberFormat="1" applyFont="1" applyFill="1" applyBorder="1"/>
    <xf numFmtId="189" fontId="41" fillId="8" borderId="0" xfId="0" applyNumberFormat="1" applyFont="1" applyFill="1" applyBorder="1"/>
    <xf numFmtId="189" fontId="41" fillId="7" borderId="0" xfId="0" applyNumberFormat="1" applyFont="1" applyFill="1" applyBorder="1"/>
    <xf numFmtId="189" fontId="42" fillId="7" borderId="0" xfId="0" applyNumberFormat="1" applyFont="1" applyFill="1" applyBorder="1"/>
    <xf numFmtId="166" fontId="5" fillId="7" borderId="0" xfId="0" applyNumberFormat="1" applyFont="1" applyFill="1" applyBorder="1"/>
    <xf numFmtId="166" fontId="0" fillId="7" borderId="0" xfId="0" applyNumberFormat="1" applyFont="1" applyFill="1" applyBorder="1"/>
    <xf numFmtId="0" fontId="5" fillId="7" borderId="0" xfId="0" applyFont="1" applyFill="1" applyBorder="1"/>
    <xf numFmtId="169" fontId="26" fillId="7" borderId="0" xfId="0" applyNumberFormat="1" applyFont="1" applyFill="1" applyBorder="1"/>
    <xf numFmtId="0" fontId="26" fillId="7" borderId="0" xfId="0" applyFont="1" applyFill="1" applyBorder="1"/>
    <xf numFmtId="17" fontId="26" fillId="7" borderId="0" xfId="0" applyNumberFormat="1" applyFont="1" applyFill="1" applyBorder="1"/>
    <xf numFmtId="188" fontId="26" fillId="7" borderId="0" xfId="0" applyNumberFormat="1" applyFont="1" applyFill="1" applyBorder="1"/>
    <xf numFmtId="190" fontId="26" fillId="7" borderId="0" xfId="0" applyNumberFormat="1" applyFont="1" applyFill="1" applyBorder="1"/>
    <xf numFmtId="0" fontId="0" fillId="7" borderId="0" xfId="0" applyFill="1" applyBorder="1"/>
    <xf numFmtId="164" fontId="0" fillId="7" borderId="0" xfId="0" applyNumberFormat="1" applyFill="1" applyBorder="1"/>
    <xf numFmtId="188" fontId="0" fillId="7" borderId="0" xfId="0" applyNumberFormat="1" applyFill="1" applyBorder="1"/>
    <xf numFmtId="166" fontId="0" fillId="7" borderId="0" xfId="0" applyNumberFormat="1" applyFill="1" applyBorder="1"/>
    <xf numFmtId="0" fontId="35" fillId="9" borderId="0" xfId="0" applyFont="1" applyFill="1" applyBorder="1"/>
    <xf numFmtId="167" fontId="21" fillId="7" borderId="0" xfId="6" applyNumberFormat="1" applyFont="1" applyFill="1" applyBorder="1"/>
    <xf numFmtId="167" fontId="26" fillId="7" borderId="0" xfId="0" applyNumberFormat="1" applyFont="1" applyFill="1" applyBorder="1"/>
    <xf numFmtId="164" fontId="21" fillId="7" borderId="0" xfId="6" applyNumberFormat="1" applyFont="1" applyFill="1" applyBorder="1"/>
    <xf numFmtId="169" fontId="21" fillId="7" borderId="0" xfId="1" applyNumberFormat="1" applyFont="1" applyFill="1" applyBorder="1"/>
    <xf numFmtId="17" fontId="36" fillId="7" borderId="0" xfId="8" applyNumberFormat="1" applyFont="1" applyFill="1" applyBorder="1" applyAlignment="1">
      <alignment horizontal="center"/>
    </xf>
    <xf numFmtId="17" fontId="37" fillId="7" borderId="0" xfId="8" applyNumberFormat="1" applyFont="1" applyFill="1" applyBorder="1" applyAlignment="1">
      <alignment horizontal="center"/>
    </xf>
    <xf numFmtId="164" fontId="25" fillId="7" borderId="0" xfId="8" applyNumberFormat="1" applyFont="1" applyFill="1" applyBorder="1" applyAlignment="1">
      <alignment horizontal="center"/>
    </xf>
    <xf numFmtId="164" fontId="34" fillId="9" borderId="0" xfId="8" applyNumberFormat="1" applyFont="1" applyFill="1" applyBorder="1"/>
    <xf numFmtId="169" fontId="24" fillId="8" borderId="0" xfId="8" applyNumberFormat="1" applyFont="1" applyFill="1" applyBorder="1" applyAlignment="1">
      <alignment horizontal="right"/>
    </xf>
    <xf numFmtId="169" fontId="24" fillId="7" borderId="0" xfId="8" applyNumberFormat="1" applyFont="1" applyFill="1" applyBorder="1" applyAlignment="1">
      <alignment horizontal="right"/>
    </xf>
    <xf numFmtId="169" fontId="24" fillId="8" borderId="0" xfId="8" applyNumberFormat="1" applyFont="1" applyFill="1" applyBorder="1"/>
    <xf numFmtId="167" fontId="26" fillId="7" borderId="0" xfId="0" applyNumberFormat="1" applyFont="1" applyFill="1" applyBorder="1" applyAlignment="1">
      <alignment horizontal="right"/>
    </xf>
    <xf numFmtId="169" fontId="26" fillId="8" borderId="0" xfId="8" applyNumberFormat="1" applyFont="1" applyFill="1" applyBorder="1"/>
    <xf numFmtId="169" fontId="26" fillId="7" borderId="0" xfId="8" applyNumberFormat="1" applyFont="1" applyFill="1" applyBorder="1"/>
    <xf numFmtId="169" fontId="24" fillId="7" borderId="0" xfId="8" applyNumberFormat="1" applyFont="1" applyFill="1" applyBorder="1"/>
    <xf numFmtId="167" fontId="35" fillId="9" borderId="0" xfId="8" applyNumberFormat="1" applyFont="1" applyFill="1" applyBorder="1"/>
    <xf numFmtId="167" fontId="24" fillId="8" borderId="0" xfId="8" applyNumberFormat="1" applyFont="1" applyFill="1" applyBorder="1" applyAlignment="1">
      <alignment horizontal="center"/>
    </xf>
    <xf numFmtId="167" fontId="24" fillId="7" borderId="0" xfId="8" applyNumberFormat="1" applyFont="1" applyFill="1" applyBorder="1" applyAlignment="1">
      <alignment horizontal="center"/>
    </xf>
    <xf numFmtId="167" fontId="26" fillId="7" borderId="0" xfId="8" applyNumberFormat="1" applyFont="1" applyFill="1" applyBorder="1" applyAlignment="1">
      <alignment horizontal="center"/>
    </xf>
    <xf numFmtId="167" fontId="26" fillId="8" borderId="0" xfId="8" applyNumberFormat="1" applyFont="1" applyFill="1" applyBorder="1"/>
    <xf numFmtId="167" fontId="26" fillId="8" borderId="0" xfId="8" applyNumberFormat="1" applyFont="1" applyFill="1" applyBorder="1" applyAlignment="1">
      <alignment horizontal="right"/>
    </xf>
    <xf numFmtId="167" fontId="26" fillId="7" borderId="0" xfId="8" applyNumberFormat="1" applyFont="1" applyFill="1" applyBorder="1" applyAlignment="1">
      <alignment horizontal="right"/>
    </xf>
    <xf numFmtId="167" fontId="24" fillId="8" borderId="0" xfId="8" applyNumberFormat="1" applyFont="1" applyFill="1" applyBorder="1" applyAlignment="1">
      <alignment horizontal="right"/>
    </xf>
    <xf numFmtId="167" fontId="24" fillId="7" borderId="0" xfId="8" applyNumberFormat="1" applyFont="1" applyFill="1" applyBorder="1" applyAlignment="1">
      <alignment horizontal="right"/>
    </xf>
    <xf numFmtId="180" fontId="24" fillId="8" borderId="0" xfId="8" applyNumberFormat="1" applyFont="1" applyFill="1" applyBorder="1" applyAlignment="1">
      <alignment horizontal="right"/>
    </xf>
    <xf numFmtId="180" fontId="24" fillId="7" borderId="0" xfId="8" applyNumberFormat="1" applyFont="1" applyFill="1" applyBorder="1" applyAlignment="1">
      <alignment horizontal="right"/>
    </xf>
    <xf numFmtId="170" fontId="24" fillId="7" borderId="0" xfId="8" applyNumberFormat="1" applyFont="1" applyFill="1" applyBorder="1" applyAlignment="1">
      <alignment horizontal="right"/>
    </xf>
    <xf numFmtId="181" fontId="24" fillId="7" borderId="0" xfId="8" applyNumberFormat="1" applyFont="1" applyFill="1" applyBorder="1" applyAlignment="1">
      <alignment horizontal="right"/>
    </xf>
    <xf numFmtId="170" fontId="26" fillId="8" borderId="0" xfId="8" applyNumberFormat="1" applyFont="1" applyFill="1" applyBorder="1" applyAlignment="1">
      <alignment horizontal="right"/>
    </xf>
    <xf numFmtId="170" fontId="26" fillId="7" borderId="0" xfId="8" applyNumberFormat="1" applyFont="1" applyFill="1" applyBorder="1" applyAlignment="1">
      <alignment horizontal="right"/>
    </xf>
    <xf numFmtId="170" fontId="26" fillId="7" borderId="0" xfId="8" applyNumberFormat="1" applyFont="1" applyFill="1" applyBorder="1"/>
    <xf numFmtId="0" fontId="1" fillId="0" borderId="0" xfId="7" applyFont="1"/>
    <xf numFmtId="164" fontId="1" fillId="7" borderId="0" xfId="6" applyNumberFormat="1" applyFont="1" applyFill="1" applyBorder="1"/>
    <xf numFmtId="166" fontId="2" fillId="7" borderId="0" xfId="6" applyNumberFormat="1" applyFont="1" applyFill="1" applyBorder="1"/>
    <xf numFmtId="166" fontId="30" fillId="7" borderId="0" xfId="0" applyNumberFormat="1" applyFont="1" applyFill="1" applyBorder="1"/>
    <xf numFmtId="166" fontId="1" fillId="7" borderId="0" xfId="6" applyNumberFormat="1" applyFont="1" applyFill="1" applyBorder="1"/>
    <xf numFmtId="166" fontId="29" fillId="7" borderId="0" xfId="0" applyNumberFormat="1" applyFont="1" applyFill="1" applyBorder="1"/>
    <xf numFmtId="0" fontId="30" fillId="7" borderId="0" xfId="0" applyFont="1" applyFill="1" applyBorder="1"/>
    <xf numFmtId="188" fontId="29" fillId="7" borderId="0" xfId="0" applyNumberFormat="1" applyFont="1" applyFill="1" applyBorder="1"/>
    <xf numFmtId="178" fontId="16" fillId="11" borderId="0" xfId="1" applyNumberFormat="1" applyFont="1" applyFill="1" applyAlignment="1">
      <alignment horizontal="center" vertical="center"/>
    </xf>
    <xf numFmtId="0" fontId="1" fillId="0" borderId="0" xfId="7" applyFont="1"/>
    <xf numFmtId="164" fontId="24" fillId="7" borderId="0" xfId="0" applyNumberFormat="1" applyFont="1" applyFill="1" applyAlignment="1">
      <alignment horizontal="left"/>
    </xf>
    <xf numFmtId="164" fontId="24" fillId="7" borderId="0" xfId="0" applyNumberFormat="1" applyFont="1" applyFill="1" applyAlignment="1">
      <alignment horizontal="left" indent="3"/>
    </xf>
    <xf numFmtId="164" fontId="24" fillId="7" borderId="10" xfId="0" applyNumberFormat="1" applyFont="1" applyFill="1" applyBorder="1" applyAlignment="1">
      <alignment horizontal="left"/>
    </xf>
    <xf numFmtId="164" fontId="24" fillId="7" borderId="10" xfId="0" applyNumberFormat="1" applyFont="1" applyFill="1" applyBorder="1" applyAlignment="1">
      <alignment horizontal="left" indent="3"/>
    </xf>
    <xf numFmtId="167" fontId="24" fillId="7" borderId="0" xfId="0" applyNumberFormat="1" applyFont="1" applyFill="1" applyAlignment="1">
      <alignment horizontal="left" indent="3"/>
    </xf>
    <xf numFmtId="167" fontId="24" fillId="8" borderId="0" xfId="0" applyNumberFormat="1" applyFont="1" applyFill="1" applyBorder="1"/>
    <xf numFmtId="167" fontId="24" fillId="7" borderId="0" xfId="0" applyNumberFormat="1" applyFont="1" applyFill="1" applyBorder="1"/>
    <xf numFmtId="169" fontId="48" fillId="7" borderId="0" xfId="0" applyNumberFormat="1" applyFont="1" applyFill="1"/>
    <xf numFmtId="169" fontId="48" fillId="8" borderId="0" xfId="0" applyNumberFormat="1" applyFont="1" applyFill="1"/>
    <xf numFmtId="169" fontId="49" fillId="8" borderId="0" xfId="0" applyNumberFormat="1" applyFont="1" applyFill="1"/>
    <xf numFmtId="169" fontId="25" fillId="7" borderId="0" xfId="0" applyNumberFormat="1" applyFont="1" applyFill="1" applyAlignment="1">
      <alignment horizontal="left"/>
    </xf>
    <xf numFmtId="169" fontId="24" fillId="7" borderId="0" xfId="0" applyNumberFormat="1" applyFont="1" applyFill="1" applyAlignment="1">
      <alignment horizontal="left" indent="3"/>
    </xf>
    <xf numFmtId="169" fontId="24" fillId="8" borderId="0" xfId="1" applyNumberFormat="1" applyFont="1" applyFill="1" applyBorder="1" applyAlignment="1">
      <alignment horizontal="right" indent="1"/>
    </xf>
    <xf numFmtId="169" fontId="24" fillId="8" borderId="0" xfId="1" applyNumberFormat="1" applyFont="1" applyFill="1" applyBorder="1"/>
    <xf numFmtId="169" fontId="24" fillId="7" borderId="0" xfId="1" applyNumberFormat="1" applyFont="1" applyFill="1" applyBorder="1"/>
    <xf numFmtId="164" fontId="25" fillId="7" borderId="0" xfId="0" applyNumberFormat="1" applyFont="1" applyFill="1"/>
    <xf numFmtId="164" fontId="26" fillId="7" borderId="0" xfId="0" applyNumberFormat="1" applyFont="1" applyFill="1" applyAlignment="1">
      <alignment horizontal="left"/>
    </xf>
    <xf numFmtId="191" fontId="17" fillId="5" borderId="0" xfId="7" applyNumberFormat="1" applyFont="1" applyFill="1" applyAlignment="1">
      <alignment horizontal="center" vertical="center"/>
    </xf>
    <xf numFmtId="164" fontId="0" fillId="7" borderId="0" xfId="0" applyNumberFormat="1" applyFont="1" applyFill="1" applyAlignment="1">
      <alignment horizontal="left"/>
    </xf>
    <xf numFmtId="0" fontId="1" fillId="0" borderId="0" xfId="7" applyFont="1"/>
    <xf numFmtId="0" fontId="5" fillId="7" borderId="0" xfId="0" applyFont="1" applyFill="1" applyBorder="1" applyAlignment="1">
      <alignment horizontal="center"/>
    </xf>
    <xf numFmtId="164" fontId="24" fillId="7" borderId="0" xfId="8" applyNumberFormat="1" applyFont="1" applyFill="1" applyBorder="1" applyAlignment="1">
      <alignment horizontal="center"/>
    </xf>
    <xf numFmtId="176" fontId="1" fillId="3" borderId="0" xfId="0" applyNumberFormat="1" applyFont="1" applyFill="1" applyAlignment="1">
      <alignment horizontal="left"/>
    </xf>
    <xf numFmtId="172" fontId="21" fillId="7" borderId="0" xfId="1" applyNumberFormat="1" applyFont="1" applyFill="1"/>
    <xf numFmtId="172" fontId="26" fillId="7" borderId="0" xfId="0" applyNumberFormat="1" applyFont="1" applyFill="1" applyAlignment="1">
      <alignment horizontal="left" indent="3"/>
    </xf>
    <xf numFmtId="172" fontId="26" fillId="8" borderId="0" xfId="0" applyNumberFormat="1" applyFont="1" applyFill="1" applyBorder="1"/>
    <xf numFmtId="0" fontId="50" fillId="4" borderId="0" xfId="0" applyFont="1" applyFill="1"/>
    <xf numFmtId="0" fontId="0" fillId="4" borderId="0" xfId="0" applyFont="1" applyFill="1"/>
    <xf numFmtId="0" fontId="19" fillId="4" borderId="0" xfId="0" applyFont="1" applyFill="1"/>
    <xf numFmtId="167" fontId="0" fillId="4" borderId="0" xfId="0" applyNumberFormat="1" applyFont="1" applyFill="1"/>
    <xf numFmtId="0" fontId="0" fillId="4" borderId="0" xfId="0" applyFont="1" applyFill="1" applyAlignment="1">
      <alignment horizontal="left"/>
    </xf>
    <xf numFmtId="0" fontId="0" fillId="0" borderId="0" xfId="0" applyFont="1"/>
    <xf numFmtId="0" fontId="52" fillId="0" borderId="0" xfId="0" applyFont="1" applyAlignment="1">
      <alignment horizontal="left"/>
    </xf>
    <xf numFmtId="0" fontId="52" fillId="0" borderId="0" xfId="0" applyFont="1" applyAlignment="1">
      <alignment horizontal="center"/>
    </xf>
    <xf numFmtId="0" fontId="0" fillId="4" borderId="0" xfId="0" applyFill="1"/>
    <xf numFmtId="0" fontId="7" fillId="4" borderId="0" xfId="0" applyFont="1" applyFill="1"/>
    <xf numFmtId="0" fontId="50" fillId="0" borderId="0" xfId="0" applyFont="1"/>
    <xf numFmtId="0" fontId="19" fillId="0" borderId="0" xfId="0" applyFont="1"/>
    <xf numFmtId="167" fontId="0" fillId="0" borderId="0" xfId="0" applyNumberFormat="1" applyFont="1"/>
    <xf numFmtId="0" fontId="0" fillId="0" borderId="0" xfId="0" applyFont="1" applyAlignment="1">
      <alignment horizontal="left"/>
    </xf>
    <xf numFmtId="0" fontId="7" fillId="0" borderId="0" xfId="0" applyFont="1"/>
    <xf numFmtId="0" fontId="53" fillId="7" borderId="0" xfId="0" applyFont="1" applyFill="1"/>
    <xf numFmtId="0" fontId="26" fillId="7" borderId="2" xfId="0" applyFont="1" applyFill="1" applyBorder="1"/>
    <xf numFmtId="167" fontId="26" fillId="7" borderId="4" xfId="0" applyNumberFormat="1" applyFont="1" applyFill="1" applyBorder="1"/>
    <xf numFmtId="164" fontId="26" fillId="7" borderId="4" xfId="0" applyNumberFormat="1" applyFont="1" applyFill="1" applyBorder="1"/>
    <xf numFmtId="169" fontId="26" fillId="7" borderId="4" xfId="0" applyNumberFormat="1" applyFont="1" applyFill="1" applyBorder="1"/>
    <xf numFmtId="0" fontId="26" fillId="7" borderId="1" xfId="0" applyFont="1" applyFill="1" applyBorder="1"/>
    <xf numFmtId="164" fontId="21" fillId="7" borderId="5" xfId="6" applyNumberFormat="1" applyFont="1" applyFill="1" applyBorder="1" applyAlignment="1">
      <alignment horizontal="left" indent="1"/>
    </xf>
    <xf numFmtId="169" fontId="21" fillId="7" borderId="5" xfId="6" applyNumberFormat="1" applyFont="1" applyFill="1" applyBorder="1" applyAlignment="1">
      <alignment horizontal="left" indent="1"/>
    </xf>
    <xf numFmtId="0" fontId="26" fillId="7" borderId="3" xfId="0" applyFont="1" applyFill="1" applyBorder="1"/>
    <xf numFmtId="164" fontId="25" fillId="7" borderId="26" xfId="6" applyNumberFormat="1" applyFont="1" applyFill="1" applyBorder="1"/>
    <xf numFmtId="173" fontId="21" fillId="7" borderId="27" xfId="6" applyNumberFormat="1" applyFont="1" applyFill="1" applyBorder="1" applyAlignment="1">
      <alignment horizontal="left" indent="1"/>
    </xf>
    <xf numFmtId="174" fontId="21" fillId="7" borderId="27" xfId="6" applyNumberFormat="1" applyFont="1" applyFill="1" applyBorder="1" applyAlignment="1">
      <alignment horizontal="left" indent="1"/>
    </xf>
    <xf numFmtId="175" fontId="21" fillId="7" borderId="27" xfId="6" applyNumberFormat="1" applyFont="1" applyFill="1" applyBorder="1" applyAlignment="1">
      <alignment horizontal="left" indent="1"/>
    </xf>
    <xf numFmtId="182" fontId="21" fillId="7" borderId="15" xfId="6" applyNumberFormat="1" applyFont="1" applyFill="1" applyBorder="1" applyAlignment="1">
      <alignment horizontal="left" indent="1"/>
    </xf>
    <xf numFmtId="164" fontId="25" fillId="7" borderId="8" xfId="6" applyNumberFormat="1" applyFont="1" applyFill="1" applyBorder="1"/>
    <xf numFmtId="164" fontId="21" fillId="7" borderId="3" xfId="6" applyNumberFormat="1" applyFont="1" applyFill="1" applyBorder="1" applyAlignment="1">
      <alignment horizontal="left" indent="1"/>
    </xf>
    <xf numFmtId="168" fontId="56" fillId="7" borderId="0" xfId="10" applyNumberFormat="1" applyFont="1" applyFill="1" applyBorder="1" applyAlignment="1">
      <alignment horizontal="left"/>
    </xf>
    <xf numFmtId="0" fontId="24" fillId="7" borderId="0" xfId="0" applyFont="1" applyFill="1"/>
    <xf numFmtId="0" fontId="27" fillId="7" borderId="0" xfId="0" applyFont="1" applyFill="1"/>
    <xf numFmtId="0" fontId="26" fillId="7" borderId="0" xfId="0" applyFont="1" applyFill="1" applyAlignment="1">
      <alignment horizontal="left"/>
    </xf>
    <xf numFmtId="14" fontId="26" fillId="7" borderId="0" xfId="0" applyNumberFormat="1" applyFont="1" applyFill="1" applyAlignment="1">
      <alignment horizontal="left"/>
    </xf>
    <xf numFmtId="0" fontId="55" fillId="7" borderId="0" xfId="10" applyFont="1" applyFill="1" applyBorder="1"/>
    <xf numFmtId="0" fontId="26" fillId="7" borderId="0" xfId="0" applyFont="1" applyFill="1" applyAlignment="1">
      <alignment horizontal="center"/>
    </xf>
    <xf numFmtId="167" fontId="26" fillId="7" borderId="0" xfId="0" applyNumberFormat="1" applyFont="1" applyFill="1" applyAlignment="1">
      <alignment horizontal="center"/>
    </xf>
    <xf numFmtId="164" fontId="26" fillId="7" borderId="0" xfId="0" applyNumberFormat="1" applyFont="1" applyFill="1" applyAlignment="1">
      <alignment horizontal="center"/>
    </xf>
    <xf numFmtId="0" fontId="23" fillId="9" borderId="0" xfId="0" applyFont="1" applyFill="1" applyAlignment="1">
      <alignment horizontal="left"/>
    </xf>
    <xf numFmtId="0" fontId="23" fillId="9" borderId="0" xfId="0" applyFont="1" applyFill="1" applyAlignment="1">
      <alignment horizontal="centerContinuous"/>
    </xf>
    <xf numFmtId="0" fontId="23" fillId="9" borderId="0" xfId="0" applyFont="1" applyFill="1" applyAlignment="1">
      <alignment horizontal="center"/>
    </xf>
    <xf numFmtId="167" fontId="23" fillId="9" borderId="0" xfId="0" applyNumberFormat="1" applyFont="1" applyFill="1" applyAlignment="1">
      <alignment horizontal="center"/>
    </xf>
    <xf numFmtId="0" fontId="26" fillId="3" borderId="0" xfId="0" applyFont="1" applyFill="1"/>
    <xf numFmtId="0" fontId="27" fillId="3" borderId="0" xfId="0" applyFont="1" applyFill="1"/>
    <xf numFmtId="167" fontId="26" fillId="3" borderId="0" xfId="0" applyNumberFormat="1" applyFont="1" applyFill="1"/>
    <xf numFmtId="167" fontId="26" fillId="3" borderId="0" xfId="0" applyNumberFormat="1" applyFont="1" applyFill="1" applyAlignment="1">
      <alignment horizontal="right"/>
    </xf>
    <xf numFmtId="14" fontId="26" fillId="3" borderId="0" xfId="0" applyNumberFormat="1" applyFont="1" applyFill="1" applyAlignment="1">
      <alignment horizontal="left"/>
    </xf>
    <xf numFmtId="0" fontId="23" fillId="7" borderId="0" xfId="0" applyFont="1" applyFill="1" applyAlignment="1">
      <alignment horizontal="left"/>
    </xf>
    <xf numFmtId="0" fontId="23" fillId="7" borderId="0" xfId="0" applyFont="1" applyFill="1" applyAlignment="1">
      <alignment horizontal="center"/>
    </xf>
    <xf numFmtId="0" fontId="24" fillId="3" borderId="0" xfId="0" applyFont="1" applyFill="1"/>
    <xf numFmtId="167" fontId="24" fillId="3" borderId="0" xfId="0" applyNumberFormat="1" applyFont="1" applyFill="1" applyAlignment="1">
      <alignment horizontal="right"/>
    </xf>
    <xf numFmtId="0" fontId="54" fillId="3" borderId="0" xfId="10" applyFont="1" applyFill="1" applyBorder="1"/>
    <xf numFmtId="0" fontId="8" fillId="12" borderId="9" xfId="7" applyFont="1" applyFill="1" applyBorder="1" applyAlignment="1">
      <alignment horizontal="center"/>
    </xf>
    <xf numFmtId="0" fontId="1" fillId="0" borderId="0" xfId="7" applyFont="1"/>
    <xf numFmtId="164" fontId="26" fillId="7" borderId="2" xfId="0" applyNumberFormat="1" applyFont="1" applyFill="1" applyBorder="1" applyAlignment="1">
      <alignment horizontal="left" indent="2"/>
    </xf>
    <xf numFmtId="164" fontId="26" fillId="7" borderId="2" xfId="0" applyNumberFormat="1" applyFont="1" applyFill="1" applyBorder="1" applyAlignment="1">
      <alignment horizontal="left" indent="3"/>
    </xf>
    <xf numFmtId="0" fontId="1" fillId="4" borderId="9" xfId="7" applyFont="1" applyFill="1" applyBorder="1" applyAlignment="1">
      <alignment horizontal="center"/>
    </xf>
    <xf numFmtId="164" fontId="0" fillId="7" borderId="0" xfId="0" applyNumberFormat="1" applyFont="1" applyFill="1" applyBorder="1" applyAlignment="1">
      <alignment horizontal="left" indent="1"/>
    </xf>
    <xf numFmtId="164" fontId="0" fillId="7" borderId="0" xfId="0" applyNumberFormat="1" applyFont="1" applyFill="1" applyBorder="1" applyAlignment="1">
      <alignment horizontal="left" indent="4"/>
    </xf>
    <xf numFmtId="164" fontId="4" fillId="7" borderId="7" xfId="1" applyNumberFormat="1" applyFont="1" applyFill="1" applyBorder="1"/>
    <xf numFmtId="14" fontId="11" fillId="3" borderId="0" xfId="7" applyNumberFormat="1" applyFont="1" applyFill="1" applyAlignment="1">
      <alignment horizontal="center" vertical="center"/>
    </xf>
    <xf numFmtId="0" fontId="6" fillId="4" borderId="9" xfId="7" applyFont="1" applyFill="1" applyBorder="1" applyAlignment="1">
      <alignment horizontal="left"/>
    </xf>
    <xf numFmtId="0" fontId="6" fillId="4" borderId="16" xfId="7" applyFont="1" applyFill="1" applyBorder="1" applyAlignment="1">
      <alignment horizontal="left"/>
    </xf>
    <xf numFmtId="0" fontId="6" fillId="4" borderId="19" xfId="7" applyFont="1" applyFill="1" applyBorder="1" applyAlignment="1">
      <alignment horizontal="left"/>
    </xf>
    <xf numFmtId="0" fontId="6" fillId="4" borderId="15" xfId="7" applyFont="1" applyFill="1" applyBorder="1" applyAlignment="1">
      <alignment horizontal="left"/>
    </xf>
    <xf numFmtId="172" fontId="26" fillId="7" borderId="0" xfId="0" applyNumberFormat="1" applyFont="1" applyFill="1" applyBorder="1"/>
    <xf numFmtId="0" fontId="1" fillId="0" borderId="0" xfId="7" applyFont="1"/>
    <xf numFmtId="0" fontId="8" fillId="12" borderId="26" xfId="7" applyFont="1" applyFill="1" applyBorder="1" applyAlignment="1">
      <alignment horizontal="center"/>
    </xf>
    <xf numFmtId="0" fontId="3" fillId="7" borderId="28" xfId="4" applyFill="1" applyBorder="1"/>
    <xf numFmtId="167" fontId="0" fillId="8" borderId="0" xfId="0" applyNumberFormat="1" applyFont="1" applyFill="1" applyAlignment="1">
      <alignment horizontal="right"/>
    </xf>
    <xf numFmtId="164" fontId="6" fillId="7" borderId="0" xfId="1" applyNumberFormat="1" applyFont="1" applyFill="1"/>
    <xf numFmtId="0" fontId="1" fillId="0" borderId="0" xfId="7" applyFont="1"/>
    <xf numFmtId="0" fontId="3" fillId="7" borderId="29" xfId="4" applyFill="1" applyBorder="1"/>
    <xf numFmtId="169" fontId="19" fillId="7" borderId="0" xfId="0" applyNumberFormat="1" applyFont="1" applyFill="1" applyBorder="1"/>
    <xf numFmtId="170" fontId="24" fillId="7" borderId="0" xfId="0" applyNumberFormat="1" applyFont="1" applyFill="1" applyBorder="1" applyAlignment="1">
      <alignment horizontal="right"/>
    </xf>
    <xf numFmtId="170" fontId="24" fillId="7" borderId="0" xfId="0" applyNumberFormat="1" applyFont="1" applyFill="1" applyAlignment="1">
      <alignment horizontal="right"/>
    </xf>
    <xf numFmtId="164" fontId="0" fillId="7" borderId="11" xfId="0" applyNumberFormat="1" applyFont="1" applyFill="1" applyBorder="1" applyAlignment="1">
      <alignment horizontal="left" indent="1"/>
    </xf>
    <xf numFmtId="164" fontId="0" fillId="7" borderId="11" xfId="0" applyNumberFormat="1" applyFont="1" applyFill="1" applyBorder="1" applyAlignment="1">
      <alignment horizontal="left" indent="3"/>
    </xf>
    <xf numFmtId="172" fontId="25" fillId="7" borderId="0" xfId="1" applyNumberFormat="1" applyFont="1" applyFill="1"/>
    <xf numFmtId="172" fontId="24" fillId="7" borderId="0" xfId="0" applyNumberFormat="1" applyFont="1" applyFill="1" applyAlignment="1">
      <alignment horizontal="left" indent="3"/>
    </xf>
    <xf numFmtId="188" fontId="24" fillId="7" borderId="0" xfId="0" applyNumberFormat="1" applyFont="1" applyFill="1" applyBorder="1"/>
    <xf numFmtId="164" fontId="1" fillId="7" borderId="0" xfId="6" applyNumberFormat="1" applyFont="1" applyFill="1" applyBorder="1" applyAlignment="1">
      <alignment horizontal="left" indent="1"/>
    </xf>
    <xf numFmtId="164" fontId="2" fillId="7" borderId="6" xfId="6" applyNumberFormat="1" applyFont="1" applyFill="1" applyBorder="1" applyAlignment="1">
      <alignment horizontal="left"/>
    </xf>
    <xf numFmtId="164" fontId="1" fillId="7" borderId="4" xfId="6" applyNumberFormat="1" applyFont="1" applyFill="1" applyBorder="1" applyAlignment="1">
      <alignment horizontal="left" indent="1"/>
    </xf>
    <xf numFmtId="164" fontId="1" fillId="7" borderId="1" xfId="6" applyNumberFormat="1" applyFont="1" applyFill="1" applyBorder="1" applyAlignment="1">
      <alignment horizontal="left" indent="1"/>
    </xf>
    <xf numFmtId="0" fontId="1" fillId="0" borderId="0" xfId="7" applyFont="1"/>
    <xf numFmtId="164" fontId="26" fillId="3" borderId="0" xfId="0" applyNumberFormat="1" applyFont="1" applyFill="1"/>
    <xf numFmtId="164" fontId="26" fillId="3" borderId="0" xfId="0" applyNumberFormat="1" applyFont="1" applyFill="1" applyAlignment="1">
      <alignment horizontal="right"/>
    </xf>
    <xf numFmtId="164" fontId="24" fillId="3" borderId="0" xfId="0" applyNumberFormat="1" applyFont="1" applyFill="1" applyAlignment="1">
      <alignment horizontal="right"/>
    </xf>
    <xf numFmtId="0" fontId="54" fillId="7" borderId="0" xfId="10" applyFont="1" applyFill="1" applyBorder="1"/>
    <xf numFmtId="167" fontId="24" fillId="7" borderId="0" xfId="0" applyNumberFormat="1" applyFont="1" applyFill="1" applyAlignment="1">
      <alignment horizontal="center"/>
    </xf>
    <xf numFmtId="164" fontId="24" fillId="7" borderId="0" xfId="0" applyNumberFormat="1" applyFont="1" applyFill="1" applyAlignment="1">
      <alignment horizontal="center"/>
    </xf>
    <xf numFmtId="0" fontId="1" fillId="0" borderId="0" xfId="7" applyFont="1"/>
    <xf numFmtId="0" fontId="1" fillId="0" borderId="0" xfId="7" applyFont="1"/>
    <xf numFmtId="164" fontId="0" fillId="7" borderId="0" xfId="0" applyNumberFormat="1" applyFont="1" applyFill="1" applyAlignment="1">
      <alignment horizontal="right"/>
    </xf>
    <xf numFmtId="164" fontId="23" fillId="9" borderId="0" xfId="0" applyNumberFormat="1" applyFont="1" applyFill="1"/>
    <xf numFmtId="164" fontId="0" fillId="7" borderId="0" xfId="0" applyNumberFormat="1" applyFont="1" applyFill="1" applyBorder="1"/>
    <xf numFmtId="164" fontId="29" fillId="7" borderId="0" xfId="0" applyNumberFormat="1" applyFont="1" applyFill="1" applyBorder="1"/>
    <xf numFmtId="164" fontId="26" fillId="7" borderId="0" xfId="0" applyNumberFormat="1" applyFont="1" applyFill="1" applyBorder="1"/>
    <xf numFmtId="164" fontId="26" fillId="7" borderId="0" xfId="0" applyNumberFormat="1" applyFont="1" applyFill="1"/>
    <xf numFmtId="164" fontId="0" fillId="7" borderId="0" xfId="0" applyNumberFormat="1" applyFont="1" applyFill="1"/>
    <xf numFmtId="164" fontId="5" fillId="7" borderId="0" xfId="0" applyNumberFormat="1" applyFont="1" applyFill="1"/>
    <xf numFmtId="164" fontId="24" fillId="7" borderId="0" xfId="0" applyNumberFormat="1" applyFont="1" applyFill="1"/>
    <xf numFmtId="164" fontId="27" fillId="7" borderId="0" xfId="0" applyNumberFormat="1" applyFont="1" applyFill="1"/>
    <xf numFmtId="164" fontId="19" fillId="7" borderId="0" xfId="0" applyNumberFormat="1" applyFont="1" applyFill="1"/>
    <xf numFmtId="164" fontId="34" fillId="9" borderId="0" xfId="0" applyNumberFormat="1" applyFont="1" applyFill="1" applyBorder="1"/>
    <xf numFmtId="164" fontId="34" fillId="9" borderId="0" xfId="0" applyNumberFormat="1" applyFont="1" applyFill="1"/>
    <xf numFmtId="0" fontId="19" fillId="7" borderId="30" xfId="0" applyFont="1" applyFill="1" applyBorder="1"/>
    <xf numFmtId="1" fontId="5" fillId="7" borderId="30" xfId="0" applyNumberFormat="1" applyFont="1" applyFill="1" applyBorder="1" applyAlignment="1">
      <alignment horizontal="center"/>
    </xf>
    <xf numFmtId="17" fontId="1" fillId="7" borderId="30" xfId="0" applyNumberFormat="1" applyFont="1" applyFill="1" applyBorder="1" applyAlignment="1">
      <alignment horizontal="center"/>
    </xf>
    <xf numFmtId="0" fontId="2" fillId="7" borderId="30" xfId="0" applyFont="1" applyFill="1" applyBorder="1" applyAlignment="1">
      <alignment horizontal="center"/>
    </xf>
    <xf numFmtId="167" fontId="23" fillId="9" borderId="30" xfId="0" applyNumberFormat="1" applyFont="1" applyFill="1" applyBorder="1"/>
    <xf numFmtId="167" fontId="0" fillId="7" borderId="30" xfId="0" applyNumberFormat="1" applyFont="1" applyFill="1" applyBorder="1" applyAlignment="1">
      <alignment horizontal="right"/>
    </xf>
    <xf numFmtId="167" fontId="5" fillId="7" borderId="31" xfId="0" applyNumberFormat="1" applyFont="1" applyFill="1" applyBorder="1" applyAlignment="1">
      <alignment horizontal="right"/>
    </xf>
    <xf numFmtId="167" fontId="5" fillId="7" borderId="30" xfId="0" applyNumberFormat="1" applyFont="1" applyFill="1" applyBorder="1" applyAlignment="1">
      <alignment horizontal="right"/>
    </xf>
    <xf numFmtId="164" fontId="0" fillId="7" borderId="30" xfId="0" applyNumberFormat="1" applyFont="1" applyFill="1" applyBorder="1"/>
    <xf numFmtId="167" fontId="0" fillId="7" borderId="32" xfId="0" applyNumberFormat="1" applyFont="1" applyFill="1" applyBorder="1" applyAlignment="1">
      <alignment horizontal="right"/>
    </xf>
    <xf numFmtId="167" fontId="24" fillId="7" borderId="30" xfId="0" applyNumberFormat="1" applyFont="1" applyFill="1" applyBorder="1" applyAlignment="1">
      <alignment horizontal="right"/>
    </xf>
    <xf numFmtId="167" fontId="24" fillId="7" borderId="31" xfId="0" applyNumberFormat="1" applyFont="1" applyFill="1" applyBorder="1" applyAlignment="1">
      <alignment horizontal="right"/>
    </xf>
    <xf numFmtId="167" fontId="27" fillId="7" borderId="30" xfId="0" applyNumberFormat="1" applyFont="1" applyFill="1" applyBorder="1"/>
    <xf numFmtId="167" fontId="19" fillId="7" borderId="30" xfId="0" applyNumberFormat="1" applyFont="1" applyFill="1" applyBorder="1" applyAlignment="1">
      <alignment horizontal="left" indent="1"/>
    </xf>
    <xf numFmtId="167" fontId="0" fillId="7" borderId="30" xfId="0" applyNumberFormat="1" applyFont="1" applyFill="1" applyBorder="1" applyAlignment="1">
      <alignment horizontal="center"/>
    </xf>
    <xf numFmtId="169" fontId="5" fillId="7" borderId="30" xfId="0" applyNumberFormat="1" applyFont="1" applyFill="1" applyBorder="1"/>
    <xf numFmtId="169" fontId="0" fillId="7" borderId="30" xfId="0" applyNumberFormat="1" applyFont="1" applyFill="1" applyBorder="1"/>
    <xf numFmtId="169" fontId="0" fillId="7" borderId="32" xfId="0" applyNumberFormat="1" applyFont="1" applyFill="1" applyBorder="1"/>
    <xf numFmtId="169" fontId="27" fillId="7" borderId="30" xfId="0" applyNumberFormat="1" applyFont="1" applyFill="1" applyBorder="1"/>
    <xf numFmtId="167" fontId="24" fillId="7" borderId="30" xfId="0" applyNumberFormat="1" applyFont="1" applyFill="1" applyBorder="1"/>
    <xf numFmtId="167" fontId="12" fillId="7" borderId="30" xfId="0" applyNumberFormat="1" applyFont="1" applyFill="1" applyBorder="1"/>
    <xf numFmtId="169" fontId="24" fillId="7" borderId="30" xfId="1" applyNumberFormat="1" applyFont="1" applyFill="1" applyBorder="1"/>
    <xf numFmtId="172" fontId="26" fillId="7" borderId="30" xfId="0" applyNumberFormat="1" applyFont="1" applyFill="1" applyBorder="1"/>
    <xf numFmtId="172" fontId="7" fillId="7" borderId="30" xfId="0" applyNumberFormat="1" applyFont="1" applyFill="1" applyBorder="1"/>
    <xf numFmtId="188" fontId="12" fillId="7" borderId="30" xfId="0" applyNumberFormat="1" applyFont="1" applyFill="1" applyBorder="1"/>
    <xf numFmtId="170" fontId="24" fillId="7" borderId="30" xfId="0" applyNumberFormat="1" applyFont="1" applyFill="1" applyBorder="1" applyAlignment="1">
      <alignment horizontal="right"/>
    </xf>
    <xf numFmtId="170" fontId="5" fillId="7" borderId="30" xfId="0" applyNumberFormat="1" applyFont="1" applyFill="1" applyBorder="1" applyAlignment="1">
      <alignment horizontal="right"/>
    </xf>
    <xf numFmtId="0" fontId="0" fillId="7" borderId="30" xfId="0" applyNumberFormat="1" applyFont="1" applyFill="1" applyBorder="1"/>
    <xf numFmtId="188" fontId="5" fillId="7" borderId="30" xfId="0" applyNumberFormat="1" applyFont="1" applyFill="1" applyBorder="1" applyAlignment="1">
      <alignment horizontal="right"/>
    </xf>
    <xf numFmtId="170" fontId="0" fillId="7" borderId="30" xfId="0" applyNumberFormat="1" applyFont="1" applyFill="1" applyBorder="1"/>
    <xf numFmtId="188" fontId="0" fillId="7" borderId="30" xfId="0" applyNumberFormat="1" applyFont="1" applyFill="1" applyBorder="1" applyAlignment="1">
      <alignment horizontal="right"/>
    </xf>
    <xf numFmtId="190" fontId="0" fillId="7" borderId="30" xfId="0" applyNumberFormat="1" applyFont="1" applyFill="1" applyBorder="1" applyAlignment="1">
      <alignment horizontal="right"/>
    </xf>
    <xf numFmtId="167" fontId="5" fillId="7" borderId="30" xfId="0" applyNumberFormat="1" applyFont="1" applyFill="1" applyBorder="1"/>
    <xf numFmtId="167" fontId="41" fillId="7" borderId="30" xfId="0" applyNumberFormat="1" applyFont="1" applyFill="1" applyBorder="1"/>
    <xf numFmtId="189" fontId="41" fillId="7" borderId="30" xfId="0" applyNumberFormat="1" applyFont="1" applyFill="1" applyBorder="1"/>
    <xf numFmtId="164" fontId="28" fillId="7" borderId="0" xfId="0" applyNumberFormat="1" applyFont="1" applyFill="1" applyAlignment="1">
      <alignment horizontal="left" indent="1"/>
    </xf>
    <xf numFmtId="164" fontId="27" fillId="7" borderId="0" xfId="0" applyNumberFormat="1" applyFont="1" applyFill="1" applyAlignment="1">
      <alignment horizontal="left" indent="3"/>
    </xf>
    <xf numFmtId="0" fontId="24" fillId="7" borderId="6" xfId="0" applyFont="1" applyFill="1" applyBorder="1"/>
    <xf numFmtId="166" fontId="21" fillId="7" borderId="4" xfId="6" applyNumberFormat="1" applyFont="1" applyFill="1" applyBorder="1"/>
    <xf numFmtId="166" fontId="21" fillId="7" borderId="1" xfId="6" applyNumberFormat="1" applyFont="1" applyFill="1" applyBorder="1"/>
    <xf numFmtId="170" fontId="24" fillId="7" borderId="0" xfId="8" applyNumberFormat="1" applyFont="1" applyFill="1" applyBorder="1"/>
    <xf numFmtId="181" fontId="24" fillId="7" borderId="0" xfId="8" applyNumberFormat="1" applyFont="1" applyFill="1" applyAlignment="1">
      <alignment horizontal="right"/>
    </xf>
    <xf numFmtId="170" fontId="24" fillId="8" borderId="0" xfId="8" applyNumberFormat="1" applyFont="1" applyFill="1" applyBorder="1" applyAlignment="1">
      <alignment horizontal="right"/>
    </xf>
    <xf numFmtId="181" fontId="24" fillId="8" borderId="0" xfId="8" applyNumberFormat="1" applyFont="1" applyFill="1" applyBorder="1" applyAlignment="1">
      <alignment horizontal="right"/>
    </xf>
    <xf numFmtId="170" fontId="24" fillId="8" borderId="0" xfId="8" applyNumberFormat="1" applyFont="1" applyFill="1" applyAlignment="1">
      <alignment horizontal="right"/>
    </xf>
    <xf numFmtId="181" fontId="24" fillId="8" borderId="0" xfId="8" applyNumberFormat="1" applyFont="1" applyFill="1" applyAlignment="1">
      <alignment horizontal="right"/>
    </xf>
    <xf numFmtId="164" fontId="26" fillId="7" borderId="0" xfId="8" applyNumberFormat="1" applyFont="1" applyFill="1"/>
    <xf numFmtId="164" fontId="24" fillId="7" borderId="0" xfId="8" applyNumberFormat="1" applyFont="1" applyFill="1"/>
    <xf numFmtId="164" fontId="35" fillId="9" borderId="0" xfId="8" applyNumberFormat="1" applyFont="1" applyFill="1"/>
    <xf numFmtId="17" fontId="37" fillId="7" borderId="30" xfId="8" applyNumberFormat="1" applyFont="1" applyFill="1" applyBorder="1" applyAlignment="1">
      <alignment horizontal="center"/>
    </xf>
    <xf numFmtId="164" fontId="25" fillId="7" borderId="30" xfId="8" applyNumberFormat="1" applyFont="1" applyFill="1" applyBorder="1" applyAlignment="1">
      <alignment horizontal="center"/>
    </xf>
    <xf numFmtId="164" fontId="34" fillId="9" borderId="30" xfId="8" applyNumberFormat="1" applyFont="1" applyFill="1" applyBorder="1"/>
    <xf numFmtId="169" fontId="24" fillId="7" borderId="30" xfId="8" applyNumberFormat="1" applyFont="1" applyFill="1" applyBorder="1" applyAlignment="1">
      <alignment horizontal="right"/>
    </xf>
    <xf numFmtId="167" fontId="26" fillId="7" borderId="30" xfId="0" applyNumberFormat="1" applyFont="1" applyFill="1" applyBorder="1" applyAlignment="1">
      <alignment horizontal="right"/>
    </xf>
    <xf numFmtId="169" fontId="26" fillId="7" borderId="30" xfId="8" applyNumberFormat="1" applyFont="1" applyFill="1" applyBorder="1"/>
    <xf numFmtId="169" fontId="24" fillId="7" borderId="30" xfId="8" applyNumberFormat="1" applyFont="1" applyFill="1" applyBorder="1"/>
    <xf numFmtId="167" fontId="35" fillId="9" borderId="30" xfId="8" applyNumberFormat="1" applyFont="1" applyFill="1" applyBorder="1"/>
    <xf numFmtId="167" fontId="24" fillId="7" borderId="30" xfId="8" applyNumberFormat="1" applyFont="1" applyFill="1" applyBorder="1" applyAlignment="1">
      <alignment horizontal="center"/>
    </xf>
    <xf numFmtId="167" fontId="26" fillId="7" borderId="30" xfId="8" applyNumberFormat="1" applyFont="1" applyFill="1" applyBorder="1" applyAlignment="1">
      <alignment horizontal="right"/>
    </xf>
    <xf numFmtId="167" fontId="24" fillId="7" borderId="31" xfId="8" applyNumberFormat="1" applyFont="1" applyFill="1" applyBorder="1" applyAlignment="1">
      <alignment horizontal="right"/>
    </xf>
    <xf numFmtId="167" fontId="24" fillId="7" borderId="30" xfId="8" applyNumberFormat="1" applyFont="1" applyFill="1" applyBorder="1" applyAlignment="1">
      <alignment horizontal="right"/>
    </xf>
    <xf numFmtId="180" fontId="24" fillId="7" borderId="30" xfId="8" applyNumberFormat="1" applyFont="1" applyFill="1" applyBorder="1" applyAlignment="1">
      <alignment horizontal="right"/>
    </xf>
    <xf numFmtId="170" fontId="24" fillId="7" borderId="30" xfId="8" applyNumberFormat="1" applyFont="1" applyFill="1" applyBorder="1"/>
    <xf numFmtId="181" fontId="24" fillId="7" borderId="30" xfId="8" applyNumberFormat="1" applyFont="1" applyFill="1" applyBorder="1" applyAlignment="1">
      <alignment horizontal="right"/>
    </xf>
    <xf numFmtId="170" fontId="26" fillId="7" borderId="30" xfId="8" applyNumberFormat="1" applyFont="1" applyFill="1" applyBorder="1"/>
    <xf numFmtId="164" fontId="5" fillId="8" borderId="0" xfId="0" applyNumberFormat="1" applyFont="1" applyFill="1" applyBorder="1" applyAlignment="1">
      <alignment horizontal="right"/>
    </xf>
    <xf numFmtId="164" fontId="5" fillId="7" borderId="0" xfId="0" applyNumberFormat="1" applyFont="1" applyFill="1" applyBorder="1" applyAlignment="1">
      <alignment horizontal="right"/>
    </xf>
    <xf numFmtId="164" fontId="30" fillId="7" borderId="0" xfId="0" applyNumberFormat="1" applyFont="1" applyFill="1" applyBorder="1" applyAlignment="1">
      <alignment horizontal="right"/>
    </xf>
    <xf numFmtId="164" fontId="5" fillId="7" borderId="30" xfId="0" applyNumberFormat="1" applyFont="1" applyFill="1" applyBorder="1" applyAlignment="1">
      <alignment horizontal="right"/>
    </xf>
    <xf numFmtId="164" fontId="5" fillId="7" borderId="0" xfId="0" applyNumberFormat="1" applyFont="1" applyFill="1" applyAlignment="1">
      <alignment horizontal="right"/>
    </xf>
    <xf numFmtId="164" fontId="5" fillId="8" borderId="0" xfId="0" applyNumberFormat="1" applyFont="1" applyFill="1" applyAlignment="1">
      <alignment horizontal="right"/>
    </xf>
    <xf numFmtId="164" fontId="0" fillId="8" borderId="0" xfId="0" applyNumberFormat="1" applyFont="1" applyFill="1" applyBorder="1" applyAlignment="1">
      <alignment horizontal="right"/>
    </xf>
    <xf numFmtId="164" fontId="0" fillId="7" borderId="0" xfId="0" applyNumberFormat="1" applyFont="1" applyFill="1" applyBorder="1" applyAlignment="1">
      <alignment horizontal="right"/>
    </xf>
    <xf numFmtId="164" fontId="29" fillId="7" borderId="0" xfId="0" applyNumberFormat="1" applyFont="1" applyFill="1" applyBorder="1" applyAlignment="1">
      <alignment horizontal="right"/>
    </xf>
    <xf numFmtId="164" fontId="0" fillId="7" borderId="30" xfId="0" applyNumberFormat="1" applyFont="1" applyFill="1" applyBorder="1" applyAlignment="1">
      <alignment horizontal="right"/>
    </xf>
    <xf numFmtId="164" fontId="0" fillId="7" borderId="0" xfId="0" applyNumberFormat="1" applyFont="1" applyFill="1" applyAlignment="1">
      <alignment horizontal="right"/>
    </xf>
    <xf numFmtId="164" fontId="0" fillId="8" borderId="0" xfId="0" applyNumberFormat="1" applyFont="1" applyFill="1" applyAlignment="1">
      <alignment horizontal="right"/>
    </xf>
    <xf numFmtId="164" fontId="5" fillId="8" borderId="7" xfId="0" applyNumberFormat="1" applyFont="1" applyFill="1" applyBorder="1" applyAlignment="1">
      <alignment horizontal="right"/>
    </xf>
    <xf numFmtId="164" fontId="5" fillId="7" borderId="7" xfId="0" applyNumberFormat="1" applyFont="1" applyFill="1" applyBorder="1" applyAlignment="1">
      <alignment horizontal="right"/>
    </xf>
    <xf numFmtId="164" fontId="30" fillId="7" borderId="7" xfId="0" applyNumberFormat="1" applyFont="1" applyFill="1" applyBorder="1" applyAlignment="1">
      <alignment horizontal="right"/>
    </xf>
    <xf numFmtId="164" fontId="5" fillId="7" borderId="31" xfId="0" applyNumberFormat="1" applyFont="1" applyFill="1" applyBorder="1" applyAlignment="1">
      <alignment horizontal="right"/>
    </xf>
    <xf numFmtId="164" fontId="23" fillId="9" borderId="0" xfId="0" applyNumberFormat="1" applyFont="1" applyFill="1" applyBorder="1"/>
    <xf numFmtId="164" fontId="23" fillId="9" borderId="30" xfId="0" applyNumberFormat="1" applyFont="1" applyFill="1" applyBorder="1"/>
    <xf numFmtId="164" fontId="23" fillId="9" borderId="0" xfId="0" applyNumberFormat="1" applyFont="1" applyFill="1"/>
    <xf numFmtId="164" fontId="0" fillId="8" borderId="0" xfId="0" applyNumberFormat="1" applyFont="1" applyFill="1" applyBorder="1"/>
    <xf numFmtId="164" fontId="0" fillId="7" borderId="0" xfId="0" applyNumberFormat="1" applyFont="1" applyFill="1" applyBorder="1"/>
    <xf numFmtId="164" fontId="29" fillId="7" borderId="0" xfId="0" applyNumberFormat="1" applyFont="1" applyFill="1" applyBorder="1"/>
    <xf numFmtId="164" fontId="26" fillId="7" borderId="0" xfId="0" applyNumberFormat="1" applyFont="1" applyFill="1" applyBorder="1"/>
    <xf numFmtId="164" fontId="26" fillId="8" borderId="0" xfId="0" applyNumberFormat="1" applyFont="1" applyFill="1" applyBorder="1"/>
    <xf numFmtId="164" fontId="0" fillId="7" borderId="30" xfId="0" applyNumberFormat="1" applyFont="1" applyFill="1" applyBorder="1"/>
    <xf numFmtId="164" fontId="7" fillId="7" borderId="0" xfId="0" applyNumberFormat="1" applyFont="1" applyFill="1"/>
    <xf numFmtId="164" fontId="26" fillId="8" borderId="0" xfId="0" applyNumberFormat="1" applyFont="1" applyFill="1"/>
    <xf numFmtId="164" fontId="26" fillId="7" borderId="0" xfId="0" applyNumberFormat="1" applyFont="1" applyFill="1"/>
    <xf numFmtId="164" fontId="0" fillId="8" borderId="2" xfId="0" applyNumberFormat="1" applyFont="1" applyFill="1" applyBorder="1"/>
    <xf numFmtId="164" fontId="0" fillId="7" borderId="2" xfId="0" applyNumberFormat="1" applyFont="1" applyFill="1" applyBorder="1"/>
    <xf numFmtId="164" fontId="29" fillId="7" borderId="2" xfId="0" applyNumberFormat="1" applyFont="1" applyFill="1" applyBorder="1"/>
    <xf numFmtId="164" fontId="26" fillId="7" borderId="2" xfId="0" applyNumberFormat="1" applyFont="1" applyFill="1" applyBorder="1"/>
    <xf numFmtId="164" fontId="26" fillId="8" borderId="2" xfId="0" applyNumberFormat="1" applyFont="1" applyFill="1" applyBorder="1"/>
    <xf numFmtId="164" fontId="0" fillId="7" borderId="32" xfId="0" applyNumberFormat="1" applyFont="1" applyFill="1" applyBorder="1"/>
    <xf numFmtId="164" fontId="0" fillId="7" borderId="0" xfId="0" applyNumberFormat="1" applyFont="1" applyFill="1"/>
    <xf numFmtId="164" fontId="0" fillId="8" borderId="0" xfId="0" applyNumberFormat="1" applyFont="1" applyFill="1"/>
    <xf numFmtId="164" fontId="5" fillId="8" borderId="0" xfId="0" applyNumberFormat="1" applyFont="1" applyFill="1" applyBorder="1"/>
    <xf numFmtId="164" fontId="5" fillId="7" borderId="0" xfId="0" applyNumberFormat="1" applyFont="1" applyFill="1" applyBorder="1"/>
    <xf numFmtId="164" fontId="5" fillId="7" borderId="30" xfId="0" applyNumberFormat="1" applyFont="1" applyFill="1" applyBorder="1"/>
    <xf numFmtId="164" fontId="5" fillId="7" borderId="0" xfId="0" applyNumberFormat="1" applyFont="1" applyFill="1"/>
    <xf numFmtId="164" fontId="5" fillId="8" borderId="0" xfId="0" applyNumberFormat="1" applyFont="1" applyFill="1"/>
    <xf numFmtId="164" fontId="5" fillId="8" borderId="7" xfId="0" applyNumberFormat="1" applyFont="1" applyFill="1" applyBorder="1"/>
    <xf numFmtId="164" fontId="5" fillId="7" borderId="7" xfId="0" applyNumberFormat="1" applyFont="1" applyFill="1" applyBorder="1"/>
    <xf numFmtId="164" fontId="5" fillId="7" borderId="31" xfId="0" applyNumberFormat="1" applyFont="1" applyFill="1" applyBorder="1"/>
    <xf numFmtId="164" fontId="24" fillId="7" borderId="7" xfId="0" applyNumberFormat="1" applyFont="1" applyFill="1" applyBorder="1"/>
    <xf numFmtId="164" fontId="24" fillId="8" borderId="7" xfId="0" applyNumberFormat="1" applyFont="1" applyFill="1" applyBorder="1"/>
    <xf numFmtId="164" fontId="5" fillId="8" borderId="10" xfId="0" applyNumberFormat="1" applyFont="1" applyFill="1" applyBorder="1"/>
    <xf numFmtId="164" fontId="5" fillId="7" borderId="10" xfId="0" applyNumberFormat="1" applyFont="1" applyFill="1" applyBorder="1"/>
    <xf numFmtId="164" fontId="5" fillId="7" borderId="33" xfId="0" applyNumberFormat="1" applyFont="1" applyFill="1" applyBorder="1"/>
    <xf numFmtId="164" fontId="24" fillId="7" borderId="10" xfId="0" applyNumberFormat="1" applyFont="1" applyFill="1" applyBorder="1"/>
    <xf numFmtId="164" fontId="24" fillId="8" borderId="10" xfId="0" applyNumberFormat="1" applyFont="1" applyFill="1" applyBorder="1"/>
    <xf numFmtId="164" fontId="30" fillId="7" borderId="0" xfId="0" applyNumberFormat="1" applyFont="1" applyFill="1" applyBorder="1"/>
    <xf numFmtId="164" fontId="30" fillId="7" borderId="7" xfId="0" applyNumberFormat="1" applyFont="1" applyFill="1" applyBorder="1"/>
    <xf numFmtId="164" fontId="24" fillId="8" borderId="0" xfId="0" applyNumberFormat="1" applyFont="1" applyFill="1" applyBorder="1"/>
    <xf numFmtId="164" fontId="24" fillId="7" borderId="0" xfId="0" applyNumberFormat="1" applyFont="1" applyFill="1" applyBorder="1"/>
    <xf numFmtId="164" fontId="24" fillId="7" borderId="30" xfId="0" applyNumberFormat="1" applyFont="1" applyFill="1" applyBorder="1"/>
    <xf numFmtId="164" fontId="24" fillId="7" borderId="0" xfId="0" applyNumberFormat="1" applyFont="1" applyFill="1"/>
    <xf numFmtId="164" fontId="24" fillId="8" borderId="0" xfId="0" applyNumberFormat="1" applyFont="1" applyFill="1"/>
    <xf numFmtId="164" fontId="27" fillId="8" borderId="0" xfId="0" applyNumberFormat="1" applyFont="1" applyFill="1" applyBorder="1"/>
    <xf numFmtId="164" fontId="27" fillId="7" borderId="0" xfId="0" applyNumberFormat="1" applyFont="1" applyFill="1" applyBorder="1"/>
    <xf numFmtId="164" fontId="28" fillId="7" borderId="0" xfId="0" applyNumberFormat="1" applyFont="1" applyFill="1" applyBorder="1"/>
    <xf numFmtId="164" fontId="19" fillId="7" borderId="0" xfId="0" applyNumberFormat="1" applyFont="1" applyFill="1" applyBorder="1"/>
    <xf numFmtId="164" fontId="19" fillId="8" borderId="0" xfId="0" applyNumberFormat="1" applyFont="1" applyFill="1" applyBorder="1"/>
    <xf numFmtId="164" fontId="27" fillId="7" borderId="30" xfId="0" applyNumberFormat="1" applyFont="1" applyFill="1" applyBorder="1"/>
    <xf numFmtId="164" fontId="27" fillId="7" borderId="0" xfId="0" applyNumberFormat="1" applyFont="1" applyFill="1"/>
    <xf numFmtId="164" fontId="27" fillId="8" borderId="0" xfId="0" applyNumberFormat="1" applyFont="1" applyFill="1" applyAlignment="1">
      <alignment horizontal="right"/>
    </xf>
    <xf numFmtId="164" fontId="12" fillId="7" borderId="0" xfId="0" applyNumberFormat="1" applyFont="1" applyFill="1"/>
    <xf numFmtId="164" fontId="12" fillId="8" borderId="0" xfId="0" applyNumberFormat="1" applyFont="1" applyFill="1"/>
    <xf numFmtId="164" fontId="26" fillId="7" borderId="30" xfId="0" applyNumberFormat="1" applyFont="1" applyFill="1" applyBorder="1"/>
    <xf numFmtId="164" fontId="24" fillId="7" borderId="31" xfId="0" applyNumberFormat="1" applyFont="1" applyFill="1" applyBorder="1"/>
    <xf numFmtId="164" fontId="7" fillId="8" borderId="0" xfId="0" applyNumberFormat="1" applyFont="1" applyFill="1"/>
    <xf numFmtId="164" fontId="48" fillId="7" borderId="0" xfId="0" applyNumberFormat="1" applyFont="1" applyFill="1"/>
    <xf numFmtId="164" fontId="48" fillId="8" borderId="0" xfId="0" applyNumberFormat="1" applyFont="1" applyFill="1"/>
    <xf numFmtId="164" fontId="24" fillId="7" borderId="33" xfId="0" applyNumberFormat="1" applyFont="1" applyFill="1" applyBorder="1"/>
    <xf numFmtId="164" fontId="7" fillId="7" borderId="0" xfId="0" applyNumberFormat="1" applyFont="1" applyFill="1" applyBorder="1"/>
    <xf numFmtId="164" fontId="28" fillId="8" borderId="0" xfId="0" applyNumberFormat="1" applyFont="1" applyFill="1" applyAlignment="1">
      <alignment horizontal="right"/>
    </xf>
    <xf numFmtId="164" fontId="7" fillId="7" borderId="30" xfId="0" applyNumberFormat="1" applyFont="1" applyFill="1" applyBorder="1"/>
    <xf numFmtId="164" fontId="31" fillId="7" borderId="0" xfId="0" applyNumberFormat="1" applyFont="1" applyFill="1" applyBorder="1"/>
    <xf numFmtId="164" fontId="19" fillId="7" borderId="30" xfId="0" applyNumberFormat="1" applyFont="1" applyFill="1" applyBorder="1"/>
    <xf numFmtId="164" fontId="19" fillId="7" borderId="0" xfId="0" applyNumberFormat="1" applyFont="1" applyFill="1"/>
    <xf numFmtId="164" fontId="19" fillId="8" borderId="0" xfId="0" applyNumberFormat="1" applyFont="1" applyFill="1"/>
    <xf numFmtId="164" fontId="0" fillId="8" borderId="11" xfId="0" applyNumberFormat="1" applyFont="1" applyFill="1" applyBorder="1"/>
    <xf numFmtId="164" fontId="0" fillId="7" borderId="11" xfId="0" applyNumberFormat="1" applyFont="1" applyFill="1" applyBorder="1"/>
    <xf numFmtId="164" fontId="29" fillId="7" borderId="11" xfId="0" applyNumberFormat="1" applyFont="1" applyFill="1" applyBorder="1"/>
    <xf numFmtId="164" fontId="26" fillId="7" borderId="11" xfId="0" applyNumberFormat="1" applyFont="1" applyFill="1" applyBorder="1"/>
    <xf numFmtId="164" fontId="26" fillId="8" borderId="11" xfId="0" applyNumberFormat="1" applyFont="1" applyFill="1" applyBorder="1"/>
    <xf numFmtId="164" fontId="0" fillId="7" borderId="34" xfId="0" applyNumberFormat="1" applyFont="1" applyFill="1" applyBorder="1"/>
    <xf numFmtId="164" fontId="26" fillId="7" borderId="0" xfId="0" applyNumberFormat="1" applyFont="1" applyFill="1" applyBorder="1" applyAlignment="1">
      <alignment horizontal="right"/>
    </xf>
    <xf numFmtId="164" fontId="26" fillId="8" borderId="0" xfId="0" applyNumberFormat="1" applyFont="1" applyFill="1" applyBorder="1" applyAlignment="1">
      <alignment horizontal="right"/>
    </xf>
    <xf numFmtId="164" fontId="26" fillId="7" borderId="0" xfId="0" applyNumberFormat="1" applyFont="1" applyFill="1" applyAlignment="1">
      <alignment horizontal="right"/>
    </xf>
    <xf numFmtId="164" fontId="26" fillId="8" borderId="0" xfId="0" applyNumberFormat="1" applyFont="1" applyFill="1" applyAlignment="1">
      <alignment horizontal="right"/>
    </xf>
    <xf numFmtId="164" fontId="26" fillId="7" borderId="30" xfId="0" applyNumberFormat="1" applyFont="1" applyFill="1" applyBorder="1" applyAlignment="1">
      <alignment horizontal="right"/>
    </xf>
    <xf numFmtId="164" fontId="12" fillId="7" borderId="0" xfId="0" applyNumberFormat="1" applyFont="1" applyFill="1" applyBorder="1"/>
    <xf numFmtId="164" fontId="12" fillId="8" borderId="0" xfId="0" applyNumberFormat="1" applyFont="1" applyFill="1" applyBorder="1"/>
    <xf numFmtId="164" fontId="12" fillId="7" borderId="30" xfId="0" applyNumberFormat="1" applyFont="1" applyFill="1" applyBorder="1"/>
    <xf numFmtId="164" fontId="7" fillId="7" borderId="32" xfId="0" applyNumberFormat="1" applyFont="1" applyFill="1" applyBorder="1"/>
    <xf numFmtId="164" fontId="26" fillId="7" borderId="32" xfId="0" applyNumberFormat="1" applyFont="1" applyFill="1" applyBorder="1"/>
    <xf numFmtId="164" fontId="34" fillId="9" borderId="0" xfId="0" applyNumberFormat="1" applyFont="1" applyFill="1" applyBorder="1"/>
    <xf numFmtId="164" fontId="34" fillId="9" borderId="30" xfId="0" applyNumberFormat="1" applyFont="1" applyFill="1" applyBorder="1"/>
    <xf numFmtId="164" fontId="34" fillId="9" borderId="0" xfId="0" applyNumberFormat="1" applyFont="1" applyFill="1"/>
    <xf numFmtId="164" fontId="0" fillId="7" borderId="25" xfId="0" applyNumberFormat="1" applyFont="1" applyFill="1" applyBorder="1" applyAlignment="1">
      <alignment horizontal="right"/>
    </xf>
    <xf numFmtId="164" fontId="21" fillId="2" borderId="0" xfId="3" applyNumberFormat="1" applyFont="1" applyFill="1" applyBorder="1" applyAlignment="1">
      <alignment horizontal="right"/>
    </xf>
    <xf numFmtId="164" fontId="21" fillId="2" borderId="30" xfId="3" applyNumberFormat="1" applyFont="1" applyFill="1" applyBorder="1" applyAlignment="1">
      <alignment horizontal="right"/>
    </xf>
    <xf numFmtId="164" fontId="21" fillId="2" borderId="0" xfId="3" applyNumberFormat="1" applyFont="1" applyFill="1" applyAlignment="1">
      <alignment horizontal="right"/>
    </xf>
    <xf numFmtId="164" fontId="24" fillId="7" borderId="8" xfId="0" applyNumberFormat="1" applyFont="1" applyFill="1" applyBorder="1"/>
    <xf numFmtId="164" fontId="24" fillId="7" borderId="6" xfId="0" applyNumberFormat="1" applyFont="1" applyFill="1" applyBorder="1"/>
    <xf numFmtId="164" fontId="24" fillId="7" borderId="5" xfId="0" applyNumberFormat="1" applyFont="1" applyFill="1" applyBorder="1"/>
    <xf numFmtId="164" fontId="24" fillId="7" borderId="4" xfId="0" applyNumberFormat="1" applyFont="1" applyFill="1" applyBorder="1"/>
    <xf numFmtId="164" fontId="28" fillId="7" borderId="0" xfId="0" applyNumberFormat="1" applyFont="1" applyFill="1" applyAlignment="1">
      <alignment horizontal="left" indent="1"/>
    </xf>
    <xf numFmtId="164" fontId="27" fillId="7" borderId="0" xfId="0" applyNumberFormat="1" applyFont="1" applyFill="1" applyAlignment="1">
      <alignment horizontal="left" indent="3"/>
    </xf>
    <xf numFmtId="164" fontId="26" fillId="8" borderId="0" xfId="8" applyNumberFormat="1" applyFont="1" applyFill="1" applyBorder="1"/>
    <xf numFmtId="164" fontId="26" fillId="7" borderId="0" xfId="8" applyNumberFormat="1" applyFont="1" applyFill="1" applyBorder="1"/>
    <xf numFmtId="164" fontId="26" fillId="7" borderId="30" xfId="8" applyNumberFormat="1" applyFont="1" applyFill="1" applyBorder="1"/>
    <xf numFmtId="164" fontId="26" fillId="7" borderId="0" xfId="8" applyNumberFormat="1" applyFont="1" applyFill="1"/>
    <xf numFmtId="164" fontId="26" fillId="8" borderId="0" xfId="8" applyNumberFormat="1" applyFont="1" applyFill="1"/>
    <xf numFmtId="164" fontId="24" fillId="8" borderId="7" xfId="8" applyNumberFormat="1" applyFont="1" applyFill="1" applyBorder="1"/>
    <xf numFmtId="164" fontId="24" fillId="7" borderId="7" xfId="8" applyNumberFormat="1" applyFont="1" applyFill="1" applyBorder="1"/>
    <xf numFmtId="164" fontId="24" fillId="7" borderId="31" xfId="8" applyNumberFormat="1" applyFont="1" applyFill="1" applyBorder="1"/>
    <xf numFmtId="164" fontId="24" fillId="8" borderId="0" xfId="8" applyNumberFormat="1" applyFont="1" applyFill="1" applyBorder="1"/>
    <xf numFmtId="164" fontId="24" fillId="7" borderId="0" xfId="8" applyNumberFormat="1" applyFont="1" applyFill="1" applyBorder="1"/>
    <xf numFmtId="164" fontId="24" fillId="7" borderId="30" xfId="8" applyNumberFormat="1" applyFont="1" applyFill="1" applyBorder="1"/>
    <xf numFmtId="164" fontId="24" fillId="7" borderId="0" xfId="8" applyNumberFormat="1" applyFont="1" applyFill="1"/>
    <xf numFmtId="164" fontId="24" fillId="8" borderId="0" xfId="8" applyNumberFormat="1" applyFont="1" applyFill="1"/>
    <xf numFmtId="164" fontId="35" fillId="9" borderId="0" xfId="8" applyNumberFormat="1" applyFont="1" applyFill="1" applyBorder="1"/>
    <xf numFmtId="164" fontId="35" fillId="9" borderId="30" xfId="8" applyNumberFormat="1" applyFont="1" applyFill="1" applyBorder="1"/>
    <xf numFmtId="164" fontId="35" fillId="9" borderId="0" xfId="8" applyNumberFormat="1" applyFont="1" applyFill="1"/>
    <xf numFmtId="168" fontId="56" fillId="7" borderId="0" xfId="4" applyNumberFormat="1" applyFont="1" applyFill="1" applyAlignment="1">
      <alignment horizontal="left"/>
    </xf>
    <xf numFmtId="164" fontId="2" fillId="7" borderId="0" xfId="0" applyNumberFormat="1" applyFont="1" applyFill="1"/>
    <xf numFmtId="164" fontId="23" fillId="9" borderId="0" xfId="0" applyNumberFormat="1" applyFont="1" applyFill="1"/>
    <xf numFmtId="164" fontId="24" fillId="7" borderId="0" xfId="0" applyNumberFormat="1" applyFont="1" applyFill="1" applyBorder="1" applyAlignment="1" applyProtection="1">
      <alignment horizontal="left" indent="1"/>
    </xf>
    <xf numFmtId="164" fontId="24" fillId="7" borderId="0" xfId="0" applyNumberFormat="1" applyFont="1" applyFill="1" applyBorder="1" applyAlignment="1" applyProtection="1">
      <alignment horizontal="left" indent="3"/>
    </xf>
    <xf numFmtId="164" fontId="24" fillId="8" borderId="0" xfId="0" applyNumberFormat="1" applyFont="1" applyFill="1" applyBorder="1" applyAlignment="1" applyProtection="1"/>
    <xf numFmtId="164" fontId="24" fillId="7" borderId="0" xfId="0" applyNumberFormat="1" applyFont="1" applyFill="1" applyBorder="1" applyAlignment="1" applyProtection="1"/>
    <xf numFmtId="164" fontId="5" fillId="7" borderId="0" xfId="0" applyNumberFormat="1" applyFont="1" applyFill="1" applyBorder="1" applyAlignment="1" applyProtection="1"/>
    <xf numFmtId="169" fontId="2" fillId="7" borderId="0" xfId="0" applyNumberFormat="1" applyFont="1" applyFill="1" applyBorder="1" applyAlignment="1" applyProtection="1">
      <alignment horizontal="left" indent="1"/>
    </xf>
    <xf numFmtId="169" fontId="5" fillId="7" borderId="0" xfId="0" applyNumberFormat="1" applyFont="1" applyFill="1" applyBorder="1" applyAlignment="1" applyProtection="1">
      <alignment horizontal="left" indent="3"/>
    </xf>
    <xf numFmtId="169" fontId="5" fillId="8" borderId="0" xfId="0" applyNumberFormat="1" applyFont="1" applyFill="1" applyBorder="1" applyAlignment="1" applyProtection="1"/>
    <xf numFmtId="169" fontId="5" fillId="7" borderId="0" xfId="0" applyNumberFormat="1" applyFont="1" applyFill="1" applyBorder="1" applyAlignment="1" applyProtection="1"/>
    <xf numFmtId="169" fontId="30" fillId="7" borderId="0" xfId="0" applyNumberFormat="1" applyFont="1" applyFill="1" applyBorder="1" applyAlignment="1" applyProtection="1"/>
    <xf numFmtId="169" fontId="24" fillId="7" borderId="0" xfId="0" applyNumberFormat="1" applyFont="1" applyFill="1" applyBorder="1" applyAlignment="1" applyProtection="1"/>
    <xf numFmtId="169" fontId="24" fillId="8" borderId="0" xfId="0" applyNumberFormat="1" applyFont="1" applyFill="1" applyBorder="1" applyAlignment="1" applyProtection="1"/>
    <xf numFmtId="170" fontId="1" fillId="7" borderId="0" xfId="0" applyNumberFormat="1" applyFont="1" applyFill="1" applyBorder="1" applyAlignment="1" applyProtection="1">
      <alignment horizontal="left" indent="1"/>
    </xf>
    <xf numFmtId="170" fontId="0" fillId="7" borderId="0" xfId="0" applyNumberFormat="1" applyFill="1" applyBorder="1" applyAlignment="1" applyProtection="1">
      <alignment horizontal="left" indent="3"/>
    </xf>
    <xf numFmtId="170" fontId="0" fillId="8" borderId="0" xfId="0" applyNumberFormat="1" applyFill="1" applyBorder="1" applyAlignment="1" applyProtection="1">
      <alignment horizontal="right"/>
    </xf>
    <xf numFmtId="170" fontId="0" fillId="7" borderId="0" xfId="0" applyNumberFormat="1" applyFill="1" applyBorder="1" applyAlignment="1" applyProtection="1">
      <alignment horizontal="right"/>
    </xf>
    <xf numFmtId="170" fontId="29" fillId="7" borderId="0" xfId="0" applyNumberFormat="1" applyFont="1" applyFill="1" applyBorder="1" applyAlignment="1" applyProtection="1"/>
    <xf numFmtId="170" fontId="0" fillId="7" borderId="0" xfId="0" applyNumberFormat="1" applyFill="1" applyBorder="1" applyAlignment="1" applyProtection="1"/>
    <xf numFmtId="170" fontId="26" fillId="8" borderId="0" xfId="0" applyNumberFormat="1" applyFont="1" applyFill="1" applyBorder="1" applyAlignment="1" applyProtection="1">
      <alignment horizontal="right"/>
    </xf>
    <xf numFmtId="164" fontId="24" fillId="7" borderId="0" xfId="0" applyNumberFormat="1" applyFont="1" applyFill="1" applyBorder="1" applyAlignment="1">
      <alignment horizontal="left"/>
    </xf>
    <xf numFmtId="164" fontId="24" fillId="7" borderId="0" xfId="0" applyNumberFormat="1" applyFont="1" applyFill="1" applyBorder="1" applyAlignment="1">
      <alignment horizontal="left" indent="3"/>
    </xf>
    <xf numFmtId="164" fontId="26" fillId="7" borderId="0" xfId="0" applyNumberFormat="1" applyFont="1" applyFill="1" applyBorder="1" applyAlignment="1">
      <alignment horizontal="left" indent="1"/>
    </xf>
    <xf numFmtId="164" fontId="26" fillId="7" borderId="0" xfId="0" applyNumberFormat="1" applyFont="1" applyFill="1" applyBorder="1" applyAlignment="1">
      <alignment horizontal="left" indent="3"/>
    </xf>
    <xf numFmtId="164" fontId="7" fillId="8" borderId="0" xfId="0" applyNumberFormat="1" applyFont="1" applyFill="1" applyBorder="1"/>
    <xf numFmtId="164" fontId="25" fillId="7" borderId="0" xfId="0" applyNumberFormat="1" applyFont="1" applyFill="1" applyBorder="1" applyAlignment="1">
      <alignment horizontal="left" indent="1"/>
    </xf>
    <xf numFmtId="164" fontId="21" fillId="7" borderId="0" xfId="0" applyNumberFormat="1" applyFont="1" applyFill="1" applyBorder="1" applyAlignment="1">
      <alignment horizontal="left" indent="1"/>
    </xf>
    <xf numFmtId="164" fontId="24" fillId="7" borderId="0" xfId="0" applyNumberFormat="1" applyFont="1" applyFill="1" applyBorder="1" applyAlignment="1">
      <alignment horizontal="left" indent="1"/>
    </xf>
    <xf numFmtId="164" fontId="21" fillId="7" borderId="0" xfId="0" applyNumberFormat="1" applyFont="1" applyFill="1" applyBorder="1" applyAlignment="1" applyProtection="1">
      <alignment horizontal="left" indent="1"/>
    </xf>
    <xf numFmtId="164" fontId="26" fillId="7" borderId="0" xfId="0" applyNumberFormat="1" applyFont="1" applyFill="1" applyBorder="1" applyAlignment="1" applyProtection="1"/>
    <xf numFmtId="167" fontId="21" fillId="7" borderId="0" xfId="0" applyNumberFormat="1" applyFont="1" applyFill="1" applyBorder="1" applyAlignment="1" applyProtection="1"/>
    <xf numFmtId="167" fontId="26" fillId="7" borderId="0" xfId="0" applyNumberFormat="1" applyFont="1" applyFill="1" applyBorder="1" applyAlignment="1" applyProtection="1"/>
    <xf numFmtId="167" fontId="21" fillId="8" borderId="0" xfId="0" applyNumberFormat="1" applyFont="1" applyFill="1" applyBorder="1" applyAlignment="1" applyProtection="1"/>
    <xf numFmtId="167" fontId="26" fillId="8" borderId="0" xfId="0" applyNumberFormat="1" applyFont="1" applyFill="1" applyBorder="1" applyAlignment="1" applyProtection="1"/>
    <xf numFmtId="164" fontId="26" fillId="8" borderId="0" xfId="0" applyNumberFormat="1" applyFont="1" applyFill="1" applyBorder="1" applyAlignment="1" applyProtection="1"/>
    <xf numFmtId="164" fontId="21" fillId="7" borderId="0" xfId="0" applyNumberFormat="1" applyFont="1" applyFill="1" applyBorder="1" applyAlignment="1" applyProtection="1"/>
    <xf numFmtId="164" fontId="21" fillId="8" borderId="0" xfId="0" applyNumberFormat="1" applyFont="1" applyFill="1" applyBorder="1" applyAlignment="1" applyProtection="1"/>
    <xf numFmtId="169" fontId="21" fillId="7" borderId="0" xfId="0" applyNumberFormat="1" applyFont="1" applyFill="1" applyBorder="1" applyAlignment="1" applyProtection="1">
      <alignment horizontal="left" indent="1"/>
    </xf>
    <xf numFmtId="169" fontId="26" fillId="7" borderId="0" xfId="0" applyNumberFormat="1" applyFont="1" applyFill="1" applyBorder="1" applyAlignment="1" applyProtection="1"/>
    <xf numFmtId="169" fontId="21" fillId="7" borderId="0" xfId="0" applyNumberFormat="1" applyFont="1" applyFill="1" applyBorder="1" applyAlignment="1" applyProtection="1"/>
    <xf numFmtId="169" fontId="21" fillId="8" borderId="0" xfId="0" applyNumberFormat="1" applyFont="1" applyFill="1" applyBorder="1" applyAlignment="1" applyProtection="1"/>
    <xf numFmtId="169" fontId="26" fillId="8" borderId="0" xfId="0" applyNumberFormat="1" applyFont="1" applyFill="1" applyBorder="1" applyAlignment="1" applyProtection="1"/>
    <xf numFmtId="167" fontId="0" fillId="7" borderId="0" xfId="0" applyNumberFormat="1" applyFont="1" applyFill="1" applyBorder="1" applyAlignment="1">
      <alignment horizontal="left" indent="1"/>
    </xf>
    <xf numFmtId="167" fontId="6" fillId="7" borderId="0" xfId="1" applyNumberFormat="1" applyFont="1" applyFill="1" applyBorder="1"/>
    <xf numFmtId="167" fontId="7" fillId="7" borderId="0" xfId="0" applyNumberFormat="1" applyFont="1" applyFill="1" applyBorder="1" applyAlignment="1">
      <alignment horizontal="right"/>
    </xf>
    <xf numFmtId="167" fontId="7" fillId="8" borderId="0" xfId="0" applyNumberFormat="1" applyFont="1" applyFill="1" applyBorder="1" applyAlignment="1">
      <alignment horizontal="right"/>
    </xf>
    <xf numFmtId="167" fontId="7" fillId="11" borderId="0" xfId="0" applyNumberFormat="1" applyFont="1" applyFill="1" applyAlignment="1">
      <alignment horizontal="right"/>
    </xf>
    <xf numFmtId="164" fontId="7" fillId="11" borderId="0" xfId="0" applyNumberFormat="1" applyFont="1" applyFill="1"/>
    <xf numFmtId="164" fontId="7" fillId="11" borderId="2" xfId="0" applyNumberFormat="1" applyFont="1" applyFill="1" applyBorder="1"/>
    <xf numFmtId="167" fontId="5" fillId="7" borderId="0" xfId="0" applyNumberFormat="1" applyFont="1" applyFill="1" applyBorder="1" applyAlignment="1">
      <alignment horizontal="left" indent="1"/>
    </xf>
    <xf numFmtId="167" fontId="4" fillId="7" borderId="0" xfId="1" applyNumberFormat="1" applyFont="1" applyFill="1" applyBorder="1"/>
    <xf numFmtId="167" fontId="12" fillId="7" borderId="0" xfId="0" applyNumberFormat="1" applyFont="1" applyFill="1" applyBorder="1" applyAlignment="1">
      <alignment horizontal="right"/>
    </xf>
    <xf numFmtId="167" fontId="12" fillId="8" borderId="0" xfId="0" applyNumberFormat="1" applyFont="1" applyFill="1" applyBorder="1" applyAlignment="1">
      <alignment horizontal="right"/>
    </xf>
    <xf numFmtId="167" fontId="12" fillId="11" borderId="0" xfId="0" applyNumberFormat="1" applyFont="1" applyFill="1" applyAlignment="1">
      <alignment horizontal="right"/>
    </xf>
    <xf numFmtId="167" fontId="24" fillId="7" borderId="0" xfId="0" applyNumberFormat="1" applyFont="1" applyFill="1" applyBorder="1" applyAlignment="1">
      <alignment horizontal="left" indent="1"/>
    </xf>
    <xf numFmtId="167" fontId="24" fillId="7" borderId="0" xfId="0" applyNumberFormat="1" applyFont="1" applyFill="1" applyBorder="1" applyAlignment="1">
      <alignment horizontal="left" indent="3"/>
    </xf>
    <xf numFmtId="167" fontId="12" fillId="7" borderId="0" xfId="0" applyNumberFormat="1" applyFont="1" applyFill="1" applyBorder="1"/>
    <xf numFmtId="167" fontId="12" fillId="8" borderId="0" xfId="0" applyNumberFormat="1" applyFont="1" applyFill="1" applyBorder="1"/>
    <xf numFmtId="167" fontId="12" fillId="11" borderId="0" xfId="0" applyNumberFormat="1" applyFont="1" applyFill="1"/>
    <xf numFmtId="164" fontId="12" fillId="11" borderId="0" xfId="0" applyNumberFormat="1" applyFont="1" applyFill="1"/>
    <xf numFmtId="172" fontId="21" fillId="7" borderId="0" xfId="1" applyNumberFormat="1" applyFont="1" applyFill="1" applyBorder="1" applyAlignment="1">
      <alignment horizontal="left" indent="1"/>
    </xf>
    <xf numFmtId="172" fontId="26" fillId="7" borderId="0" xfId="0" applyNumberFormat="1" applyFont="1" applyFill="1" applyBorder="1" applyAlignment="1">
      <alignment horizontal="left" indent="3"/>
    </xf>
    <xf numFmtId="172" fontId="7" fillId="7" borderId="0" xfId="0" applyNumberFormat="1" applyFont="1" applyFill="1" applyBorder="1"/>
    <xf numFmtId="172" fontId="7" fillId="8" borderId="0" xfId="0" applyNumberFormat="1" applyFont="1" applyFill="1" applyBorder="1"/>
    <xf numFmtId="172" fontId="7" fillId="11" borderId="0" xfId="0" applyNumberFormat="1" applyFont="1" applyFill="1"/>
    <xf numFmtId="172" fontId="25" fillId="7" borderId="0" xfId="1" applyNumberFormat="1" applyFont="1" applyFill="1" applyBorder="1" applyAlignment="1">
      <alignment horizontal="left" indent="1"/>
    </xf>
    <xf numFmtId="172" fontId="24" fillId="7" borderId="0" xfId="0" applyNumberFormat="1" applyFont="1" applyFill="1" applyBorder="1" applyAlignment="1">
      <alignment horizontal="left" indent="3"/>
    </xf>
    <xf numFmtId="188" fontId="12" fillId="7" borderId="0" xfId="0" applyNumberFormat="1" applyFont="1" applyFill="1" applyBorder="1"/>
    <xf numFmtId="188" fontId="12" fillId="8" borderId="0" xfId="0" applyNumberFormat="1" applyFont="1" applyFill="1" applyBorder="1"/>
    <xf numFmtId="188" fontId="12" fillId="11" borderId="0" xfId="0" applyNumberFormat="1" applyFont="1" applyFill="1"/>
    <xf numFmtId="164" fontId="5" fillId="7" borderId="0" xfId="0" applyNumberFormat="1" applyFont="1" applyFill="1" applyBorder="1" applyAlignment="1">
      <alignment horizontal="left" indent="1"/>
    </xf>
    <xf numFmtId="164" fontId="5" fillId="7" borderId="0" xfId="0" applyNumberFormat="1" applyFont="1" applyFill="1" applyBorder="1" applyAlignment="1">
      <alignment horizontal="left" indent="3"/>
    </xf>
    <xf numFmtId="167" fontId="41" fillId="7" borderId="0" xfId="0" applyNumberFormat="1" applyFont="1" applyFill="1" applyBorder="1" applyAlignment="1">
      <alignment horizontal="left" indent="1"/>
    </xf>
    <xf numFmtId="167" fontId="41" fillId="7" borderId="0" xfId="0" applyNumberFormat="1" applyFont="1" applyFill="1" applyBorder="1" applyAlignment="1">
      <alignment horizontal="left" indent="3"/>
    </xf>
    <xf numFmtId="167" fontId="43" fillId="7" borderId="0" xfId="0" applyNumberFormat="1" applyFont="1" applyFill="1" applyBorder="1"/>
    <xf numFmtId="167" fontId="43" fillId="8" borderId="0" xfId="0" applyNumberFormat="1" applyFont="1" applyFill="1" applyBorder="1"/>
    <xf numFmtId="167" fontId="43" fillId="11" borderId="0" xfId="0" applyNumberFormat="1" applyFont="1" applyFill="1"/>
    <xf numFmtId="164" fontId="23" fillId="9" borderId="0" xfId="0" applyNumberFormat="1" applyFont="1" applyFill="1" applyBorder="1"/>
    <xf numFmtId="164" fontId="23" fillId="9" borderId="30" xfId="0" applyNumberFormat="1" applyFont="1" applyFill="1" applyBorder="1"/>
    <xf numFmtId="164" fontId="24" fillId="7" borderId="30" xfId="0" applyNumberFormat="1" applyFont="1" applyFill="1" applyBorder="1" applyAlignment="1" applyProtection="1"/>
    <xf numFmtId="169" fontId="5" fillId="7" borderId="30" xfId="0" applyNumberFormat="1" applyFont="1" applyFill="1" applyBorder="1" applyAlignment="1" applyProtection="1"/>
    <xf numFmtId="170" fontId="0" fillId="7" borderId="30" xfId="0" applyNumberFormat="1" applyFill="1" applyBorder="1" applyAlignment="1" applyProtection="1"/>
    <xf numFmtId="164" fontId="26" fillId="7" borderId="30" xfId="0" applyNumberFormat="1" applyFont="1" applyFill="1" applyBorder="1" applyAlignment="1" applyProtection="1"/>
    <xf numFmtId="169" fontId="26" fillId="7" borderId="30" xfId="0" applyNumberFormat="1" applyFont="1" applyFill="1" applyBorder="1" applyAlignment="1" applyProtection="1"/>
    <xf numFmtId="0" fontId="35" fillId="9" borderId="30" xfId="0" applyFont="1" applyFill="1" applyBorder="1"/>
    <xf numFmtId="1" fontId="24" fillId="7" borderId="30" xfId="0" applyNumberFormat="1" applyFont="1" applyFill="1" applyBorder="1" applyAlignment="1">
      <alignment horizontal="center"/>
    </xf>
    <xf numFmtId="17" fontId="21" fillId="7" borderId="30" xfId="0" applyNumberFormat="1" applyFont="1" applyFill="1" applyBorder="1" applyAlignment="1">
      <alignment horizontal="center"/>
    </xf>
    <xf numFmtId="0" fontId="25" fillId="7" borderId="30" xfId="0" applyFont="1" applyFill="1" applyBorder="1" applyAlignment="1">
      <alignment horizontal="center"/>
    </xf>
    <xf numFmtId="167" fontId="0" fillId="8" borderId="30" xfId="0" applyNumberFormat="1" applyFont="1" applyFill="1" applyBorder="1" applyAlignment="1">
      <alignment horizontal="right"/>
    </xf>
    <xf numFmtId="167" fontId="5" fillId="8" borderId="31" xfId="0" applyNumberFormat="1" applyFont="1" applyFill="1" applyBorder="1" applyAlignment="1">
      <alignment horizontal="right"/>
    </xf>
    <xf numFmtId="167" fontId="5" fillId="8" borderId="30" xfId="0" applyNumberFormat="1" applyFont="1" applyFill="1" applyBorder="1" applyAlignment="1">
      <alignment horizontal="right"/>
    </xf>
    <xf numFmtId="164" fontId="5" fillId="8" borderId="30" xfId="0" applyNumberFormat="1" applyFont="1" applyFill="1" applyBorder="1" applyAlignment="1">
      <alignment horizontal="right"/>
    </xf>
    <xf numFmtId="164" fontId="0" fillId="8" borderId="30" xfId="0" applyNumberFormat="1" applyFont="1" applyFill="1" applyBorder="1" applyAlignment="1">
      <alignment horizontal="right"/>
    </xf>
    <xf numFmtId="164" fontId="5" fillId="8" borderId="31" xfId="0" applyNumberFormat="1" applyFont="1" applyFill="1" applyBorder="1" applyAlignment="1">
      <alignment horizontal="right"/>
    </xf>
    <xf numFmtId="164" fontId="26" fillId="8" borderId="30" xfId="0" applyNumberFormat="1" applyFont="1" applyFill="1" applyBorder="1"/>
    <xf numFmtId="164" fontId="26" fillId="8" borderId="32" xfId="0" applyNumberFormat="1" applyFont="1" applyFill="1" applyBorder="1"/>
    <xf numFmtId="164" fontId="0" fillId="8" borderId="30" xfId="0" applyNumberFormat="1" applyFont="1" applyFill="1" applyBorder="1"/>
    <xf numFmtId="167" fontId="0" fillId="8" borderId="32" xfId="0" applyNumberFormat="1" applyFont="1" applyFill="1" applyBorder="1" applyAlignment="1">
      <alignment horizontal="right"/>
    </xf>
    <xf numFmtId="167" fontId="24" fillId="8" borderId="30" xfId="0" applyNumberFormat="1" applyFont="1" applyFill="1" applyBorder="1" applyAlignment="1">
      <alignment horizontal="right"/>
    </xf>
    <xf numFmtId="167" fontId="24" fillId="8" borderId="31" xfId="0" applyNumberFormat="1" applyFont="1" applyFill="1" applyBorder="1" applyAlignment="1">
      <alignment horizontal="right"/>
    </xf>
    <xf numFmtId="167" fontId="27" fillId="8" borderId="30" xfId="0" applyNumberFormat="1" applyFont="1" applyFill="1" applyBorder="1"/>
    <xf numFmtId="167" fontId="19" fillId="8" borderId="30" xfId="0" applyNumberFormat="1" applyFont="1" applyFill="1" applyBorder="1" applyAlignment="1">
      <alignment horizontal="left" indent="1"/>
    </xf>
    <xf numFmtId="167" fontId="0" fillId="8" borderId="30" xfId="0" applyNumberFormat="1" applyFont="1" applyFill="1" applyBorder="1" applyAlignment="1">
      <alignment horizontal="center"/>
    </xf>
    <xf numFmtId="164" fontId="5" fillId="8" borderId="30" xfId="0" applyNumberFormat="1" applyFont="1" applyFill="1" applyBorder="1"/>
    <xf numFmtId="164" fontId="5" fillId="8" borderId="31" xfId="0" applyNumberFormat="1" applyFont="1" applyFill="1" applyBorder="1"/>
    <xf numFmtId="164" fontId="5" fillId="8" borderId="33" xfId="0" applyNumberFormat="1" applyFont="1" applyFill="1" applyBorder="1"/>
    <xf numFmtId="169" fontId="5" fillId="8" borderId="30" xfId="0" applyNumberFormat="1" applyFont="1" applyFill="1" applyBorder="1"/>
    <xf numFmtId="169" fontId="0" fillId="8" borderId="30" xfId="0" applyNumberFormat="1" applyFont="1" applyFill="1" applyBorder="1"/>
    <xf numFmtId="169" fontId="0" fillId="8" borderId="32" xfId="0" applyNumberFormat="1" applyFont="1" applyFill="1" applyBorder="1"/>
    <xf numFmtId="164" fontId="19" fillId="8" borderId="30" xfId="0" applyNumberFormat="1" applyFont="1" applyFill="1" applyBorder="1"/>
    <xf numFmtId="169" fontId="19" fillId="8" borderId="30" xfId="0" applyNumberFormat="1" applyFont="1" applyFill="1" applyBorder="1"/>
    <xf numFmtId="167" fontId="5" fillId="8" borderId="30" xfId="0" applyNumberFormat="1" applyFont="1" applyFill="1" applyBorder="1"/>
    <xf numFmtId="167" fontId="24" fillId="8" borderId="30" xfId="0" applyNumberFormat="1" applyFont="1" applyFill="1" applyBorder="1"/>
    <xf numFmtId="169" fontId="27" fillId="8" borderId="30" xfId="0" applyNumberFormat="1" applyFont="1" applyFill="1" applyBorder="1"/>
    <xf numFmtId="169" fontId="24" fillId="8" borderId="30" xfId="1" applyNumberFormat="1" applyFont="1" applyFill="1" applyBorder="1"/>
    <xf numFmtId="169" fontId="27" fillId="8" borderId="30" xfId="0" applyNumberFormat="1" applyFont="1" applyFill="1" applyBorder="1" applyAlignment="1">
      <alignment horizontal="right"/>
    </xf>
    <xf numFmtId="164" fontId="24" fillId="8" borderId="30" xfId="0" applyNumberFormat="1" applyFont="1" applyFill="1" applyBorder="1"/>
    <xf numFmtId="164" fontId="19" fillId="8" borderId="30" xfId="0" applyNumberFormat="1" applyFont="1" applyFill="1" applyBorder="1" applyAlignment="1">
      <alignment horizontal="right"/>
    </xf>
    <xf numFmtId="172" fontId="26" fillId="8" borderId="30" xfId="0" applyNumberFormat="1" applyFont="1" applyFill="1" applyBorder="1"/>
    <xf numFmtId="188" fontId="24" fillId="8" borderId="30" xfId="0" applyNumberFormat="1" applyFont="1" applyFill="1" applyBorder="1"/>
    <xf numFmtId="164" fontId="26" fillId="8" borderId="34" xfId="0" applyNumberFormat="1" applyFont="1" applyFill="1" applyBorder="1"/>
    <xf numFmtId="164" fontId="26" fillId="8" borderId="30" xfId="0" applyNumberFormat="1" applyFont="1" applyFill="1" applyBorder="1" applyAlignment="1">
      <alignment horizontal="right"/>
    </xf>
    <xf numFmtId="170" fontId="24" fillId="8" borderId="30" xfId="0" applyNumberFormat="1" applyFont="1" applyFill="1" applyBorder="1" applyAlignment="1">
      <alignment horizontal="right"/>
    </xf>
    <xf numFmtId="0" fontId="0" fillId="8" borderId="30" xfId="0" applyNumberFormat="1" applyFont="1" applyFill="1" applyBorder="1"/>
    <xf numFmtId="170" fontId="0" fillId="8" borderId="30" xfId="0" applyNumberFormat="1" applyFont="1" applyFill="1" applyBorder="1" applyAlignment="1">
      <alignment horizontal="right"/>
    </xf>
    <xf numFmtId="170" fontId="26" fillId="8" borderId="30" xfId="0" applyNumberFormat="1" applyFont="1" applyFill="1" applyBorder="1" applyAlignment="1">
      <alignment horizontal="right"/>
    </xf>
    <xf numFmtId="167" fontId="26" fillId="8" borderId="30" xfId="0" applyNumberFormat="1" applyFont="1" applyFill="1" applyBorder="1" applyAlignment="1">
      <alignment horizontal="right"/>
    </xf>
    <xf numFmtId="188" fontId="26" fillId="8" borderId="30" xfId="0" applyNumberFormat="1" applyFont="1" applyFill="1" applyBorder="1"/>
    <xf numFmtId="190" fontId="26" fillId="8" borderId="30" xfId="0" applyNumberFormat="1" applyFont="1" applyFill="1" applyBorder="1"/>
    <xf numFmtId="164" fontId="24" fillId="8" borderId="31" xfId="0" applyNumberFormat="1" applyFont="1" applyFill="1" applyBorder="1"/>
    <xf numFmtId="164" fontId="12" fillId="8" borderId="30" xfId="0" applyNumberFormat="1" applyFont="1" applyFill="1" applyBorder="1"/>
    <xf numFmtId="167" fontId="41" fillId="8" borderId="30" xfId="0" applyNumberFormat="1" applyFont="1" applyFill="1" applyBorder="1"/>
    <xf numFmtId="189" fontId="41" fillId="8" borderId="30" xfId="0" applyNumberFormat="1" applyFont="1" applyFill="1" applyBorder="1"/>
    <xf numFmtId="169" fontId="24" fillId="8" borderId="30" xfId="8" applyNumberFormat="1" applyFont="1" applyFill="1" applyBorder="1"/>
    <xf numFmtId="164" fontId="26" fillId="8" borderId="30" xfId="8" applyNumberFormat="1" applyFont="1" applyFill="1" applyBorder="1"/>
    <xf numFmtId="164" fontId="24" fillId="8" borderId="31" xfId="8" applyNumberFormat="1" applyFont="1" applyFill="1" applyBorder="1"/>
    <xf numFmtId="164" fontId="24" fillId="8" borderId="30" xfId="8" applyNumberFormat="1" applyFont="1" applyFill="1" applyBorder="1"/>
    <xf numFmtId="169" fontId="26" fillId="8" borderId="30" xfId="8" applyNumberFormat="1" applyFont="1" applyFill="1" applyBorder="1"/>
    <xf numFmtId="167" fontId="26" fillId="8" borderId="30" xfId="8" applyNumberFormat="1" applyFont="1" applyFill="1" applyBorder="1"/>
    <xf numFmtId="167" fontId="26" fillId="8" borderId="30" xfId="8" applyNumberFormat="1" applyFont="1" applyFill="1" applyBorder="1" applyAlignment="1">
      <alignment horizontal="right"/>
    </xf>
    <xf numFmtId="167" fontId="24" fillId="8" borderId="31" xfId="8" applyNumberFormat="1" applyFont="1" applyFill="1" applyBorder="1" applyAlignment="1">
      <alignment horizontal="right"/>
    </xf>
    <xf numFmtId="167" fontId="24" fillId="8" borderId="30" xfId="8" applyNumberFormat="1" applyFont="1" applyFill="1" applyBorder="1" applyAlignment="1">
      <alignment horizontal="right"/>
    </xf>
    <xf numFmtId="180" fontId="24" fillId="8" borderId="30" xfId="8" applyNumberFormat="1" applyFont="1" applyFill="1" applyBorder="1" applyAlignment="1">
      <alignment horizontal="right"/>
    </xf>
    <xf numFmtId="170" fontId="24" fillId="8" borderId="30" xfId="8" applyNumberFormat="1" applyFont="1" applyFill="1" applyBorder="1" applyAlignment="1">
      <alignment horizontal="right"/>
    </xf>
    <xf numFmtId="181" fontId="24" fillId="8" borderId="30" xfId="8" applyNumberFormat="1" applyFont="1" applyFill="1" applyBorder="1" applyAlignment="1">
      <alignment horizontal="right"/>
    </xf>
    <xf numFmtId="170" fontId="26" fillId="8" borderId="30" xfId="8" applyNumberFormat="1" applyFont="1" applyFill="1" applyBorder="1" applyAlignment="1">
      <alignment horizontal="right"/>
    </xf>
    <xf numFmtId="164" fontId="5" fillId="8" borderId="30" xfId="0" applyNumberFormat="1" applyFont="1" applyFill="1" applyBorder="1" applyAlignment="1" applyProtection="1"/>
    <xf numFmtId="169" fontId="5" fillId="8" borderId="30" xfId="0" applyNumberFormat="1" applyFont="1" applyFill="1" applyBorder="1" applyAlignment="1" applyProtection="1"/>
    <xf numFmtId="170" fontId="26" fillId="8" borderId="30" xfId="0" applyNumberFormat="1" applyFont="1" applyFill="1" applyBorder="1" applyAlignment="1" applyProtection="1">
      <alignment horizontal="right"/>
    </xf>
    <xf numFmtId="164" fontId="26" fillId="8" borderId="30" xfId="0" applyNumberFormat="1" applyFont="1" applyFill="1" applyBorder="1" applyAlignment="1" applyProtection="1"/>
    <xf numFmtId="169" fontId="26" fillId="8" borderId="30" xfId="0" applyNumberFormat="1" applyFont="1" applyFill="1" applyBorder="1" applyAlignment="1" applyProtection="1"/>
  </cellXfs>
  <cellStyles count="11">
    <cellStyle name="Currency" xfId="1" builtinId="4"/>
    <cellStyle name="Currency 2" xfId="2" xr:uid="{00000000-0005-0000-0000-000006000000}"/>
    <cellStyle name="Good" xfId="3" builtinId="26"/>
    <cellStyle name="Hyperlink" xfId="4" builtinId="8"/>
    <cellStyle name="Hyperlink 2" xfId="5" xr:uid="{00000000-0005-0000-0000-000009000000}"/>
    <cellStyle name="Hyperlink 3" xfId="10" xr:uid="{00000000-0005-0000-0000-00000E000000}"/>
    <cellStyle name="Normal" xfId="0" builtinId="0"/>
    <cellStyle name="Normal 2" xfId="6" xr:uid="{00000000-0005-0000-0000-00000A000000}"/>
    <cellStyle name="Normal 3" xfId="7" xr:uid="{00000000-0005-0000-0000-00000B000000}"/>
    <cellStyle name="Normal 4" xfId="8" xr:uid="{00000000-0005-0000-0000-00000C000000}"/>
    <cellStyle name="Percent 2" xfId="9" xr:uid="{00000000-0005-0000-0000-00000D000000}"/>
  </cellStyles>
  <dxfs count="213">
    <dxf>
      <fill>
        <patternFill>
          <bgColor rgb="FFFFC7CE"/>
        </patternFill>
      </fill>
    </dxf>
    <dxf>
      <fill>
        <patternFill>
          <bgColor rgb="FFC6EFCE"/>
        </patternFill>
      </fill>
    </dxf>
    <dxf>
      <fill>
        <patternFill>
          <bgColor rgb="FFFFC7CE"/>
        </patternFill>
      </fill>
    </dxf>
    <dxf>
      <fill>
        <patternFill>
          <bgColor rgb="FFC6EFCE"/>
        </patternFill>
      </fill>
    </dxf>
    <dxf>
      <fill>
        <patternFill>
          <bgColor rgb="FFFFC7CE"/>
        </patternFill>
      </fill>
    </dxf>
    <dxf>
      <fill>
        <patternFill>
          <bgColor rgb="FFC6EFCE"/>
        </patternFill>
      </fill>
    </dxf>
    <dxf>
      <fill>
        <patternFill>
          <bgColor rgb="FFFFC7CE"/>
        </patternFill>
      </fill>
    </dxf>
    <dxf>
      <fill>
        <patternFill>
          <bgColor rgb="FFC6EFCE"/>
        </patternFill>
      </fill>
    </dxf>
    <dxf>
      <fill>
        <patternFill>
          <bgColor rgb="FFFFC7CE"/>
        </patternFill>
      </fill>
    </dxf>
    <dxf>
      <fill>
        <patternFill>
          <bgColor rgb="FFC6EFCE"/>
        </patternFill>
      </fill>
    </dxf>
    <dxf>
      <fill>
        <patternFill>
          <bgColor rgb="FFFFC7CE"/>
        </patternFill>
      </fill>
    </dxf>
    <dxf>
      <fill>
        <patternFill>
          <bgColor rgb="FFC6EFCE"/>
        </patternFill>
      </fill>
    </dxf>
    <dxf>
      <fill>
        <patternFill>
          <bgColor rgb="FFFFC7CE"/>
        </patternFill>
      </fill>
    </dxf>
    <dxf>
      <fill>
        <patternFill>
          <bgColor rgb="FFC6EFCE"/>
        </patternFill>
      </fill>
    </dxf>
    <dxf>
      <fill>
        <patternFill>
          <bgColor rgb="FFFFC7CE"/>
        </patternFill>
      </fill>
    </dxf>
    <dxf>
      <fill>
        <patternFill>
          <bgColor rgb="FFC6EFCE"/>
        </patternFill>
      </fill>
    </dxf>
    <dxf>
      <fill>
        <patternFill>
          <bgColor rgb="FFFFC7CE"/>
        </patternFill>
      </fill>
    </dxf>
    <dxf>
      <fill>
        <patternFill>
          <bgColor rgb="FFC6EFCE"/>
        </patternFill>
      </fill>
    </dxf>
    <dxf>
      <fill>
        <patternFill>
          <bgColor rgb="FFFFC7CE"/>
        </patternFill>
      </fill>
    </dxf>
    <dxf>
      <fill>
        <patternFill>
          <bgColor rgb="FFC6EFCE"/>
        </patternFill>
      </fill>
    </dxf>
    <dxf>
      <fill>
        <patternFill>
          <bgColor rgb="FFFFC7CE"/>
        </patternFill>
      </fill>
    </dxf>
    <dxf>
      <fill>
        <patternFill>
          <bgColor rgb="FFC6EFCE"/>
        </patternFill>
      </fill>
    </dxf>
    <dxf>
      <fill>
        <patternFill>
          <bgColor rgb="FFFFC7CE"/>
        </patternFill>
      </fill>
    </dxf>
    <dxf>
      <fill>
        <patternFill>
          <bgColor rgb="FFC6EFCE"/>
        </patternFill>
      </fill>
    </dxf>
    <dxf>
      <fill>
        <patternFill>
          <bgColor rgb="FFFFC7CE"/>
        </patternFill>
      </fill>
    </dxf>
    <dxf>
      <fill>
        <patternFill>
          <bgColor rgb="FFC6EFCE"/>
        </patternFill>
      </fill>
    </dxf>
    <dxf>
      <fill>
        <patternFill>
          <bgColor rgb="FFC6EFCE"/>
        </patternFill>
      </fill>
    </dxf>
    <dxf>
      <fill>
        <patternFill>
          <bgColor rgb="FFFFC7CE"/>
        </patternFill>
      </fill>
    </dxf>
    <dxf>
      <fill>
        <patternFill>
          <bgColor rgb="FFFFC7CE"/>
        </patternFill>
      </fill>
    </dxf>
    <dxf>
      <fill>
        <patternFill>
          <bgColor rgb="FFC6EFCE"/>
        </patternFill>
      </fill>
    </dxf>
    <dxf>
      <fill>
        <patternFill>
          <bgColor rgb="FFFFC7CE"/>
        </patternFill>
      </fill>
    </dxf>
    <dxf>
      <fill>
        <patternFill>
          <bgColor rgb="FFC6EFCE"/>
        </patternFill>
      </fill>
    </dxf>
    <dxf>
      <fill>
        <patternFill>
          <bgColor rgb="FFC6EFCE"/>
        </patternFill>
      </fill>
    </dxf>
    <dxf>
      <fill>
        <patternFill>
          <bgColor rgb="FFFFC7CE"/>
        </patternFill>
      </fill>
    </dxf>
    <dxf>
      <fill>
        <patternFill>
          <bgColor rgb="FFFFC7CE"/>
        </patternFill>
      </fill>
    </dxf>
    <dxf>
      <fill>
        <patternFill>
          <bgColor rgb="FFC6EFCE"/>
        </patternFill>
      </fill>
    </dxf>
    <dxf>
      <fill>
        <patternFill>
          <bgColor rgb="FFFFC7CE"/>
        </patternFill>
      </fill>
    </dxf>
    <dxf>
      <fill>
        <patternFill>
          <bgColor rgb="FFC6EFCE"/>
        </patternFill>
      </fill>
    </dxf>
    <dxf>
      <fill>
        <patternFill>
          <bgColor rgb="FFFFC7CE"/>
        </patternFill>
      </fill>
    </dxf>
    <dxf>
      <fill>
        <patternFill>
          <bgColor rgb="FFC6EFCE"/>
        </patternFill>
      </fill>
    </dxf>
    <dxf>
      <fill>
        <patternFill>
          <bgColor rgb="FFC6EFCE"/>
        </patternFill>
      </fill>
    </dxf>
    <dxf>
      <fill>
        <patternFill>
          <bgColor rgb="FFFFC7CE"/>
        </patternFill>
      </fill>
    </dxf>
    <dxf>
      <fill>
        <patternFill>
          <bgColor rgb="FFFFC7CE"/>
        </patternFill>
      </fill>
    </dxf>
    <dxf>
      <fill>
        <patternFill>
          <bgColor rgb="FFC6EFCE"/>
        </patternFill>
      </fill>
    </dxf>
    <dxf>
      <fill>
        <patternFill>
          <bgColor rgb="FFFFC7CE"/>
        </patternFill>
      </fill>
    </dxf>
    <dxf>
      <fill>
        <patternFill>
          <bgColor rgb="FFC6EFCE"/>
        </patternFill>
      </fill>
    </dxf>
    <dxf>
      <fill>
        <patternFill>
          <bgColor rgb="FFFFC7CE"/>
        </patternFill>
      </fill>
    </dxf>
    <dxf>
      <fill>
        <patternFill>
          <bgColor rgb="FFC6EFCE"/>
        </patternFill>
      </fill>
    </dxf>
    <dxf>
      <fill>
        <patternFill>
          <bgColor rgb="FFC6EFCE"/>
        </patternFill>
      </fill>
    </dxf>
    <dxf>
      <fill>
        <patternFill>
          <bgColor rgb="FFFFC7CE"/>
        </patternFill>
      </fill>
    </dxf>
    <dxf>
      <fill>
        <patternFill>
          <bgColor rgb="FFC6EFCE"/>
        </patternFill>
      </fill>
    </dxf>
    <dxf>
      <fill>
        <patternFill>
          <bgColor rgb="FFFFC7CE"/>
        </patternFill>
      </fill>
    </dxf>
    <dxf>
      <fill>
        <patternFill>
          <bgColor rgb="FFC6EFCE"/>
        </patternFill>
      </fill>
    </dxf>
    <dxf>
      <fill>
        <patternFill>
          <bgColor rgb="FFFFC7CE"/>
        </patternFill>
      </fill>
    </dxf>
    <dxf>
      <fill>
        <patternFill>
          <bgColor rgb="FFFFC7CE"/>
        </patternFill>
      </fill>
    </dxf>
    <dxf>
      <fill>
        <patternFill>
          <bgColor rgb="FFC6EFCE"/>
        </patternFill>
      </fill>
    </dxf>
    <dxf>
      <fill>
        <patternFill>
          <bgColor rgb="FFFFC7CE"/>
        </patternFill>
      </fill>
    </dxf>
    <dxf>
      <fill>
        <patternFill>
          <bgColor rgb="FFC6EFCE"/>
        </patternFill>
      </fill>
    </dxf>
    <dxf>
      <fill>
        <patternFill>
          <bgColor rgb="FFFFC7CE"/>
        </patternFill>
      </fill>
    </dxf>
    <dxf>
      <fill>
        <patternFill>
          <bgColor rgb="FFC6EFCE"/>
        </patternFill>
      </fill>
    </dxf>
    <dxf>
      <fill>
        <patternFill>
          <bgColor rgb="FFC6EFCE"/>
        </patternFill>
      </fill>
    </dxf>
    <dxf>
      <fill>
        <patternFill>
          <bgColor rgb="FFFFC7CE"/>
        </patternFill>
      </fill>
    </dxf>
    <dxf>
      <fill>
        <patternFill>
          <bgColor rgb="FFC6EFCE"/>
        </patternFill>
      </fill>
    </dxf>
    <dxf>
      <fill>
        <patternFill>
          <bgColor rgb="FFFFC7CE"/>
        </patternFill>
      </fill>
    </dxf>
    <dxf>
      <fill>
        <patternFill>
          <bgColor rgb="FFFFC7CE"/>
        </patternFill>
      </fill>
    </dxf>
    <dxf>
      <fill>
        <patternFill>
          <bgColor rgb="FFC6EFCE"/>
        </patternFill>
      </fill>
    </dxf>
    <dxf>
      <fill>
        <patternFill>
          <bgColor rgb="FFFFC7CE"/>
        </patternFill>
      </fill>
    </dxf>
    <dxf>
      <fill>
        <patternFill>
          <bgColor rgb="FFC6EFCE"/>
        </patternFill>
      </fill>
    </dxf>
    <dxf>
      <fill>
        <patternFill>
          <bgColor rgb="FFFFC7CE"/>
        </patternFill>
      </fill>
    </dxf>
    <dxf>
      <fill>
        <patternFill>
          <bgColor rgb="FFC6EFCE"/>
        </patternFill>
      </fill>
    </dxf>
    <dxf>
      <fill>
        <patternFill>
          <bgColor rgb="FFFFC7CE"/>
        </patternFill>
      </fill>
    </dxf>
    <dxf>
      <fill>
        <patternFill>
          <bgColor rgb="FFC6EFCE"/>
        </patternFill>
      </fill>
    </dxf>
    <dxf>
      <fill>
        <patternFill>
          <bgColor rgb="FFFFC7CE"/>
        </patternFill>
      </fill>
    </dxf>
    <dxf>
      <fill>
        <patternFill>
          <bgColor rgb="FFC6EFCE"/>
        </patternFill>
      </fill>
    </dxf>
    <dxf>
      <fill>
        <patternFill>
          <bgColor rgb="FFC6EFCE"/>
        </patternFill>
      </fill>
    </dxf>
    <dxf>
      <fill>
        <patternFill>
          <bgColor rgb="FFFFC7CE"/>
        </patternFill>
      </fill>
    </dxf>
    <dxf>
      <fill>
        <patternFill>
          <bgColor rgb="FFFFC7CE"/>
        </patternFill>
      </fill>
    </dxf>
    <dxf>
      <fill>
        <patternFill>
          <bgColor rgb="FFC6EFCE"/>
        </patternFill>
      </fill>
    </dxf>
    <dxf>
      <fill>
        <patternFill>
          <bgColor rgb="FFFFC7CE"/>
        </patternFill>
      </fill>
    </dxf>
    <dxf>
      <fill>
        <patternFill>
          <bgColor rgb="FFC6EFCE"/>
        </patternFill>
      </fill>
    </dxf>
    <dxf>
      <fill>
        <patternFill>
          <bgColor rgb="FFFFC7CE"/>
        </patternFill>
      </fill>
    </dxf>
    <dxf>
      <fill>
        <patternFill>
          <bgColor rgb="FFC6EFCE"/>
        </patternFill>
      </fill>
    </dxf>
    <dxf>
      <fill>
        <patternFill>
          <bgColor rgb="FFC6EFCE"/>
        </patternFill>
      </fill>
    </dxf>
    <dxf>
      <fill>
        <patternFill>
          <bgColor rgb="FFFFC7CE"/>
        </patternFill>
      </fill>
    </dxf>
    <dxf>
      <fill>
        <patternFill>
          <bgColor rgb="FFFFC7CE"/>
        </patternFill>
      </fill>
    </dxf>
    <dxf>
      <fill>
        <patternFill>
          <bgColor rgb="FFC6EFCE"/>
        </patternFill>
      </fill>
    </dxf>
    <dxf>
      <fill>
        <patternFill>
          <bgColor rgb="FFFFC7CE"/>
        </patternFill>
      </fill>
    </dxf>
    <dxf>
      <fill>
        <patternFill>
          <bgColor rgb="FFC6EFCE"/>
        </patternFill>
      </fill>
    </dxf>
    <dxf>
      <fill>
        <patternFill>
          <bgColor rgb="FFC6EFCE"/>
        </patternFill>
      </fill>
    </dxf>
    <dxf>
      <fill>
        <patternFill>
          <bgColor rgb="FFFFC7CE"/>
        </patternFill>
      </fill>
    </dxf>
    <dxf>
      <fill>
        <patternFill>
          <bgColor rgb="FFC6EFCE"/>
        </patternFill>
      </fill>
    </dxf>
    <dxf>
      <fill>
        <patternFill>
          <bgColor rgb="FFFFC7CE"/>
        </patternFill>
      </fill>
    </dxf>
    <dxf>
      <fill>
        <patternFill>
          <bgColor rgb="FFFFC7CE"/>
        </patternFill>
      </fill>
    </dxf>
    <dxf>
      <fill>
        <patternFill>
          <bgColor rgb="FFC6EFCE"/>
        </patternFill>
      </fill>
    </dxf>
    <dxf>
      <fill>
        <patternFill>
          <bgColor rgb="FFFFC7CE"/>
        </patternFill>
      </fill>
    </dxf>
    <dxf>
      <fill>
        <patternFill>
          <bgColor rgb="FFC6EFCE"/>
        </patternFill>
      </fill>
    </dxf>
    <dxf>
      <fill>
        <patternFill>
          <bgColor rgb="FFFFC7CE"/>
        </patternFill>
      </fill>
    </dxf>
    <dxf>
      <fill>
        <patternFill>
          <bgColor rgb="FFC6EFCE"/>
        </patternFill>
      </fill>
    </dxf>
    <dxf>
      <fill>
        <patternFill>
          <bgColor rgb="FFC6EFCE"/>
        </patternFill>
      </fill>
    </dxf>
    <dxf>
      <fill>
        <patternFill>
          <bgColor rgb="FFFFC7CE"/>
        </patternFill>
      </fill>
    </dxf>
    <dxf>
      <fill>
        <patternFill>
          <bgColor rgb="FFC6EFCE"/>
        </patternFill>
      </fill>
    </dxf>
    <dxf>
      <fill>
        <patternFill>
          <bgColor rgb="FFFFC7CE"/>
        </patternFill>
      </fill>
    </dxf>
    <dxf>
      <fill>
        <patternFill>
          <bgColor rgb="FFFFC7CE"/>
        </patternFill>
      </fill>
    </dxf>
    <dxf>
      <fill>
        <patternFill>
          <bgColor rgb="FFC6EFCE"/>
        </patternFill>
      </fill>
    </dxf>
    <dxf>
      <fill>
        <patternFill>
          <bgColor rgb="FFFFC7CE"/>
        </patternFill>
      </fill>
    </dxf>
    <dxf>
      <fill>
        <patternFill>
          <bgColor rgb="FFC6EFCE"/>
        </patternFill>
      </fill>
    </dxf>
    <dxf>
      <fill>
        <patternFill>
          <bgColor rgb="FFC6EFCE"/>
        </patternFill>
      </fill>
    </dxf>
    <dxf>
      <fill>
        <patternFill>
          <bgColor rgb="FFFFC7CE"/>
        </patternFill>
      </fill>
    </dxf>
    <dxf>
      <fill>
        <patternFill>
          <bgColor rgb="FFFFC7CE"/>
        </patternFill>
      </fill>
    </dxf>
    <dxf>
      <fill>
        <patternFill>
          <bgColor rgb="FFC6EFCE"/>
        </patternFill>
      </fill>
    </dxf>
    <dxf>
      <fill>
        <patternFill>
          <bgColor rgb="FFC6EFCE"/>
        </patternFill>
      </fill>
    </dxf>
    <dxf>
      <fill>
        <patternFill>
          <bgColor rgb="FFFFC7CE"/>
        </patternFill>
      </fill>
    </dxf>
    <dxf>
      <fill>
        <patternFill>
          <bgColor rgb="FFFFC7CE"/>
        </patternFill>
      </fill>
    </dxf>
    <dxf>
      <fill>
        <patternFill>
          <bgColor rgb="FFC6EFCE"/>
        </patternFill>
      </fill>
    </dxf>
    <dxf>
      <fill>
        <patternFill>
          <bgColor rgb="FFFFC7CE"/>
        </patternFill>
      </fill>
    </dxf>
    <dxf>
      <fill>
        <patternFill>
          <bgColor rgb="FFC6EFCE"/>
        </patternFill>
      </fill>
    </dxf>
    <dxf>
      <fill>
        <patternFill>
          <bgColor rgb="FFFFC7CE"/>
        </patternFill>
      </fill>
    </dxf>
    <dxf>
      <fill>
        <patternFill>
          <bgColor rgb="FFC6EFCE"/>
        </patternFill>
      </fill>
    </dxf>
    <dxf>
      <fill>
        <patternFill>
          <bgColor rgb="FFC6EFCE"/>
        </patternFill>
      </fill>
    </dxf>
    <dxf>
      <fill>
        <patternFill>
          <bgColor rgb="FFFFC7CE"/>
        </patternFill>
      </fill>
    </dxf>
    <dxf>
      <fill>
        <patternFill>
          <bgColor rgb="FFC6EFCE"/>
        </patternFill>
      </fill>
    </dxf>
    <dxf>
      <fill>
        <patternFill>
          <bgColor rgb="FFFFC7CE"/>
        </patternFill>
      </fill>
    </dxf>
    <dxf>
      <fill>
        <patternFill>
          <bgColor rgb="FFFFC7CE"/>
        </patternFill>
      </fill>
    </dxf>
    <dxf>
      <fill>
        <patternFill>
          <bgColor rgb="FFC6EFCE"/>
        </patternFill>
      </fill>
    </dxf>
    <dxf>
      <fill>
        <patternFill>
          <bgColor rgb="FFFFC7CE"/>
        </patternFill>
      </fill>
    </dxf>
    <dxf>
      <fill>
        <patternFill>
          <bgColor rgb="FFC6EFCE"/>
        </patternFill>
      </fill>
    </dxf>
    <dxf>
      <fill>
        <patternFill>
          <bgColor rgb="FFC6EFCE"/>
        </patternFill>
      </fill>
    </dxf>
    <dxf>
      <fill>
        <patternFill>
          <bgColor rgb="FFFFC7CE"/>
        </patternFill>
      </fill>
    </dxf>
    <dxf>
      <fill>
        <patternFill>
          <bgColor rgb="FFC6EFCE"/>
        </patternFill>
      </fill>
    </dxf>
    <dxf>
      <fill>
        <patternFill>
          <bgColor rgb="FFFFC7CE"/>
        </patternFill>
      </fill>
    </dxf>
    <dxf>
      <fill>
        <patternFill>
          <bgColor rgb="FFFFC7CE"/>
        </patternFill>
      </fill>
    </dxf>
    <dxf>
      <fill>
        <patternFill>
          <bgColor rgb="FFC6EFCE"/>
        </patternFill>
      </fill>
    </dxf>
    <dxf>
      <fill>
        <patternFill>
          <bgColor rgb="FFFFC7CE"/>
        </patternFill>
      </fill>
    </dxf>
    <dxf>
      <fill>
        <patternFill>
          <bgColor rgb="FFC6EFCE"/>
        </patternFill>
      </fill>
    </dxf>
    <dxf>
      <fill>
        <patternFill>
          <bgColor rgb="FFC6EFCE"/>
        </patternFill>
      </fill>
    </dxf>
    <dxf>
      <fill>
        <patternFill>
          <bgColor rgb="FFFFC7CE"/>
        </patternFill>
      </fill>
    </dxf>
    <dxf>
      <fill>
        <patternFill>
          <bgColor rgb="FFC6EFCE"/>
        </patternFill>
      </fill>
    </dxf>
    <dxf>
      <fill>
        <patternFill>
          <bgColor rgb="FFFFC7CE"/>
        </patternFill>
      </fill>
    </dxf>
    <dxf>
      <fill>
        <patternFill>
          <bgColor rgb="FFFFC7CE"/>
        </patternFill>
      </fill>
    </dxf>
    <dxf>
      <fill>
        <patternFill>
          <bgColor rgb="FFC6EFCE"/>
        </patternFill>
      </fill>
    </dxf>
    <dxf>
      <fill>
        <patternFill>
          <bgColor rgb="FFFFC7CE"/>
        </patternFill>
      </fill>
    </dxf>
    <dxf>
      <fill>
        <patternFill>
          <bgColor rgb="FFC6EFCE"/>
        </patternFill>
      </fill>
    </dxf>
    <dxf>
      <fill>
        <patternFill>
          <bgColor rgb="FFC6EFCE"/>
        </patternFill>
      </fill>
    </dxf>
    <dxf>
      <fill>
        <patternFill>
          <bgColor rgb="FFFFC7CE"/>
        </patternFill>
      </fill>
    </dxf>
    <dxf>
      <fill>
        <patternFill>
          <bgColor rgb="FFC6EFCE"/>
        </patternFill>
      </fill>
    </dxf>
    <dxf>
      <fill>
        <patternFill>
          <bgColor rgb="FFFFC7CE"/>
        </patternFill>
      </fill>
    </dxf>
    <dxf>
      <fill>
        <patternFill>
          <bgColor rgb="FFFFC7CE"/>
        </patternFill>
      </fill>
    </dxf>
    <dxf>
      <fill>
        <patternFill>
          <bgColor rgb="FFC6EFCE"/>
        </patternFill>
      </fill>
    </dxf>
    <dxf>
      <fill>
        <patternFill>
          <bgColor rgb="FFFFC7CE"/>
        </patternFill>
      </fill>
    </dxf>
    <dxf>
      <fill>
        <patternFill>
          <bgColor rgb="FFC6EFCE"/>
        </patternFill>
      </fill>
    </dxf>
    <dxf>
      <fill>
        <patternFill>
          <bgColor rgb="FFC6EFCE"/>
        </patternFill>
      </fill>
    </dxf>
    <dxf>
      <fill>
        <patternFill>
          <bgColor rgb="FFFFC7CE"/>
        </patternFill>
      </fill>
    </dxf>
    <dxf>
      <fill>
        <patternFill>
          <bgColor rgb="FFFFC7CE"/>
        </patternFill>
      </fill>
    </dxf>
    <dxf>
      <fill>
        <patternFill>
          <bgColor rgb="FFC6EFCE"/>
        </patternFill>
      </fill>
    </dxf>
    <dxf>
      <fill>
        <patternFill>
          <bgColor rgb="FFC6EFCE"/>
        </patternFill>
      </fill>
    </dxf>
    <dxf>
      <fill>
        <patternFill>
          <bgColor rgb="FFFFC7CE"/>
        </patternFill>
      </fill>
    </dxf>
    <dxf>
      <fill>
        <patternFill>
          <bgColor rgb="FFC6EFCE"/>
        </patternFill>
      </fill>
    </dxf>
    <dxf>
      <fill>
        <patternFill>
          <bgColor rgb="FFFFC7CE"/>
        </patternFill>
      </fill>
    </dxf>
    <dxf>
      <fill>
        <patternFill>
          <bgColor rgb="FFC6EFCE"/>
        </patternFill>
      </fill>
    </dxf>
    <dxf>
      <fill>
        <patternFill>
          <bgColor rgb="FFFFC7CE"/>
        </patternFill>
      </fill>
    </dxf>
    <dxf>
      <fill>
        <patternFill>
          <bgColor rgb="FFFFC7CE"/>
        </patternFill>
      </fill>
    </dxf>
    <dxf>
      <fill>
        <patternFill>
          <bgColor rgb="FFC6EFCE"/>
        </patternFill>
      </fill>
    </dxf>
    <dxf>
      <fill>
        <patternFill>
          <bgColor rgb="FFFFC7CE"/>
        </patternFill>
      </fill>
    </dxf>
    <dxf>
      <fill>
        <patternFill>
          <bgColor rgb="FFC6EFCE"/>
        </patternFill>
      </fill>
    </dxf>
    <dxf>
      <fill>
        <patternFill>
          <bgColor rgb="FFC6EFCE"/>
        </patternFill>
      </fill>
    </dxf>
    <dxf>
      <fill>
        <patternFill>
          <bgColor rgb="FFFFC7CE"/>
        </patternFill>
      </fill>
    </dxf>
    <dxf>
      <fill>
        <patternFill>
          <bgColor rgb="FFC6EFCE"/>
        </patternFill>
      </fill>
    </dxf>
    <dxf>
      <fill>
        <patternFill>
          <bgColor rgb="FFFFC7CE"/>
        </patternFill>
      </fill>
    </dxf>
    <dxf>
      <fill>
        <patternFill>
          <bgColor rgb="FFFFC7CE"/>
        </patternFill>
      </fill>
    </dxf>
    <dxf>
      <fill>
        <patternFill>
          <bgColor rgb="FFC6EFCE"/>
        </patternFill>
      </fill>
    </dxf>
    <dxf>
      <fill>
        <patternFill>
          <bgColor rgb="FFFFC7CE"/>
        </patternFill>
      </fill>
    </dxf>
    <dxf>
      <fill>
        <patternFill>
          <bgColor rgb="FFC6EFCE"/>
        </patternFill>
      </fill>
    </dxf>
    <dxf>
      <fill>
        <patternFill>
          <bgColor rgb="FFC6EFCE"/>
        </patternFill>
      </fill>
    </dxf>
    <dxf>
      <fill>
        <patternFill>
          <bgColor rgb="FFFFC7CE"/>
        </patternFill>
      </fill>
    </dxf>
    <dxf>
      <fill>
        <patternFill>
          <bgColor rgb="FFC6EFCE"/>
        </patternFill>
      </fill>
    </dxf>
    <dxf>
      <fill>
        <patternFill>
          <bgColor rgb="FFFFC7CE"/>
        </patternFill>
      </fill>
    </dxf>
    <dxf>
      <fill>
        <patternFill>
          <bgColor rgb="FFFFC7CE"/>
        </patternFill>
      </fill>
    </dxf>
    <dxf>
      <fill>
        <patternFill>
          <bgColor rgb="FFC6EFCE"/>
        </patternFill>
      </fill>
    </dxf>
    <dxf>
      <fill>
        <patternFill>
          <bgColor rgb="FFFFC7CE"/>
        </patternFill>
      </fill>
    </dxf>
    <dxf>
      <fill>
        <patternFill>
          <bgColor rgb="FFC6EFCE"/>
        </patternFill>
      </fill>
    </dxf>
    <dxf>
      <fill>
        <patternFill>
          <bgColor rgb="FFC6EFCE"/>
        </patternFill>
      </fill>
    </dxf>
    <dxf>
      <fill>
        <patternFill>
          <bgColor rgb="FFFFC7CE"/>
        </patternFill>
      </fill>
    </dxf>
    <dxf>
      <fill>
        <patternFill>
          <bgColor rgb="FFC6EFCE"/>
        </patternFill>
      </fill>
    </dxf>
    <dxf>
      <fill>
        <patternFill>
          <bgColor rgb="FFFFC7CE"/>
        </patternFill>
      </fill>
    </dxf>
    <dxf>
      <fill>
        <patternFill>
          <bgColor rgb="FFFFC7CE"/>
        </patternFill>
      </fill>
    </dxf>
    <dxf>
      <fill>
        <patternFill>
          <bgColor rgb="FFC6EFCE"/>
        </patternFill>
      </fill>
    </dxf>
    <dxf>
      <fill>
        <patternFill>
          <bgColor rgb="FFFFC7CE"/>
        </patternFill>
      </fill>
    </dxf>
    <dxf>
      <fill>
        <patternFill>
          <bgColor rgb="FFC6EFCE"/>
        </patternFill>
      </fill>
    </dxf>
    <dxf>
      <fill>
        <patternFill>
          <bgColor rgb="FFC6EFCE"/>
        </patternFill>
      </fill>
    </dxf>
    <dxf>
      <fill>
        <patternFill>
          <bgColor rgb="FFFFC7CE"/>
        </patternFill>
      </fill>
    </dxf>
    <dxf>
      <fill>
        <patternFill>
          <bgColor rgb="FFC6EFCE"/>
        </patternFill>
      </fill>
    </dxf>
    <dxf>
      <fill>
        <patternFill>
          <bgColor rgb="FFFFC7CE"/>
        </patternFill>
      </fill>
    </dxf>
    <dxf>
      <fill>
        <patternFill>
          <bgColor rgb="FFFFC7CE"/>
        </patternFill>
      </fill>
    </dxf>
    <dxf>
      <fill>
        <patternFill>
          <bgColor rgb="FFC6EFCE"/>
        </patternFill>
      </fill>
    </dxf>
    <dxf>
      <fill>
        <patternFill>
          <bgColor rgb="FFFFC7CE"/>
        </patternFill>
      </fill>
    </dxf>
    <dxf>
      <fill>
        <patternFill>
          <bgColor rgb="FFC6EFCE"/>
        </patternFill>
      </fill>
    </dxf>
    <dxf>
      <fill>
        <patternFill>
          <bgColor rgb="FFC6EFCE"/>
        </patternFill>
      </fill>
    </dxf>
    <dxf>
      <fill>
        <patternFill>
          <bgColor rgb="FFFFC7CE"/>
        </patternFill>
      </fill>
    </dxf>
    <dxf>
      <fill>
        <patternFill>
          <bgColor rgb="FFC6EFCE"/>
        </patternFill>
      </fill>
    </dxf>
    <dxf>
      <fill>
        <patternFill>
          <bgColor rgb="FFFFC7CE"/>
        </patternFill>
      </fill>
    </dxf>
    <dxf>
      <fill>
        <patternFill>
          <bgColor rgb="FFFFC7CE"/>
        </patternFill>
      </fill>
    </dxf>
    <dxf>
      <fill>
        <patternFill>
          <bgColor rgb="FFC6EFCE"/>
        </patternFill>
      </fill>
    </dxf>
    <dxf>
      <fill>
        <patternFill>
          <bgColor rgb="FFFFC7CE"/>
        </patternFill>
      </fill>
    </dxf>
    <dxf>
      <fill>
        <patternFill>
          <bgColor rgb="FFC6EFCE"/>
        </patternFill>
      </fill>
    </dxf>
    <dxf>
      <fill>
        <patternFill>
          <bgColor rgb="FFC6EFCE"/>
        </patternFill>
      </fill>
    </dxf>
    <dxf>
      <fill>
        <patternFill>
          <bgColor rgb="FFFFC7CE"/>
        </patternFill>
      </fill>
    </dxf>
    <dxf>
      <fill>
        <patternFill>
          <bgColor rgb="FFC6EFCE"/>
        </patternFill>
      </fill>
    </dxf>
    <dxf>
      <fill>
        <patternFill>
          <bgColor rgb="FFFFC7CE"/>
        </patternFill>
      </fill>
    </dxf>
    <dxf>
      <fill>
        <patternFill>
          <bgColor rgb="FFFFC7CE"/>
        </patternFill>
      </fill>
    </dxf>
    <dxf>
      <fill>
        <patternFill>
          <bgColor rgb="FFC6EFCE"/>
        </patternFill>
      </fill>
    </dxf>
    <dxf>
      <fill>
        <patternFill>
          <bgColor rgb="FFFFC7CE"/>
        </patternFill>
      </fill>
    </dxf>
    <dxf>
      <fill>
        <patternFill>
          <bgColor rgb="FFC6EFCE"/>
        </patternFill>
      </fill>
    </dxf>
    <dxf>
      <font>
        <color rgb="FFF2F2F2"/>
      </font>
      <fill>
        <patternFill>
          <bgColor rgb="FFF2F2F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190500</xdr:colOff>
      <xdr:row>2</xdr:row>
      <xdr:rowOff>152400</xdr:rowOff>
    </xdr:from>
    <xdr:ext cx="2352675" cy="904875"/>
    <xdr:pic>
      <xdr:nvPicPr>
        <xdr:cNvPr id="5" name="Picture 4">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1"/>
        <a:stretch>
          <a:fillRect/>
        </a:stretch>
      </xdr:blipFill>
      <xdr:spPr bwMode="auto">
        <a:xfrm>
          <a:off x="628650" y="533400"/>
          <a:ext cx="2352675" cy="904875"/>
        </a:xfrm>
        <a:prstGeom prst="rect">
          <a:avLst/>
        </a:prstGeom>
        <a:noFill/>
        <a:ln>
          <a:noFill/>
        </a:ln>
      </xdr:spPr>
    </xdr:pic>
    <xdr:clientData/>
  </xdr:oneCellAnchor>
  <xdr:oneCellAnchor>
    <xdr:from>
      <xdr:col>16</xdr:col>
      <xdr:colOff>304800</xdr:colOff>
      <xdr:row>33</xdr:row>
      <xdr:rowOff>38100</xdr:rowOff>
    </xdr:from>
    <xdr:ext cx="333375" cy="371475"/>
    <xdr:pic>
      <xdr:nvPicPr>
        <xdr:cNvPr id="6" name="Picture 5">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2"/>
        <a:stretch>
          <a:fillRect/>
        </a:stretch>
      </xdr:blipFill>
      <xdr:spPr>
        <a:xfrm>
          <a:off x="15792450" y="7134225"/>
          <a:ext cx="333375" cy="371475"/>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oneCellAnchor>
    <xdr:from>
      <xdr:col>1</xdr:col>
      <xdr:colOff>304800</xdr:colOff>
      <xdr:row>2</xdr:row>
      <xdr:rowOff>85725</xdr:rowOff>
    </xdr:from>
    <xdr:ext cx="2390775" cy="914400"/>
    <xdr:pic>
      <xdr:nvPicPr>
        <xdr:cNvPr id="5" name="Picture 4">
          <a:extLst>
            <a:ext uri="{FF2B5EF4-FFF2-40B4-BE49-F238E27FC236}">
              <a16:creationId xmlns:a16="http://schemas.microsoft.com/office/drawing/2014/main" id="{00000000-0008-0000-0500-000005000000}"/>
            </a:ext>
          </a:extLst>
        </xdr:cNvPr>
        <xdr:cNvPicPr>
          <a:picLocks noChangeAspect="1" noChangeArrowheads="1"/>
        </xdr:cNvPicPr>
      </xdr:nvPicPr>
      <xdr:blipFill>
        <a:blip xmlns:r="http://schemas.openxmlformats.org/officeDocument/2006/relationships" r:embed="rId1"/>
        <a:stretch>
          <a:fillRect/>
        </a:stretch>
      </xdr:blipFill>
      <xdr:spPr bwMode="auto">
        <a:xfrm>
          <a:off x="638175" y="466725"/>
          <a:ext cx="2390775" cy="914400"/>
        </a:xfrm>
        <a:prstGeom prst="rect">
          <a:avLst/>
        </a:prstGeom>
        <a:noFill/>
        <a:ln>
          <a:noFill/>
        </a:ln>
      </xdr:spPr>
    </xdr:pic>
    <xdr:clientData/>
  </xdr:oneCellAnchor>
  <xdr:oneCellAnchor>
    <xdr:from>
      <xdr:col>8</xdr:col>
      <xdr:colOff>228600</xdr:colOff>
      <xdr:row>30</xdr:row>
      <xdr:rowOff>38100</xdr:rowOff>
    </xdr:from>
    <xdr:ext cx="342900" cy="381000"/>
    <xdr:pic>
      <xdr:nvPicPr>
        <xdr:cNvPr id="6" name="Picture 5">
          <a:extLst>
            <a:ext uri="{FF2B5EF4-FFF2-40B4-BE49-F238E27FC236}">
              <a16:creationId xmlns:a16="http://schemas.microsoft.com/office/drawing/2014/main" id="{00000000-0008-0000-0500-000006000000}"/>
            </a:ext>
          </a:extLst>
        </xdr:cNvPr>
        <xdr:cNvPicPr>
          <a:picLocks noChangeAspect="1"/>
        </xdr:cNvPicPr>
      </xdr:nvPicPr>
      <xdr:blipFill>
        <a:blip xmlns:r="http://schemas.openxmlformats.org/officeDocument/2006/relationships" r:embed="rId2"/>
        <a:stretch>
          <a:fillRect/>
        </a:stretch>
      </xdr:blipFill>
      <xdr:spPr>
        <a:xfrm>
          <a:off x="13315950" y="5800725"/>
          <a:ext cx="342900" cy="381000"/>
        </a:xfrm>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support@canalyst.com?subject=Canalyst%20Support:%20GP%20Strategies%20Corp.%20GPX%20US&amp;body=Model%20Version:%20Q1-2019.21" TargetMode="External"/><Relationship Id="rId1" Type="http://schemas.openxmlformats.org/officeDocument/2006/relationships/hyperlink" Target="mailto:support@canalyst.com?subject=Canalyst%20Support:%20GP%20Strategies%20Corp.%20GPX%20US&amp;body=Model%20Version:%20Q3-2018.22"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2.bin"/><Relationship Id="rId1" Type="http://schemas.openxmlformats.org/officeDocument/2006/relationships/hyperlink" Target="https://www.gpstrategies.com/about-us/investors" TargetMode="External"/><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www.prnewswire.com/news-releases/gp-strategies-reports-first-quarter-2020-financial-results-301056698.html" TargetMode="External"/><Relationship Id="rId1" Type="http://schemas.openxmlformats.org/officeDocument/2006/relationships/hyperlink" Target="http://www.gpstrategies.com/wp-content/uploads/2019/11/GPX-EarningsPressRelease-3Q2019-FINAL.pdf" TargetMode="External"/><Relationship Id="rId5" Type="http://schemas.openxmlformats.org/officeDocument/2006/relationships/comments" Target="../comments3.xml"/><Relationship Id="rId4"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8" Type="http://schemas.openxmlformats.org/officeDocument/2006/relationships/hyperlink" Target="http://newsroom.gpstrategies.com/2017-02-28-GP-Strategies-Reports-Fourth-Quarter-2016-Earnings-of-0-40-Per-Share" TargetMode="External"/><Relationship Id="rId13" Type="http://schemas.openxmlformats.org/officeDocument/2006/relationships/hyperlink" Target="https://newsroom.gpstrategies.com/2019-08-01-GP-Strategies-Reports-Second-Quarter-2019-Financial-Results?utm_source=feedburner&amp;utm_medium=feed&amp;utm_campaign=Feed%3A+GPStrategiesNewsroomInvestors+%28Newsroom+%7C+Investors%29" TargetMode="External"/><Relationship Id="rId18" Type="http://schemas.openxmlformats.org/officeDocument/2006/relationships/hyperlink" Target="https://www.prnewswire.com/news-releases/gp-strategies-reports-first-quarter-2020-financial-results-301056698.html" TargetMode="External"/><Relationship Id="rId3" Type="http://schemas.openxmlformats.org/officeDocument/2006/relationships/hyperlink" Target="http://newsroom.gpstrategies.com/2018-05-03-GP-Strategies-Reports-First-Quarter-2018-Financial-Results" TargetMode="External"/><Relationship Id="rId21" Type="http://schemas.openxmlformats.org/officeDocument/2006/relationships/drawing" Target="../drawings/drawing2.xml"/><Relationship Id="rId7" Type="http://schemas.openxmlformats.org/officeDocument/2006/relationships/hyperlink" Target="https://resources.gpstrategies.com/wp-content/uploads/2017/05/GPX_EarningsPressRelease-1Q2017.pdf" TargetMode="External"/><Relationship Id="rId12" Type="http://schemas.openxmlformats.org/officeDocument/2006/relationships/hyperlink" Target="https://newsroom.gpstrategies.com/2019-05-10-GP-Strategies-Reports-First-Quarter-2019-Financial-Results?utm_source=feedburner&amp;utm_medium=feed&amp;utm_campaign=Feed%3A+GPStrategiesNewsroomInvestors+%28Newsroom+%7C+Investors%29" TargetMode="External"/><Relationship Id="rId17" Type="http://schemas.openxmlformats.org/officeDocument/2006/relationships/hyperlink" Target="https://www.gpstrategies.com/wp-content/uploads/2020/03/GPX-EarningsPressRelease-4Q2019-FINAL.pdf" TargetMode="External"/><Relationship Id="rId2" Type="http://schemas.openxmlformats.org/officeDocument/2006/relationships/hyperlink" Target="http://newsroom.gpstrategies.com/2018-07-31-GP-Strategies-Reports-Second-Quarter-2018-Financial-Results" TargetMode="External"/><Relationship Id="rId16" Type="http://schemas.openxmlformats.org/officeDocument/2006/relationships/hyperlink" Target="https://www.gpstrategies.com/wp-content/uploads/2020/03/GPX-EarningsPressRelease-4Q2019-FINAL.pdf" TargetMode="External"/><Relationship Id="rId20" Type="http://schemas.openxmlformats.org/officeDocument/2006/relationships/hyperlink" Target="https://www.gpstrategies.com/wp-content/uploads/2020/08/GPX-EarningsPressRelease-2Q2020-FINAL.pdf" TargetMode="External"/><Relationship Id="rId1" Type="http://schemas.openxmlformats.org/officeDocument/2006/relationships/hyperlink" Target="http://newsroom.gpstrategies.com/2018-11-06-GP-Strategies-Reports-Third-Quarter-2018-Financial-Results?utm_source=feedburner&amp;utm_medium=feed&amp;utm_campaign=Feed%3A+GPStrategiesNewsroomInvestors+%28Newsroom+%7C+Investors%29" TargetMode="External"/><Relationship Id="rId6" Type="http://schemas.openxmlformats.org/officeDocument/2006/relationships/hyperlink" Target="http://newsroom.gpstrategies.com/2017-07-27-GP-Strategies-Reports-Second-Quarter-2017-Financial-Results" TargetMode="External"/><Relationship Id="rId11" Type="http://schemas.openxmlformats.org/officeDocument/2006/relationships/hyperlink" Target="https://www.gpstrategies.com/wp-content/uploads/2019/05/GPX-EarningsPressRelease-1Q2019-FINAL.pdf" TargetMode="External"/><Relationship Id="rId5" Type="http://schemas.openxmlformats.org/officeDocument/2006/relationships/hyperlink" Target="http://newsroom.gpstrategies.com/2017-11-02-GP-Strategies-Reports-Third-Quarter-2017-Financial-Results" TargetMode="External"/><Relationship Id="rId15" Type="http://schemas.openxmlformats.org/officeDocument/2006/relationships/hyperlink" Target="http://www.gpstrategies.com/wp-content/uploads/2019/11/GPX-EarningsPressRelease-3Q2019-FINAL.pdf" TargetMode="External"/><Relationship Id="rId10" Type="http://schemas.openxmlformats.org/officeDocument/2006/relationships/hyperlink" Target="https://newsroom.gpstrategies.com/2019-03-18-GP-Strategies-Reports-Fourth-Quarter-2018-Financial-Results-and-Positive-Outlook-for-2019" TargetMode="External"/><Relationship Id="rId19" Type="http://schemas.openxmlformats.org/officeDocument/2006/relationships/hyperlink" Target="https://www.prnewswire.com/news-releases/gp-strategies-reports-first-quarter-2020-financial-results-301056698.html" TargetMode="External"/><Relationship Id="rId4" Type="http://schemas.openxmlformats.org/officeDocument/2006/relationships/hyperlink" Target="https://www.prnewswire.com/news-releases/gp-strategies-reports-record-2017-revenue-300606097.html" TargetMode="External"/><Relationship Id="rId9" Type="http://schemas.openxmlformats.org/officeDocument/2006/relationships/hyperlink" Target="https://www.gpstrategies.com/about-us/investors" TargetMode="External"/><Relationship Id="rId14" Type="http://schemas.openxmlformats.org/officeDocument/2006/relationships/hyperlink" Target="http://www.gpstrategies.com/wp-content/uploads/2019/11/GPX-EarningsPressRelease-3Q2019-FINAL.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257A49-BD00-403A-AECA-4B76E64E3467}">
  <sheetPr codeName="Sheet5">
    <pageSetUpPr fitToPage="1"/>
  </sheetPr>
  <dimension ref="A1:W50"/>
  <sheetViews>
    <sheetView showGridLines="0" zoomScaleSheetLayoutView="100" zoomScalePageLayoutView="97" workbookViewId="0"/>
  </sheetViews>
  <sheetFormatPr defaultColWidth="8.85546875" defaultRowHeight="15" x14ac:dyDescent="0.25"/>
  <cols>
    <col min="1" max="1" width="5.7109375" style="16" customWidth="1"/>
    <col min="2" max="2" width="7.85546875" style="16" customWidth="1"/>
    <col min="3" max="3" width="10.28515625" style="16" customWidth="1"/>
    <col min="4" max="4" width="13.7109375" style="16" customWidth="1"/>
    <col min="5" max="5" width="5.42578125" style="16" customWidth="1"/>
    <col min="6" max="6" width="13.7109375" style="16" customWidth="1"/>
    <col min="7" max="7" width="6.85546875" style="16" customWidth="1"/>
    <col min="8" max="8" width="31.7109375" style="16" customWidth="1"/>
    <col min="9" max="15" width="8.85546875" style="16" customWidth="1"/>
    <col min="16" max="16" width="45.7109375" style="16" customWidth="1"/>
    <col min="17" max="18" width="8.85546875" style="16" customWidth="1"/>
    <col min="19" max="16384" width="8.85546875" style="16"/>
  </cols>
  <sheetData>
    <row r="1" spans="1:17" x14ac:dyDescent="0.25">
      <c r="A1" s="584"/>
    </row>
    <row r="2" spans="1:17" x14ac:dyDescent="0.25">
      <c r="B2" s="93"/>
      <c r="C2" s="93"/>
      <c r="D2" s="93"/>
      <c r="E2" s="93"/>
      <c r="F2" s="15"/>
      <c r="G2" s="15"/>
      <c r="H2" s="15"/>
      <c r="I2" s="15"/>
      <c r="J2" s="15"/>
      <c r="K2" s="15"/>
      <c r="L2" s="15"/>
      <c r="M2" s="15"/>
      <c r="N2" s="15"/>
      <c r="O2" s="15"/>
      <c r="P2" s="15"/>
      <c r="Q2" s="15"/>
    </row>
    <row r="3" spans="1:17" x14ac:dyDescent="0.25">
      <c r="B3" s="93"/>
      <c r="C3" s="93"/>
      <c r="D3" s="93"/>
      <c r="E3" s="93"/>
      <c r="F3" s="15"/>
      <c r="G3" s="15"/>
      <c r="H3" s="15"/>
      <c r="I3" s="15"/>
      <c r="J3" s="15"/>
      <c r="K3" s="15"/>
      <c r="L3" s="15"/>
      <c r="M3" s="15"/>
      <c r="N3" s="15"/>
      <c r="O3" s="15"/>
      <c r="P3" s="15"/>
      <c r="Q3" s="15"/>
    </row>
    <row r="4" spans="1:17" x14ac:dyDescent="0.25">
      <c r="B4" s="93"/>
      <c r="C4" s="93"/>
      <c r="D4" s="93"/>
      <c r="E4" s="93"/>
      <c r="F4" s="15"/>
      <c r="G4" s="15"/>
      <c r="H4" s="15"/>
      <c r="I4" s="15"/>
      <c r="J4" s="15"/>
      <c r="K4" s="15"/>
      <c r="L4" s="15"/>
      <c r="M4" s="15"/>
      <c r="N4" s="15"/>
      <c r="O4" s="15"/>
      <c r="P4" s="15"/>
      <c r="Q4" s="15"/>
    </row>
    <row r="5" spans="1:17" x14ac:dyDescent="0.25">
      <c r="B5" s="93"/>
      <c r="C5" s="93"/>
      <c r="D5" s="93"/>
      <c r="E5" s="93"/>
      <c r="F5" s="15"/>
      <c r="G5" s="15"/>
      <c r="H5" s="15"/>
      <c r="I5" s="15"/>
      <c r="J5" s="15"/>
      <c r="K5" s="15"/>
      <c r="L5" s="15"/>
      <c r="M5" s="15"/>
      <c r="N5" s="15"/>
      <c r="O5" s="15"/>
      <c r="P5" s="15"/>
      <c r="Q5" s="15"/>
    </row>
    <row r="6" spans="1:17" ht="18.75" customHeight="1" x14ac:dyDescent="0.25">
      <c r="B6" s="93"/>
      <c r="C6" s="93"/>
      <c r="D6" s="93"/>
      <c r="E6" s="93"/>
      <c r="F6" s="15"/>
      <c r="G6" s="15"/>
      <c r="H6" s="15"/>
      <c r="I6" s="15"/>
      <c r="J6" s="15"/>
      <c r="K6" s="15"/>
      <c r="L6" s="15"/>
      <c r="M6" s="77" t="s">
        <v>0</v>
      </c>
      <c r="N6" s="15"/>
      <c r="O6" s="15"/>
      <c r="P6" s="15"/>
      <c r="Q6" s="15"/>
    </row>
    <row r="7" spans="1:17" ht="18.75" customHeight="1" x14ac:dyDescent="0.3">
      <c r="B7" s="93"/>
      <c r="C7" s="93"/>
      <c r="D7" s="93"/>
      <c r="E7" s="93"/>
      <c r="F7" s="15"/>
      <c r="G7" s="15"/>
      <c r="H7" s="15"/>
      <c r="I7" s="15"/>
      <c r="J7" s="15"/>
      <c r="K7" s="15"/>
      <c r="L7" s="15"/>
      <c r="M7" s="1" t="s">
        <v>1</v>
      </c>
      <c r="N7" s="1"/>
      <c r="O7" s="1"/>
      <c r="P7" s="15"/>
      <c r="Q7" s="15"/>
    </row>
    <row r="8" spans="1:17" ht="28.5" customHeight="1" x14ac:dyDescent="0.45">
      <c r="B8" s="15"/>
      <c r="C8" s="15"/>
      <c r="D8" s="15"/>
      <c r="E8" s="15"/>
      <c r="F8" s="12"/>
      <c r="G8" s="11"/>
      <c r="H8" s="11"/>
      <c r="I8" s="11"/>
      <c r="J8" s="11"/>
      <c r="K8" s="11"/>
      <c r="L8" s="15"/>
      <c r="M8" s="15"/>
      <c r="N8" s="15"/>
      <c r="O8" s="15"/>
      <c r="P8" s="15"/>
      <c r="Q8" s="15"/>
    </row>
    <row r="9" spans="1:17" ht="18.75" customHeight="1" x14ac:dyDescent="0.25">
      <c r="B9" s="15"/>
      <c r="C9" s="17" t="s">
        <v>2</v>
      </c>
      <c r="D9" s="78"/>
      <c r="E9" s="78"/>
      <c r="F9" s="78"/>
      <c r="G9" s="78"/>
      <c r="H9" s="79" t="str">
        <f>Model!A1</f>
        <v>GP Strategies Corp.</v>
      </c>
      <c r="I9" s="78"/>
      <c r="J9" s="78"/>
      <c r="K9" s="78"/>
      <c r="L9" s="78"/>
      <c r="M9" s="17" t="s">
        <v>3</v>
      </c>
      <c r="N9" s="78"/>
      <c r="O9" s="78"/>
      <c r="P9" s="2" t="s">
        <v>474</v>
      </c>
      <c r="Q9" s="15"/>
    </row>
    <row r="10" spans="1:17" ht="18.75" customHeight="1" x14ac:dyDescent="0.3">
      <c r="B10" s="15"/>
      <c r="C10" s="80"/>
      <c r="D10" s="15"/>
      <c r="E10" s="15"/>
      <c r="F10" s="15"/>
      <c r="G10" s="15"/>
      <c r="H10" s="15"/>
      <c r="I10" s="15"/>
      <c r="J10" s="15"/>
      <c r="K10" s="15"/>
      <c r="L10" s="15"/>
      <c r="M10" s="15"/>
      <c r="N10" s="15"/>
      <c r="O10" s="15"/>
      <c r="P10" s="11"/>
      <c r="Q10" s="15"/>
    </row>
    <row r="11" spans="1:17" ht="18.75" customHeight="1" x14ac:dyDescent="0.25">
      <c r="B11" s="15"/>
      <c r="C11" s="17" t="s">
        <v>4</v>
      </c>
      <c r="D11" s="15"/>
      <c r="E11" s="15"/>
      <c r="F11" s="15"/>
      <c r="G11" s="15"/>
      <c r="H11" s="18">
        <f ca="1">OFFSET('Update Log'!$C$10,1,0,1,1)</f>
        <v>44050</v>
      </c>
      <c r="I11" s="15"/>
      <c r="J11" s="15"/>
      <c r="K11" s="15"/>
      <c r="L11" s="15"/>
      <c r="M11" s="15"/>
      <c r="N11" s="15"/>
      <c r="O11" s="15"/>
      <c r="P11" s="11"/>
      <c r="Q11" s="15"/>
    </row>
    <row r="12" spans="1:17" ht="18.75" customHeight="1" x14ac:dyDescent="0.3">
      <c r="B12" s="15"/>
      <c r="C12" s="15"/>
      <c r="D12" s="15"/>
      <c r="E12" s="15"/>
      <c r="F12" s="15"/>
      <c r="G12" s="15"/>
      <c r="H12" s="81"/>
      <c r="I12" s="15"/>
      <c r="J12" s="15"/>
      <c r="K12" s="15"/>
      <c r="L12" s="15"/>
      <c r="M12" s="15"/>
      <c r="N12" s="15"/>
      <c r="O12" s="15"/>
      <c r="P12" s="11"/>
      <c r="Q12" s="15"/>
    </row>
    <row r="13" spans="1:17" ht="18.75" customHeight="1" x14ac:dyDescent="0.25">
      <c r="B13" s="15"/>
      <c r="C13" s="17" t="s">
        <v>5</v>
      </c>
      <c r="D13" s="15"/>
      <c r="E13" s="15"/>
      <c r="F13" s="15"/>
      <c r="G13" s="15"/>
      <c r="H13" s="82" t="str">
        <f ca="1">OFFSET('Update Log'!$E$10,1,0,1,1)</f>
        <v>Initial (Press Release)</v>
      </c>
      <c r="I13" s="15"/>
      <c r="J13" s="15"/>
      <c r="K13" s="15"/>
      <c r="L13" s="15"/>
      <c r="M13" s="15"/>
      <c r="N13" s="15"/>
      <c r="O13" s="15"/>
      <c r="P13" s="11"/>
      <c r="Q13" s="15"/>
    </row>
    <row r="14" spans="1:17" x14ac:dyDescent="0.25">
      <c r="B14" s="15"/>
      <c r="C14" s="15"/>
      <c r="D14" s="15"/>
      <c r="E14" s="15"/>
      <c r="F14" s="15"/>
      <c r="G14" s="15"/>
      <c r="H14" s="15"/>
      <c r="I14" s="15"/>
      <c r="J14" s="15"/>
      <c r="K14" s="15"/>
      <c r="L14" s="15"/>
      <c r="M14" s="15"/>
      <c r="N14" s="15"/>
      <c r="O14" s="15"/>
      <c r="P14" s="11"/>
      <c r="Q14" s="15"/>
    </row>
    <row r="15" spans="1:17" ht="18.75" customHeight="1" x14ac:dyDescent="0.25">
      <c r="B15" s="15"/>
      <c r="C15" s="17" t="s">
        <v>6</v>
      </c>
      <c r="D15" s="78"/>
      <c r="E15" s="78"/>
      <c r="F15" s="78"/>
      <c r="G15" s="78"/>
      <c r="H15" s="83" t="s">
        <v>7</v>
      </c>
      <c r="I15" s="15"/>
      <c r="J15" s="84"/>
      <c r="K15" s="15"/>
      <c r="L15" s="15"/>
      <c r="M15" s="85"/>
      <c r="N15" s="15"/>
      <c r="O15" s="15"/>
      <c r="P15" s="11"/>
      <c r="Q15" s="15"/>
    </row>
    <row r="16" spans="1:17" ht="15" customHeight="1" x14ac:dyDescent="0.25">
      <c r="B16" s="15"/>
      <c r="C16" s="86"/>
      <c r="D16" s="85"/>
      <c r="E16" s="85"/>
      <c r="F16" s="85"/>
      <c r="G16" s="85"/>
      <c r="H16" s="104">
        <f>IF(FP.DataSourceName="Bloomberg",1,IF(FP.DataSourceName="Capital IQ",2,IF(FP.DataSourceName="FactSet",3,IF(FP.DataSourceName="Thomson",4))))</f>
        <v>1</v>
      </c>
      <c r="I16" s="87"/>
      <c r="J16" s="84"/>
      <c r="K16" s="15"/>
      <c r="L16" s="15"/>
      <c r="M16" s="85"/>
      <c r="N16" s="15"/>
      <c r="O16" s="15"/>
      <c r="P16" s="11"/>
      <c r="Q16" s="15"/>
    </row>
    <row r="17" spans="2:23" s="89" customFormat="1" ht="18.75" customHeight="1" x14ac:dyDescent="0.3">
      <c r="B17" s="85"/>
      <c r="C17" s="80"/>
      <c r="D17" s="85"/>
      <c r="E17" s="85"/>
      <c r="F17" s="85"/>
      <c r="G17" s="85"/>
      <c r="H17" s="85"/>
      <c r="I17" s="87"/>
      <c r="J17" s="84"/>
      <c r="K17" s="15"/>
      <c r="L17" s="15"/>
      <c r="M17" s="15"/>
      <c r="N17" s="85"/>
      <c r="O17" s="85"/>
      <c r="P17" s="88"/>
      <c r="Q17" s="85"/>
      <c r="W17" s="16"/>
    </row>
    <row r="18" spans="2:23" s="89" customFormat="1" ht="18.75" customHeight="1" x14ac:dyDescent="0.25">
      <c r="B18" s="85"/>
      <c r="C18" s="17" t="s">
        <v>8</v>
      </c>
      <c r="D18" s="78"/>
      <c r="E18" s="78"/>
      <c r="F18" s="78"/>
      <c r="G18" s="78"/>
      <c r="H18" s="83" t="s">
        <v>390</v>
      </c>
      <c r="I18" s="90"/>
      <c r="J18" s="90"/>
      <c r="K18" s="15"/>
      <c r="L18" s="15"/>
      <c r="M18" s="15"/>
      <c r="N18" s="85"/>
      <c r="O18" s="85"/>
      <c r="P18" s="88"/>
      <c r="Q18" s="85"/>
      <c r="W18" s="16"/>
    </row>
    <row r="19" spans="2:23" s="89" customFormat="1" x14ac:dyDescent="0.25">
      <c r="B19" s="85"/>
      <c r="C19" s="86"/>
      <c r="D19" s="85"/>
      <c r="E19" s="85"/>
      <c r="F19" s="85"/>
      <c r="G19" s="85"/>
      <c r="H19" s="85"/>
      <c r="I19" s="87"/>
      <c r="J19" s="84"/>
      <c r="K19" s="15"/>
      <c r="L19" s="15"/>
      <c r="M19" s="15"/>
      <c r="N19" s="85"/>
      <c r="O19" s="85"/>
      <c r="P19" s="88"/>
      <c r="Q19" s="85"/>
      <c r="W19" s="16"/>
    </row>
    <row r="20" spans="2:23" s="89" customFormat="1" ht="18.75" customHeight="1" x14ac:dyDescent="0.3">
      <c r="B20" s="85"/>
      <c r="C20" s="91" t="s">
        <v>9</v>
      </c>
      <c r="D20" s="85"/>
      <c r="E20" s="85"/>
      <c r="F20" s="220">
        <v>44049</v>
      </c>
      <c r="G20" s="85"/>
      <c r="H20" s="501">
        <v>8.1999999999999993</v>
      </c>
      <c r="I20" s="87"/>
      <c r="J20" s="84"/>
      <c r="K20" s="15"/>
      <c r="L20" s="15"/>
      <c r="M20" s="15"/>
      <c r="N20" s="85"/>
      <c r="O20" s="85"/>
      <c r="P20" s="88"/>
      <c r="Q20" s="85"/>
      <c r="W20" s="16"/>
    </row>
    <row r="21" spans="2:23" s="89" customFormat="1" x14ac:dyDescent="0.25">
      <c r="B21" s="85"/>
      <c r="C21" s="85"/>
      <c r="D21" s="15"/>
      <c r="E21" s="15"/>
      <c r="F21" s="15"/>
      <c r="G21" s="15"/>
      <c r="H21" s="15"/>
      <c r="I21" s="15"/>
      <c r="J21" s="15"/>
      <c r="K21" s="15"/>
      <c r="L21" s="15"/>
      <c r="M21" s="15"/>
      <c r="N21" s="85"/>
      <c r="O21" s="85"/>
      <c r="P21" s="85"/>
      <c r="Q21" s="85"/>
    </row>
    <row r="22" spans="2:23" ht="15.95" customHeight="1" x14ac:dyDescent="0.25">
      <c r="B22" s="15"/>
      <c r="C22" s="10" t="s">
        <v>379</v>
      </c>
      <c r="D22" s="9"/>
      <c r="E22" s="9"/>
      <c r="F22" s="9"/>
      <c r="G22" s="9"/>
      <c r="H22" s="9"/>
      <c r="I22" s="9"/>
      <c r="J22" s="9"/>
      <c r="K22" s="9"/>
      <c r="L22" s="9"/>
      <c r="M22" s="9"/>
      <c r="N22" s="9"/>
      <c r="O22" s="9"/>
      <c r="P22" s="8"/>
      <c r="Q22" s="15"/>
    </row>
    <row r="23" spans="2:23" ht="15.95" customHeight="1" x14ac:dyDescent="0.25">
      <c r="B23" s="15"/>
      <c r="C23" s="7"/>
      <c r="D23" s="11"/>
      <c r="E23" s="11"/>
      <c r="F23" s="11"/>
      <c r="G23" s="11"/>
      <c r="H23" s="11"/>
      <c r="I23" s="11"/>
      <c r="J23" s="11"/>
      <c r="K23" s="11"/>
      <c r="L23" s="11"/>
      <c r="M23" s="11"/>
      <c r="N23" s="11"/>
      <c r="O23" s="11"/>
      <c r="P23" s="6"/>
      <c r="Q23" s="15"/>
    </row>
    <row r="24" spans="2:23" ht="15.95" customHeight="1" x14ac:dyDescent="0.25">
      <c r="B24" s="15"/>
      <c r="C24" s="7"/>
      <c r="D24" s="11"/>
      <c r="E24" s="11"/>
      <c r="F24" s="11"/>
      <c r="G24" s="11"/>
      <c r="H24" s="11"/>
      <c r="I24" s="11"/>
      <c r="J24" s="11"/>
      <c r="K24" s="11"/>
      <c r="L24" s="11"/>
      <c r="M24" s="11"/>
      <c r="N24" s="11"/>
      <c r="O24" s="11"/>
      <c r="P24" s="6"/>
      <c r="Q24" s="15"/>
    </row>
    <row r="25" spans="2:23" ht="15.95" customHeight="1" x14ac:dyDescent="0.25">
      <c r="B25" s="15"/>
      <c r="C25" s="7"/>
      <c r="D25" s="11"/>
      <c r="E25" s="11"/>
      <c r="F25" s="11"/>
      <c r="G25" s="11"/>
      <c r="H25" s="11"/>
      <c r="I25" s="11"/>
      <c r="J25" s="11"/>
      <c r="K25" s="11"/>
      <c r="L25" s="11"/>
      <c r="M25" s="11"/>
      <c r="N25" s="11"/>
      <c r="O25" s="11"/>
      <c r="P25" s="6"/>
      <c r="Q25" s="15"/>
    </row>
    <row r="26" spans="2:23" ht="15.95" customHeight="1" x14ac:dyDescent="0.25">
      <c r="B26" s="15"/>
      <c r="C26" s="7"/>
      <c r="D26" s="11"/>
      <c r="E26" s="11"/>
      <c r="F26" s="11"/>
      <c r="G26" s="11"/>
      <c r="H26" s="11"/>
      <c r="I26" s="11"/>
      <c r="J26" s="11"/>
      <c r="K26" s="11"/>
      <c r="L26" s="11"/>
      <c r="M26" s="11"/>
      <c r="N26" s="11"/>
      <c r="O26" s="11"/>
      <c r="P26" s="6"/>
      <c r="Q26" s="15"/>
    </row>
    <row r="27" spans="2:23" ht="15.95" customHeight="1" x14ac:dyDescent="0.25">
      <c r="B27" s="15"/>
      <c r="C27" s="7"/>
      <c r="D27" s="11"/>
      <c r="E27" s="11"/>
      <c r="F27" s="11"/>
      <c r="G27" s="11"/>
      <c r="H27" s="11"/>
      <c r="I27" s="11"/>
      <c r="J27" s="11"/>
      <c r="K27" s="11"/>
      <c r="L27" s="11"/>
      <c r="M27" s="11"/>
      <c r="N27" s="11"/>
      <c r="O27" s="11"/>
      <c r="P27" s="6"/>
      <c r="Q27" s="15"/>
    </row>
    <row r="28" spans="2:23" ht="15.95" customHeight="1" x14ac:dyDescent="0.25">
      <c r="B28" s="15"/>
      <c r="C28" s="7"/>
      <c r="D28" s="11"/>
      <c r="E28" s="11"/>
      <c r="F28" s="11"/>
      <c r="G28" s="11"/>
      <c r="H28" s="11"/>
      <c r="I28" s="11"/>
      <c r="J28" s="11"/>
      <c r="K28" s="11"/>
      <c r="L28" s="11"/>
      <c r="M28" s="11"/>
      <c r="N28" s="11"/>
      <c r="O28" s="11"/>
      <c r="P28" s="6"/>
      <c r="Q28" s="15"/>
    </row>
    <row r="29" spans="2:23" ht="15.95" customHeight="1" x14ac:dyDescent="0.25">
      <c r="B29" s="15"/>
      <c r="C29" s="7"/>
      <c r="D29" s="11"/>
      <c r="E29" s="11"/>
      <c r="F29" s="11"/>
      <c r="G29" s="11"/>
      <c r="H29" s="11"/>
      <c r="I29" s="11"/>
      <c r="J29" s="11"/>
      <c r="K29" s="11"/>
      <c r="L29" s="11"/>
      <c r="M29" s="11"/>
      <c r="N29" s="11"/>
      <c r="O29" s="11"/>
      <c r="P29" s="6"/>
      <c r="Q29" s="15"/>
    </row>
    <row r="30" spans="2:23" ht="15.95" customHeight="1" x14ac:dyDescent="0.25">
      <c r="B30" s="15"/>
      <c r="C30" s="7"/>
      <c r="D30" s="11"/>
      <c r="E30" s="11"/>
      <c r="F30" s="11"/>
      <c r="G30" s="11"/>
      <c r="H30" s="11"/>
      <c r="I30" s="11"/>
      <c r="J30" s="11"/>
      <c r="K30" s="11"/>
      <c r="L30" s="11"/>
      <c r="M30" s="11"/>
      <c r="N30" s="11"/>
      <c r="O30" s="11"/>
      <c r="P30" s="6"/>
      <c r="Q30" s="15"/>
    </row>
    <row r="31" spans="2:23" ht="15.95" customHeight="1" x14ac:dyDescent="0.25">
      <c r="B31" s="15"/>
      <c r="C31" s="7"/>
      <c r="D31" s="11"/>
      <c r="E31" s="11"/>
      <c r="F31" s="11"/>
      <c r="G31" s="11"/>
      <c r="H31" s="11"/>
      <c r="I31" s="11"/>
      <c r="J31" s="11"/>
      <c r="K31" s="11"/>
      <c r="L31" s="11"/>
      <c r="M31" s="11"/>
      <c r="N31" s="11"/>
      <c r="O31" s="11"/>
      <c r="P31" s="6"/>
      <c r="Q31" s="15"/>
    </row>
    <row r="32" spans="2:23" ht="15.95" customHeight="1" x14ac:dyDescent="0.25">
      <c r="B32" s="15"/>
      <c r="C32" s="7"/>
      <c r="D32" s="11"/>
      <c r="E32" s="11"/>
      <c r="F32" s="11"/>
      <c r="G32" s="11"/>
      <c r="H32" s="11"/>
      <c r="I32" s="11"/>
      <c r="J32" s="11"/>
      <c r="K32" s="11"/>
      <c r="L32" s="11"/>
      <c r="M32" s="11"/>
      <c r="N32" s="11"/>
      <c r="O32" s="11"/>
      <c r="P32" s="6"/>
      <c r="Q32" s="15"/>
    </row>
    <row r="33" spans="2:18" ht="15.95" customHeight="1" x14ac:dyDescent="0.25">
      <c r="B33" s="15"/>
      <c r="C33" s="7"/>
      <c r="D33" s="11"/>
      <c r="E33" s="11"/>
      <c r="F33" s="11"/>
      <c r="G33" s="11"/>
      <c r="H33" s="11"/>
      <c r="I33" s="11"/>
      <c r="J33" s="11"/>
      <c r="K33" s="11"/>
      <c r="L33" s="11"/>
      <c r="M33" s="11"/>
      <c r="N33" s="11"/>
      <c r="O33" s="11"/>
      <c r="P33" s="6"/>
      <c r="Q33" s="93"/>
      <c r="R33" s="13"/>
    </row>
    <row r="34" spans="2:18" ht="15.95" customHeight="1" x14ac:dyDescent="0.25">
      <c r="B34" s="15"/>
      <c r="C34" s="5"/>
      <c r="D34" s="4"/>
      <c r="E34" s="4"/>
      <c r="F34" s="4"/>
      <c r="G34" s="4"/>
      <c r="H34" s="4"/>
      <c r="I34" s="4"/>
      <c r="J34" s="4"/>
      <c r="K34" s="4"/>
      <c r="L34" s="4"/>
      <c r="M34" s="4"/>
      <c r="N34" s="4"/>
      <c r="O34" s="4"/>
      <c r="P34" s="3"/>
      <c r="Q34" s="93"/>
      <c r="R34" s="13"/>
    </row>
    <row r="35" spans="2:18" x14ac:dyDescent="0.25">
      <c r="B35" s="15"/>
      <c r="C35" s="15"/>
      <c r="D35" s="15"/>
      <c r="E35" s="15"/>
      <c r="F35" s="15"/>
      <c r="G35" s="15"/>
      <c r="H35" s="15"/>
      <c r="I35" s="15"/>
      <c r="J35" s="15"/>
      <c r="K35" s="15"/>
      <c r="L35" s="15"/>
      <c r="M35" s="15"/>
      <c r="N35" s="15"/>
      <c r="O35" s="15"/>
      <c r="P35" s="15"/>
      <c r="Q35" s="93"/>
      <c r="R35" s="13"/>
    </row>
    <row r="36" spans="2:18" x14ac:dyDescent="0.25">
      <c r="B36" s="19"/>
      <c r="C36" s="19"/>
      <c r="D36" s="19"/>
      <c r="E36" s="19"/>
      <c r="F36" s="19"/>
      <c r="G36" s="19"/>
      <c r="H36" s="19"/>
      <c r="I36" s="19"/>
      <c r="J36" s="19"/>
      <c r="K36" s="19"/>
      <c r="L36" s="19"/>
      <c r="M36" s="19"/>
      <c r="N36" s="19"/>
      <c r="O36" s="19"/>
      <c r="Q36" s="13"/>
      <c r="R36" s="13"/>
    </row>
    <row r="37" spans="2:18" x14ac:dyDescent="0.25">
      <c r="B37" s="19"/>
      <c r="C37" s="19"/>
      <c r="D37" s="19"/>
      <c r="E37" s="19"/>
      <c r="F37" s="19"/>
      <c r="G37" s="19"/>
      <c r="H37" s="19"/>
      <c r="I37" s="19"/>
      <c r="J37" s="19"/>
      <c r="K37" s="19"/>
      <c r="L37" s="19"/>
      <c r="M37" s="19"/>
      <c r="N37" s="19"/>
      <c r="O37" s="19"/>
    </row>
    <row r="38" spans="2:18" x14ac:dyDescent="0.25">
      <c r="B38" s="19"/>
      <c r="C38" s="19"/>
      <c r="D38" s="19"/>
      <c r="E38" s="19"/>
      <c r="F38" s="19"/>
      <c r="G38" s="19"/>
      <c r="H38" s="19"/>
      <c r="I38" s="19"/>
      <c r="J38" s="19"/>
      <c r="K38" s="19"/>
      <c r="L38" s="19"/>
      <c r="M38" s="19"/>
      <c r="N38" s="19"/>
      <c r="O38" s="19"/>
    </row>
    <row r="39" spans="2:18" x14ac:dyDescent="0.25">
      <c r="B39" s="19"/>
      <c r="C39" s="19"/>
      <c r="D39" s="19"/>
      <c r="E39" s="19"/>
      <c r="F39" s="19"/>
      <c r="G39" s="19"/>
      <c r="H39" s="19"/>
      <c r="I39" s="19"/>
      <c r="J39" s="19"/>
      <c r="K39" s="19"/>
      <c r="L39" s="19"/>
      <c r="M39" s="19"/>
      <c r="N39" s="19"/>
      <c r="O39" s="19"/>
    </row>
    <row r="40" spans="2:18" x14ac:dyDescent="0.25">
      <c r="B40" s="19"/>
      <c r="C40" s="19"/>
      <c r="D40" s="19"/>
      <c r="E40" s="19"/>
      <c r="F40" s="19"/>
      <c r="G40" s="19"/>
      <c r="H40" s="19"/>
      <c r="I40" s="19"/>
      <c r="J40" s="19"/>
      <c r="K40" s="19"/>
      <c r="L40" s="19"/>
      <c r="M40" s="19"/>
      <c r="N40" s="19"/>
      <c r="O40" s="19"/>
    </row>
    <row r="41" spans="2:18" x14ac:dyDescent="0.25">
      <c r="B41" s="19"/>
      <c r="C41" s="19"/>
      <c r="D41" s="19"/>
      <c r="E41" s="19"/>
      <c r="F41" s="19"/>
      <c r="G41" s="19"/>
      <c r="H41" s="19"/>
      <c r="I41" s="19"/>
      <c r="J41" s="19"/>
      <c r="K41" s="19"/>
      <c r="L41" s="19"/>
      <c r="M41" s="19"/>
      <c r="N41" s="19"/>
      <c r="O41" s="19"/>
    </row>
    <row r="42" spans="2:18" x14ac:dyDescent="0.25">
      <c r="B42" s="19"/>
      <c r="C42" s="19"/>
      <c r="D42" s="19"/>
      <c r="E42" s="19"/>
      <c r="F42" s="19"/>
      <c r="G42" s="19"/>
      <c r="H42" s="19"/>
      <c r="I42" s="19"/>
      <c r="J42" s="19"/>
      <c r="K42" s="19"/>
      <c r="L42" s="19"/>
      <c r="M42" s="19"/>
      <c r="N42" s="19"/>
      <c r="O42" s="19"/>
    </row>
    <row r="43" spans="2:18" x14ac:dyDescent="0.25">
      <c r="B43" s="19"/>
      <c r="C43" s="19"/>
      <c r="D43" s="19"/>
      <c r="E43" s="19"/>
      <c r="F43" s="19"/>
      <c r="G43" s="19"/>
      <c r="H43" s="19"/>
      <c r="I43" s="19"/>
      <c r="J43" s="19"/>
      <c r="K43" s="19"/>
      <c r="L43" s="19"/>
      <c r="M43" s="19"/>
      <c r="N43" s="19"/>
      <c r="O43" s="19"/>
    </row>
    <row r="44" spans="2:18" x14ac:dyDescent="0.25">
      <c r="B44" s="19"/>
      <c r="C44" s="19"/>
      <c r="D44" s="19"/>
      <c r="E44" s="19"/>
      <c r="F44" s="19"/>
      <c r="G44" s="19"/>
      <c r="H44" s="19"/>
      <c r="I44" s="19"/>
      <c r="J44" s="19"/>
      <c r="K44" s="19"/>
      <c r="L44" s="19"/>
      <c r="M44" s="19"/>
      <c r="N44" s="19"/>
      <c r="O44" s="19"/>
    </row>
    <row r="45" spans="2:18" x14ac:dyDescent="0.25">
      <c r="B45" s="19"/>
      <c r="C45" s="19"/>
      <c r="D45" s="19"/>
      <c r="E45" s="19"/>
      <c r="F45" s="19"/>
      <c r="G45" s="19"/>
      <c r="H45" s="19"/>
      <c r="I45" s="19"/>
      <c r="J45" s="19"/>
      <c r="K45" s="19"/>
      <c r="L45" s="19"/>
      <c r="M45" s="19"/>
      <c r="N45" s="19"/>
      <c r="O45" s="19"/>
    </row>
    <row r="46" spans="2:18" x14ac:dyDescent="0.25">
      <c r="B46" s="19"/>
      <c r="C46" s="19"/>
      <c r="D46" s="19"/>
      <c r="E46" s="19"/>
      <c r="F46" s="19"/>
      <c r="G46" s="19"/>
      <c r="H46" s="19"/>
      <c r="I46" s="19"/>
      <c r="J46" s="19"/>
      <c r="K46" s="19"/>
      <c r="L46" s="19"/>
      <c r="M46" s="19"/>
      <c r="N46" s="19"/>
      <c r="O46" s="19"/>
    </row>
    <row r="47" spans="2:18" x14ac:dyDescent="0.25">
      <c r="B47" s="19"/>
      <c r="C47" s="19"/>
      <c r="D47" s="19"/>
      <c r="E47" s="19"/>
      <c r="F47" s="19"/>
      <c r="G47" s="19"/>
      <c r="H47" s="19"/>
      <c r="I47" s="19"/>
      <c r="J47" s="19"/>
      <c r="K47" s="19"/>
      <c r="L47" s="19"/>
      <c r="M47" s="19"/>
      <c r="N47" s="19"/>
      <c r="O47" s="19"/>
    </row>
    <row r="48" spans="2:18" x14ac:dyDescent="0.25">
      <c r="B48" s="19"/>
      <c r="C48" s="19"/>
      <c r="D48" s="19"/>
      <c r="E48" s="19"/>
      <c r="F48" s="19"/>
      <c r="G48" s="19"/>
      <c r="H48" s="19"/>
      <c r="I48" s="19"/>
      <c r="J48" s="19"/>
      <c r="K48" s="19"/>
      <c r="L48" s="19"/>
      <c r="M48" s="19"/>
      <c r="N48" s="19"/>
      <c r="O48" s="19"/>
    </row>
    <row r="49" spans="2:15" x14ac:dyDescent="0.25">
      <c r="B49" s="19"/>
      <c r="C49" s="19"/>
      <c r="D49" s="19"/>
      <c r="E49" s="19"/>
      <c r="F49" s="19"/>
      <c r="G49" s="19"/>
      <c r="H49" s="19"/>
      <c r="I49" s="19"/>
      <c r="J49" s="19"/>
      <c r="K49" s="19"/>
      <c r="L49" s="19"/>
      <c r="M49" s="19"/>
      <c r="N49" s="19"/>
      <c r="O49" s="19"/>
    </row>
    <row r="50" spans="2:15" x14ac:dyDescent="0.25">
      <c r="B50" s="19"/>
      <c r="C50" s="19"/>
      <c r="D50" s="19"/>
      <c r="E50" s="19"/>
      <c r="F50" s="19"/>
      <c r="G50" s="19"/>
      <c r="H50" s="19"/>
      <c r="I50" s="19"/>
      <c r="J50" s="19"/>
      <c r="K50" s="19"/>
      <c r="L50" s="19"/>
      <c r="M50" s="19"/>
      <c r="N50" s="19"/>
      <c r="O50" s="19"/>
    </row>
  </sheetData>
  <mergeCells count="4">
    <mergeCell ref="F8:K8"/>
    <mergeCell ref="C22:P34"/>
    <mergeCell ref="P9:P16"/>
    <mergeCell ref="M7:O7"/>
  </mergeCells>
  <dataValidations count="3">
    <dataValidation type="list" showInputMessage="1" showErrorMessage="1" sqref="H18" xr:uid="{00000000-0002-0000-0000-000000000000}">
      <formula1>"ON, OFF"</formula1>
    </dataValidation>
    <dataValidation type="list" allowBlank="1" showInputMessage="1" showErrorMessage="1" sqref="H15" xr:uid="{00000000-0002-0000-0000-000001000000}">
      <formula1>"Bloomberg, Capital IQ, FactSet, Thomson"</formula1>
    </dataValidation>
    <dataValidation allowBlank="1" showInputMessage="1" showErrorMessage="1" sqref="H16" xr:uid="{00000000-0002-0000-0000-000002000000}"/>
  </dataValidations>
  <hyperlinks>
    <hyperlink ref="M7" r:id="rId1" tooltip="Click to directly email Canalyst support" xr:uid="{00000000-0004-0000-0000-000000000000}"/>
    <hyperlink ref="M7:O7" r:id="rId2" tooltip="Click to directly email Canalyst support" display="support@canalyst.com" xr:uid="{00000000-0004-0000-0000-000001000000}"/>
  </hyperlinks>
  <pageMargins left="0.7" right="0.7" top="0.75" bottom="0.75" header="0.3" footer="0.3"/>
  <pageSetup scale="45" orientation="portrait" r:id="rId3"/>
  <drawing r:id="rId4"/>
  <extLst>
    <ext xmlns:x14="http://schemas.microsoft.com/office/spreadsheetml/2009/9/main" uri="{78C0D931-6437-407d-A8EE-F0AAD7539E65}">
      <x14:conditionalFormattings>
        <x14:conditionalFormatting xmlns:xm="http://schemas.microsoft.com/office/excel/2006/main">
          <x14:cfRule type="expression" priority="1" stopIfTrue="1" id="{00000000-000E-0000-0000-000001000000}">
            <xm:f>AND($H$18="ON",Model!$B$4="ON")</xm:f>
            <x14:dxf>
              <font>
                <color rgb="FFF2F2F2"/>
              </font>
              <fill>
                <patternFill>
                  <bgColor rgb="FFF2F2F2"/>
                </patternFill>
              </fill>
            </x14:dxf>
          </x14:cfRule>
          <xm:sqref>C20:H20</xm:sqref>
        </x14:conditionalFormatting>
      </x14:conditionalFormatting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096606-A6A4-4EBB-B464-7E634313BCB8}">
  <dimension ref="A1:BD69"/>
  <sheetViews>
    <sheetView zoomScale="85" zoomScaleNormal="85" workbookViewId="0">
      <pane xSplit="2" ySplit="28" topLeftCell="C29" activePane="bottomRight" state="frozen"/>
      <selection pane="topRight" activeCell="C1" sqref="C1"/>
      <selection pane="bottomLeft" activeCell="A29" sqref="A29"/>
      <selection pane="bottomRight"/>
    </sheetView>
  </sheetViews>
  <sheetFormatPr defaultRowHeight="15" outlineLevelRow="1" outlineLevelCol="1" x14ac:dyDescent="0.25"/>
  <cols>
    <col min="1" max="1" width="50.5703125"/>
    <col min="2" max="2" width="9.7109375"/>
    <col min="3" max="26" width="9.5703125" hidden="1" outlineLevel="1"/>
    <col min="27" max="39" width="9.5703125"/>
    <col min="40" max="49" width="9.5703125" hidden="1" outlineLevel="1"/>
    <col min="50" max="55" width="9.5703125"/>
    <col min="56" max="56" width="9.7109375"/>
  </cols>
  <sheetData>
    <row r="1" spans="1:56" ht="28.5" x14ac:dyDescent="0.45">
      <c r="A1" s="829" t="str">
        <f>Model!A1</f>
        <v>GP Strategies Corp.</v>
      </c>
      <c r="B1" s="737"/>
      <c r="C1" s="723"/>
      <c r="D1" s="723"/>
      <c r="E1" s="723"/>
      <c r="F1" s="723"/>
      <c r="G1" s="723"/>
      <c r="H1" s="723"/>
      <c r="I1" s="723"/>
      <c r="J1" s="723"/>
      <c r="K1" s="723"/>
      <c r="L1" s="723"/>
      <c r="M1" s="723"/>
      <c r="N1" s="723"/>
      <c r="O1" s="723"/>
      <c r="P1" s="723"/>
      <c r="Q1" s="724"/>
      <c r="R1" s="723"/>
      <c r="S1" s="723"/>
      <c r="T1" s="723"/>
      <c r="U1" s="723"/>
      <c r="V1" s="723"/>
      <c r="W1" s="723"/>
      <c r="X1" s="723"/>
      <c r="Y1" s="723"/>
      <c r="Z1" s="723"/>
      <c r="AA1" s="723"/>
      <c r="AB1" s="723"/>
      <c r="AC1" s="723"/>
      <c r="AD1" s="723"/>
      <c r="AE1" s="723"/>
      <c r="AF1" s="727"/>
      <c r="AG1" s="723"/>
      <c r="AH1" s="737"/>
      <c r="AI1" s="737"/>
      <c r="AJ1" s="737"/>
      <c r="AK1" s="737"/>
      <c r="AL1" s="737"/>
      <c r="AM1" s="737"/>
      <c r="AN1" s="723"/>
      <c r="AO1" s="723"/>
      <c r="AP1" s="723"/>
      <c r="AQ1" s="723"/>
      <c r="AR1" s="723"/>
      <c r="AS1" s="723"/>
      <c r="AT1" s="723"/>
      <c r="AU1" s="723"/>
      <c r="AV1" s="723"/>
      <c r="AW1" s="723"/>
      <c r="AX1" s="727"/>
      <c r="AY1" s="737"/>
      <c r="AZ1" s="737"/>
      <c r="BA1" s="737"/>
      <c r="BB1" s="737"/>
      <c r="BC1" s="737"/>
      <c r="BD1" s="285"/>
    </row>
    <row r="2" spans="1:56" x14ac:dyDescent="0.25">
      <c r="A2" s="525" t="str">
        <f>CHOOSE(MO.DataSourceIndex,MO.Ticker.Bloomberg,MO.Ticker.CapIQ,MO.Ticker.FactSet,MO.Ticker.Thomson)</f>
        <v>GPX US</v>
      </c>
      <c r="B2" s="241"/>
      <c r="C2" s="375"/>
      <c r="D2" s="375"/>
      <c r="E2" s="375"/>
      <c r="F2" s="375"/>
      <c r="G2" s="375"/>
      <c r="H2" s="375"/>
      <c r="I2" s="375"/>
      <c r="J2" s="375"/>
      <c r="K2" s="375"/>
      <c r="L2" s="375"/>
      <c r="M2" s="375"/>
      <c r="N2" s="375"/>
      <c r="O2" s="375"/>
      <c r="P2" s="375"/>
      <c r="Q2" s="376"/>
      <c r="R2" s="375"/>
      <c r="S2" s="377" t="str">
        <f>Model!S2</f>
        <v>Restated</v>
      </c>
      <c r="T2" s="377" t="str">
        <f>Model!T2</f>
        <v>Restated</v>
      </c>
      <c r="U2" s="377" t="str">
        <f>Model!U2</f>
        <v>Restated</v>
      </c>
      <c r="V2" s="377" t="str">
        <f>Model!V2</f>
        <v>Restated</v>
      </c>
      <c r="W2" s="377"/>
      <c r="X2" s="377"/>
      <c r="Y2" s="377"/>
      <c r="Z2" s="377"/>
      <c r="AA2" s="375"/>
      <c r="AB2" s="377"/>
      <c r="AC2" s="377"/>
      <c r="AD2" s="377"/>
      <c r="AE2" s="375"/>
      <c r="AF2" s="638" t="str">
        <f>Model!AF2</f>
        <v>Partial</v>
      </c>
      <c r="AG2" s="375"/>
      <c r="AH2" s="76"/>
      <c r="AI2" s="76"/>
      <c r="AJ2" s="76"/>
      <c r="AK2" s="76"/>
      <c r="AL2" s="76"/>
      <c r="AM2" s="76"/>
      <c r="AN2" s="374">
        <f>Model!AN2</f>
        <v>39813</v>
      </c>
      <c r="AO2" s="375"/>
      <c r="AP2" s="375"/>
      <c r="AQ2" s="375"/>
      <c r="AR2" s="375"/>
      <c r="AS2" s="375"/>
      <c r="AT2" s="375"/>
      <c r="AU2" s="375"/>
      <c r="AV2" s="377" t="str">
        <f>Model!AV2</f>
        <v>Restated</v>
      </c>
      <c r="AW2" s="377"/>
      <c r="AX2" s="638"/>
      <c r="AY2" s="76"/>
      <c r="AZ2" s="76"/>
      <c r="BA2" s="76"/>
      <c r="BB2" s="76"/>
      <c r="BC2" s="76"/>
      <c r="BD2" s="285"/>
    </row>
    <row r="3" spans="1:56" x14ac:dyDescent="0.25">
      <c r="A3" s="278" t="str">
        <f ca="1">HP.TradeCurrency</f>
        <v>USD</v>
      </c>
      <c r="B3" s="228">
        <f ca="1">IF(MO.RealTime="OFF",MO.LastPriceHardcoded,MO.LastPriceFormula)</f>
        <v>8.1999999999999993</v>
      </c>
      <c r="C3" s="378">
        <f>Model!C3</f>
        <v>90</v>
      </c>
      <c r="D3" s="378">
        <f>Model!D3</f>
        <v>91</v>
      </c>
      <c r="E3" s="378">
        <f>Model!E3</f>
        <v>92</v>
      </c>
      <c r="F3" s="378">
        <f>Model!F3</f>
        <v>92</v>
      </c>
      <c r="G3" s="378">
        <f>Model!G3</f>
        <v>90</v>
      </c>
      <c r="H3" s="378">
        <f>Model!H3</f>
        <v>91</v>
      </c>
      <c r="I3" s="378">
        <f>Model!I3</f>
        <v>92</v>
      </c>
      <c r="J3" s="378">
        <f>Model!J3</f>
        <v>92</v>
      </c>
      <c r="K3" s="378">
        <f>Model!K3</f>
        <v>90</v>
      </c>
      <c r="L3" s="378">
        <f>Model!L3</f>
        <v>91</v>
      </c>
      <c r="M3" s="378">
        <f>Model!M3</f>
        <v>92</v>
      </c>
      <c r="N3" s="378">
        <f>Model!N3</f>
        <v>92</v>
      </c>
      <c r="O3" s="378">
        <f>Model!O3</f>
        <v>91</v>
      </c>
      <c r="P3" s="378">
        <f>Model!P3</f>
        <v>91</v>
      </c>
      <c r="Q3" s="379">
        <f>Model!Q3</f>
        <v>92</v>
      </c>
      <c r="R3" s="378">
        <f>Model!R3</f>
        <v>92</v>
      </c>
      <c r="S3" s="378">
        <f>Model!S3</f>
        <v>90</v>
      </c>
      <c r="T3" s="378">
        <f>Model!T3</f>
        <v>91</v>
      </c>
      <c r="U3" s="379">
        <f>Model!U3</f>
        <v>92</v>
      </c>
      <c r="V3" s="380">
        <f>Model!V3</f>
        <v>92</v>
      </c>
      <c r="W3" s="378">
        <f>Model!W3</f>
        <v>90</v>
      </c>
      <c r="X3" s="378">
        <f>Model!X3</f>
        <v>91</v>
      </c>
      <c r="Y3" s="379">
        <f>Model!Y3</f>
        <v>92</v>
      </c>
      <c r="Z3" s="380">
        <f>Model!Z3</f>
        <v>92</v>
      </c>
      <c r="AA3" s="378">
        <f>Model!AA3</f>
        <v>90</v>
      </c>
      <c r="AB3" s="378">
        <f>Model!AB3</f>
        <v>91</v>
      </c>
      <c r="AC3" s="379">
        <f>Model!AC3</f>
        <v>92</v>
      </c>
      <c r="AD3" s="380">
        <f>Model!AD3</f>
        <v>92</v>
      </c>
      <c r="AE3" s="378">
        <f>Model!AE3</f>
        <v>91</v>
      </c>
      <c r="AF3" s="639">
        <f>Model!AF3</f>
        <v>91</v>
      </c>
      <c r="AG3" s="380">
        <f>Model!AG3</f>
        <v>92</v>
      </c>
      <c r="AH3" s="197">
        <f>Model!AH3</f>
        <v>92</v>
      </c>
      <c r="AI3" s="197">
        <f>Model!AI3</f>
        <v>90</v>
      </c>
      <c r="AJ3" s="197">
        <f>Model!AJ3</f>
        <v>91</v>
      </c>
      <c r="AK3" s="197">
        <f>Model!AK3</f>
        <v>92</v>
      </c>
      <c r="AL3" s="197">
        <f>Model!AL3</f>
        <v>92</v>
      </c>
      <c r="AM3" s="197"/>
      <c r="AN3" s="378">
        <f>Model!AN3</f>
        <v>365</v>
      </c>
      <c r="AO3" s="378">
        <f>Model!AO3</f>
        <v>365</v>
      </c>
      <c r="AP3" s="378">
        <f>Model!AP3</f>
        <v>365</v>
      </c>
      <c r="AQ3" s="378">
        <f>Model!AQ3</f>
        <v>366</v>
      </c>
      <c r="AR3" s="378">
        <f>Model!AR3</f>
        <v>365</v>
      </c>
      <c r="AS3" s="378">
        <f>Model!AS3</f>
        <v>365</v>
      </c>
      <c r="AT3" s="378">
        <f>Model!AT3</f>
        <v>365</v>
      </c>
      <c r="AU3" s="378">
        <f>Model!AU3</f>
        <v>366</v>
      </c>
      <c r="AV3" s="380">
        <f>Model!AV3</f>
        <v>365</v>
      </c>
      <c r="AW3" s="380">
        <f>Model!AW3</f>
        <v>365</v>
      </c>
      <c r="AX3" s="916">
        <f>Model!AX3</f>
        <v>365</v>
      </c>
      <c r="AY3" s="197">
        <f>Model!AY3</f>
        <v>366</v>
      </c>
      <c r="AZ3" s="197">
        <f>Model!AZ3</f>
        <v>365</v>
      </c>
      <c r="BA3" s="197">
        <f>Model!BA3</f>
        <v>365</v>
      </c>
      <c r="BB3" s="197">
        <f>Model!BB3</f>
        <v>365</v>
      </c>
      <c r="BC3" s="197">
        <f>Model!BC3</f>
        <v>366</v>
      </c>
      <c r="BD3" s="285"/>
    </row>
    <row r="4" spans="1:56" x14ac:dyDescent="0.25">
      <c r="A4" s="279" t="str">
        <f>FP.DataSourceName</f>
        <v>Bloomberg</v>
      </c>
      <c r="B4" s="280" t="str">
        <f ca="1">IF(AND(MO.RealTimeStockPriceToggle,MO.LastPriceFormula&lt;&gt;"N/A"),"ON","OFF")</f>
        <v>OFF</v>
      </c>
      <c r="C4" s="382">
        <f>Model!C4</f>
        <v>41364</v>
      </c>
      <c r="D4" s="382">
        <f>Model!D4</f>
        <v>41455</v>
      </c>
      <c r="E4" s="382">
        <f>Model!E4</f>
        <v>41547</v>
      </c>
      <c r="F4" s="382">
        <f>Model!F4</f>
        <v>41639</v>
      </c>
      <c r="G4" s="382">
        <f>Model!G4</f>
        <v>41729</v>
      </c>
      <c r="H4" s="382">
        <f>Model!H4</f>
        <v>41820</v>
      </c>
      <c r="I4" s="382">
        <f>Model!I4</f>
        <v>41912</v>
      </c>
      <c r="J4" s="382">
        <f>Model!J4</f>
        <v>42004</v>
      </c>
      <c r="K4" s="382">
        <f>Model!K4</f>
        <v>42094</v>
      </c>
      <c r="L4" s="382">
        <f>Model!L4</f>
        <v>42185</v>
      </c>
      <c r="M4" s="382">
        <f>Model!M4</f>
        <v>42277</v>
      </c>
      <c r="N4" s="382">
        <f>Model!N4</f>
        <v>42369</v>
      </c>
      <c r="O4" s="382">
        <f>Model!O4</f>
        <v>42460</v>
      </c>
      <c r="P4" s="382">
        <f>Model!P4</f>
        <v>42551</v>
      </c>
      <c r="Q4" s="382">
        <f>Model!Q4</f>
        <v>42643</v>
      </c>
      <c r="R4" s="382">
        <f>Model!R4</f>
        <v>42735</v>
      </c>
      <c r="S4" s="382">
        <f>Model!S4</f>
        <v>42825</v>
      </c>
      <c r="T4" s="382">
        <f>Model!T4</f>
        <v>42916</v>
      </c>
      <c r="U4" s="382">
        <f>Model!U4</f>
        <v>43008</v>
      </c>
      <c r="V4" s="383">
        <f>Model!V4</f>
        <v>43100</v>
      </c>
      <c r="W4" s="382">
        <f>Model!W4</f>
        <v>43190</v>
      </c>
      <c r="X4" s="382">
        <f>Model!X4</f>
        <v>43281</v>
      </c>
      <c r="Y4" s="382">
        <f>Model!Y4</f>
        <v>43373</v>
      </c>
      <c r="Z4" s="383">
        <f>Model!Z4</f>
        <v>43465</v>
      </c>
      <c r="AA4" s="382">
        <f>Model!AA4</f>
        <v>43555</v>
      </c>
      <c r="AB4" s="382">
        <f>Model!AB4</f>
        <v>43646</v>
      </c>
      <c r="AC4" s="382">
        <f>Model!AC4</f>
        <v>43738</v>
      </c>
      <c r="AD4" s="383">
        <f>Model!AD4</f>
        <v>43830</v>
      </c>
      <c r="AE4" s="382">
        <f>Model!AE4</f>
        <v>43921</v>
      </c>
      <c r="AF4" s="640">
        <f>Model!AF4</f>
        <v>44012</v>
      </c>
      <c r="AG4" s="383">
        <f>Model!AG4</f>
        <v>44104</v>
      </c>
      <c r="AH4" s="198">
        <f>Model!AH4</f>
        <v>44196</v>
      </c>
      <c r="AI4" s="198">
        <f>Model!AI4</f>
        <v>44286</v>
      </c>
      <c r="AJ4" s="198">
        <f>Model!AJ4</f>
        <v>44377</v>
      </c>
      <c r="AK4" s="198">
        <f>Model!AK4</f>
        <v>44469</v>
      </c>
      <c r="AL4" s="198">
        <f>Model!AL4</f>
        <v>44561</v>
      </c>
      <c r="AM4" s="198"/>
      <c r="AN4" s="381">
        <f>Model!AN4</f>
        <v>40178</v>
      </c>
      <c r="AO4" s="382">
        <f>Model!AO4</f>
        <v>40543</v>
      </c>
      <c r="AP4" s="382">
        <f>Model!AP4</f>
        <v>40908</v>
      </c>
      <c r="AQ4" s="382">
        <f>Model!AQ4</f>
        <v>41274</v>
      </c>
      <c r="AR4" s="382">
        <f>Model!AR4</f>
        <v>41639</v>
      </c>
      <c r="AS4" s="382">
        <f>Model!AS4</f>
        <v>42004</v>
      </c>
      <c r="AT4" s="382">
        <f>Model!AT4</f>
        <v>42369</v>
      </c>
      <c r="AU4" s="382">
        <f>Model!AU4</f>
        <v>42735</v>
      </c>
      <c r="AV4" s="383">
        <f>Model!AV4</f>
        <v>43100</v>
      </c>
      <c r="AW4" s="383">
        <f>Model!AW4</f>
        <v>43465</v>
      </c>
      <c r="AX4" s="917">
        <f>Model!AX4</f>
        <v>43830</v>
      </c>
      <c r="AY4" s="198">
        <f>Model!AY4</f>
        <v>44196</v>
      </c>
      <c r="AZ4" s="198">
        <f>Model!AZ4</f>
        <v>44561</v>
      </c>
      <c r="BA4" s="198">
        <f>Model!BA4</f>
        <v>44926</v>
      </c>
      <c r="BB4" s="198">
        <f>Model!BB4</f>
        <v>45291</v>
      </c>
      <c r="BC4" s="198">
        <f>Model!BC4</f>
        <v>45657</v>
      </c>
      <c r="BD4" s="285"/>
    </row>
    <row r="5" spans="1:56" x14ac:dyDescent="0.25">
      <c r="A5" s="830" t="s">
        <v>475</v>
      </c>
      <c r="B5" s="229"/>
      <c r="C5" s="384" t="str">
        <f>Model!C5</f>
        <v>Q1-2013</v>
      </c>
      <c r="D5" s="384" t="str">
        <f>Model!D5</f>
        <v>Q2-2013</v>
      </c>
      <c r="E5" s="384" t="str">
        <f>Model!E5</f>
        <v>Q3-2013</v>
      </c>
      <c r="F5" s="384" t="str">
        <f>Model!F5</f>
        <v>Q4-2013</v>
      </c>
      <c r="G5" s="384" t="str">
        <f>Model!G5</f>
        <v>Q1-2014</v>
      </c>
      <c r="H5" s="384" t="str">
        <f>Model!H5</f>
        <v>Q2-2014</v>
      </c>
      <c r="I5" s="384" t="str">
        <f>Model!I5</f>
        <v>Q3-2014</v>
      </c>
      <c r="J5" s="384" t="str">
        <f>Model!J5</f>
        <v>Q4-2014</v>
      </c>
      <c r="K5" s="384" t="str">
        <f>Model!K5</f>
        <v>Q1-2015</v>
      </c>
      <c r="L5" s="384" t="str">
        <f>Model!L5</f>
        <v>Q2-2015</v>
      </c>
      <c r="M5" s="384" t="str">
        <f>Model!M5</f>
        <v>Q3-2015</v>
      </c>
      <c r="N5" s="384" t="str">
        <f>Model!N5</f>
        <v>Q4-2015</v>
      </c>
      <c r="O5" s="384" t="str">
        <f>Model!O5</f>
        <v>Q1-2016</v>
      </c>
      <c r="P5" s="384" t="str">
        <f>Model!P5</f>
        <v>Q2-2016</v>
      </c>
      <c r="Q5" s="384" t="str">
        <f>Model!Q5</f>
        <v>Q3-2016</v>
      </c>
      <c r="R5" s="384" t="str">
        <f>Model!R5</f>
        <v>Q4-2016</v>
      </c>
      <c r="S5" s="384" t="str">
        <f>Model!S5</f>
        <v>Q1-2017</v>
      </c>
      <c r="T5" s="384" t="str">
        <f>Model!T5</f>
        <v>Q2-2017</v>
      </c>
      <c r="U5" s="384" t="str">
        <f>Model!U5</f>
        <v>Q3-2017</v>
      </c>
      <c r="V5" s="385" t="str">
        <f>Model!V5</f>
        <v>Q4-2017</v>
      </c>
      <c r="W5" s="384" t="str">
        <f>Model!W5</f>
        <v>Q1-2018</v>
      </c>
      <c r="X5" s="384" t="str">
        <f>Model!X5</f>
        <v>Q2-2018</v>
      </c>
      <c r="Y5" s="384" t="str">
        <f>Model!Y5</f>
        <v>Q3-2018</v>
      </c>
      <c r="Z5" s="385" t="str">
        <f>Model!Z5</f>
        <v>Q4-2018</v>
      </c>
      <c r="AA5" s="384" t="str">
        <f>Model!AA5</f>
        <v>Q1-2019</v>
      </c>
      <c r="AB5" s="384" t="str">
        <f>Model!AB5</f>
        <v>Q2-2019</v>
      </c>
      <c r="AC5" s="384" t="str">
        <f>Model!AC5</f>
        <v>Q3-2019</v>
      </c>
      <c r="AD5" s="385" t="str">
        <f>Model!AD5</f>
        <v>Q4-2019</v>
      </c>
      <c r="AE5" s="384" t="str">
        <f>Model!AE5</f>
        <v>Q1-2020</v>
      </c>
      <c r="AF5" s="641" t="str">
        <f>Model!AF5</f>
        <v>Q2-2020</v>
      </c>
      <c r="AG5" s="385" t="str">
        <f>Model!AG5</f>
        <v>Q3-2020</v>
      </c>
      <c r="AH5" s="199" t="str">
        <f>Model!AH5</f>
        <v>Q4-2020</v>
      </c>
      <c r="AI5" s="199" t="str">
        <f>Model!AI5</f>
        <v>Q1-2021</v>
      </c>
      <c r="AJ5" s="199" t="str">
        <f>Model!AJ5</f>
        <v>Q2-2021</v>
      </c>
      <c r="AK5" s="199" t="str">
        <f>Model!AK5</f>
        <v>Q3-2021</v>
      </c>
      <c r="AL5" s="199" t="str">
        <f>Model!AL5</f>
        <v>Q4-2021</v>
      </c>
      <c r="AM5" s="199"/>
      <c r="AN5" s="523" t="str">
        <f>Model!AN5</f>
        <v>FY2009</v>
      </c>
      <c r="AO5" s="384" t="str">
        <f>Model!AO5</f>
        <v>FY2010</v>
      </c>
      <c r="AP5" s="384" t="str">
        <f>Model!AP5</f>
        <v>FY2011</v>
      </c>
      <c r="AQ5" s="384" t="str">
        <f>Model!AQ5</f>
        <v>FY2012</v>
      </c>
      <c r="AR5" s="384" t="str">
        <f>Model!AR5</f>
        <v>FY2013</v>
      </c>
      <c r="AS5" s="384" t="str">
        <f>Model!AS5</f>
        <v>FY2014</v>
      </c>
      <c r="AT5" s="384" t="str">
        <f>Model!AT5</f>
        <v>FY2015</v>
      </c>
      <c r="AU5" s="384" t="str">
        <f>Model!AU5</f>
        <v>FY2016</v>
      </c>
      <c r="AV5" s="385" t="str">
        <f>Model!AV5</f>
        <v>FY2017</v>
      </c>
      <c r="AW5" s="385" t="str">
        <f>Model!AW5</f>
        <v>FY2018</v>
      </c>
      <c r="AX5" s="918" t="str">
        <f>Model!AX5</f>
        <v>FY2019</v>
      </c>
      <c r="AY5" s="199" t="str">
        <f>Model!AY5</f>
        <v>FY2020</v>
      </c>
      <c r="AZ5" s="199" t="str">
        <f>Model!AZ5</f>
        <v>FY2021</v>
      </c>
      <c r="BA5" s="199" t="str">
        <f>Model!BA5</f>
        <v>FY2022</v>
      </c>
      <c r="BB5" s="199" t="str">
        <f>Model!BB5</f>
        <v>FY2023</v>
      </c>
      <c r="BC5" s="199" t="str">
        <f>Model!BC5</f>
        <v>FY2024</v>
      </c>
      <c r="BD5" s="285"/>
    </row>
    <row r="6" spans="1:56" x14ac:dyDescent="0.25">
      <c r="A6" s="831" t="s">
        <v>467</v>
      </c>
      <c r="B6" s="831"/>
      <c r="C6" s="831"/>
      <c r="D6" s="831"/>
      <c r="E6" s="831"/>
      <c r="F6" s="831"/>
      <c r="G6" s="831"/>
      <c r="H6" s="831"/>
      <c r="I6" s="831"/>
      <c r="J6" s="831"/>
      <c r="K6" s="831"/>
      <c r="L6" s="831"/>
      <c r="M6" s="831"/>
      <c r="N6" s="831"/>
      <c r="O6" s="831"/>
      <c r="P6" s="831"/>
      <c r="Q6" s="831"/>
      <c r="R6" s="831"/>
      <c r="S6" s="831"/>
      <c r="T6" s="831"/>
      <c r="U6" s="831"/>
      <c r="V6" s="831"/>
      <c r="W6" s="831"/>
      <c r="X6" s="831"/>
      <c r="Y6" s="831"/>
      <c r="Z6" s="831"/>
      <c r="AA6" s="831"/>
      <c r="AB6" s="831"/>
      <c r="AC6" s="831"/>
      <c r="AD6" s="831"/>
      <c r="AE6" s="831"/>
      <c r="AF6" s="909"/>
      <c r="AG6" s="908"/>
      <c r="AH6" s="831"/>
      <c r="AI6" s="831"/>
      <c r="AJ6" s="831"/>
      <c r="AK6" s="831"/>
      <c r="AL6" s="831"/>
      <c r="AM6" s="831"/>
      <c r="AN6" s="831"/>
      <c r="AO6" s="831"/>
      <c r="AP6" s="831"/>
      <c r="AQ6" s="831"/>
      <c r="AR6" s="831"/>
      <c r="AS6" s="831"/>
      <c r="AT6" s="831"/>
      <c r="AU6" s="831"/>
      <c r="AV6" s="831"/>
      <c r="AW6" s="831"/>
      <c r="AX6" s="909"/>
      <c r="AY6" s="831"/>
      <c r="AZ6" s="831"/>
      <c r="BA6" s="831"/>
      <c r="BB6" s="831"/>
      <c r="BC6" s="831"/>
      <c r="BD6" s="285"/>
    </row>
    <row r="7" spans="1:56" x14ac:dyDescent="0.25">
      <c r="A7" s="832" t="str">
        <f>Model!A160</f>
        <v>Net Revenue</v>
      </c>
      <c r="B7" s="833"/>
      <c r="C7" s="835">
        <f>Model!C160</f>
        <v>101.373</v>
      </c>
      <c r="D7" s="835">
        <f>Model!D160</f>
        <v>104.899</v>
      </c>
      <c r="E7" s="835">
        <f>Model!E160</f>
        <v>113.197</v>
      </c>
      <c r="F7" s="835">
        <f>Model!F160</f>
        <v>117.22000000000003</v>
      </c>
      <c r="G7" s="835">
        <f>Model!G160</f>
        <v>117.88</v>
      </c>
      <c r="H7" s="835">
        <f>Model!H160</f>
        <v>134.91800000000001</v>
      </c>
      <c r="I7" s="835">
        <f>Model!I160</f>
        <v>123.869</v>
      </c>
      <c r="J7" s="835">
        <f>Model!J160</f>
        <v>125.20000000000002</v>
      </c>
      <c r="K7" s="835">
        <f>Model!K160</f>
        <v>115.253</v>
      </c>
      <c r="L7" s="835">
        <f>Model!L160</f>
        <v>125.66500000000001</v>
      </c>
      <c r="M7" s="835">
        <f>Model!M160</f>
        <v>122.931</v>
      </c>
      <c r="N7" s="835">
        <f>Model!N160</f>
        <v>126.43099999999997</v>
      </c>
      <c r="O7" s="835">
        <f>Model!O160</f>
        <v>115.756</v>
      </c>
      <c r="P7" s="835">
        <f>Model!P160</f>
        <v>125.542</v>
      </c>
      <c r="Q7" s="835">
        <f>Model!Q160</f>
        <v>121.97799999999999</v>
      </c>
      <c r="R7" s="835">
        <f>Model!R160</f>
        <v>127.283</v>
      </c>
      <c r="S7" s="835">
        <f>Model!S160</f>
        <v>122.447</v>
      </c>
      <c r="T7" s="835">
        <f>Model!T160</f>
        <v>131.161</v>
      </c>
      <c r="U7" s="835">
        <f>Model!U160</f>
        <v>124.09699999999999</v>
      </c>
      <c r="V7" s="835">
        <f>Model!V160</f>
        <v>131.50300000000004</v>
      </c>
      <c r="W7" s="835">
        <f>Model!W160</f>
        <v>125.032</v>
      </c>
      <c r="X7" s="835">
        <f>Model!X160</f>
        <v>133.691</v>
      </c>
      <c r="Y7" s="835">
        <f>Model!Y160</f>
        <v>123.566</v>
      </c>
      <c r="Z7" s="835">
        <f>Model!Z160</f>
        <v>132.87099999999998</v>
      </c>
      <c r="AA7" s="835">
        <f>Model!AA160</f>
        <v>139.47300000000001</v>
      </c>
      <c r="AB7" s="835">
        <f>Model!AB160</f>
        <v>149.41300000000001</v>
      </c>
      <c r="AC7" s="835">
        <f>Model!AC160</f>
        <v>139.005</v>
      </c>
      <c r="AD7" s="836">
        <f>Model!AD160</f>
        <v>155.39899999999994</v>
      </c>
      <c r="AE7" s="835">
        <f>Model!AE160</f>
        <v>128.28100000000001</v>
      </c>
      <c r="AF7" s="910">
        <f>Model!AF160</f>
        <v>106.14400000000001</v>
      </c>
      <c r="AG7" s="835">
        <f>Model!AG160</f>
        <v>130</v>
      </c>
      <c r="AH7" s="835">
        <f>Model!AH160</f>
        <v>147</v>
      </c>
      <c r="AI7" s="835">
        <f>Model!AI160</f>
        <v>137.26067</v>
      </c>
      <c r="AJ7" s="835">
        <f>Model!AJ160</f>
        <v>127.35121000000001</v>
      </c>
      <c r="AK7" s="835">
        <f>Model!AK160</f>
        <v>132.30000000000001</v>
      </c>
      <c r="AL7" s="835">
        <f>Model!AL160</f>
        <v>149.70999999999998</v>
      </c>
      <c r="AM7" s="835"/>
      <c r="AN7" s="834">
        <f>Model!AN160</f>
        <v>219.24</v>
      </c>
      <c r="AO7" s="834">
        <f>Model!AO160</f>
        <v>259.92599999999999</v>
      </c>
      <c r="AP7" s="834">
        <f>Model!AP160</f>
        <v>333.16699999999997</v>
      </c>
      <c r="AQ7" s="834">
        <f>Model!AQ160</f>
        <v>401.572</v>
      </c>
      <c r="AR7" s="834">
        <f>Model!AR160</f>
        <v>436.68900000000002</v>
      </c>
      <c r="AS7" s="834">
        <f>Model!AS160</f>
        <v>501.86700000000002</v>
      </c>
      <c r="AT7" s="834">
        <f>Model!AT160</f>
        <v>490.28</v>
      </c>
      <c r="AU7" s="834">
        <f>Model!AU160</f>
        <v>490.55900000000003</v>
      </c>
      <c r="AV7" s="834">
        <f>Model!AV160</f>
        <v>509.20800000000003</v>
      </c>
      <c r="AW7" s="834">
        <f>Model!AW160</f>
        <v>515.16</v>
      </c>
      <c r="AX7" s="977">
        <f>Model!AX160</f>
        <v>583.29</v>
      </c>
      <c r="AY7" s="834">
        <f>Model!AY160</f>
        <v>511.42500000000001</v>
      </c>
      <c r="AZ7" s="834">
        <f>Model!AZ160</f>
        <v>546.62188000000003</v>
      </c>
      <c r="BA7" s="834">
        <f>Model!BA160</f>
        <v>601.28406800000005</v>
      </c>
      <c r="BB7" s="834">
        <f>Model!BB160</f>
        <v>661.41247480000015</v>
      </c>
      <c r="BC7" s="834">
        <f>Model!BC160</f>
        <v>694.48309854000013</v>
      </c>
      <c r="BD7" s="285"/>
    </row>
    <row r="8" spans="1:56" x14ac:dyDescent="0.25">
      <c r="A8" s="832" t="str">
        <f>Model!A168</f>
        <v>Adjusted EBITDA</v>
      </c>
      <c r="B8" s="833"/>
      <c r="C8" s="835">
        <f>Model!C168</f>
        <v>10.47900000000001</v>
      </c>
      <c r="D8" s="835">
        <f>Model!D168</f>
        <v>11.600999999999996</v>
      </c>
      <c r="E8" s="835">
        <f>Model!E168</f>
        <v>13.607000000000006</v>
      </c>
      <c r="F8" s="835">
        <f>Model!F168</f>
        <v>15.457000000000075</v>
      </c>
      <c r="G8" s="835">
        <f>Model!G168</f>
        <v>10.85199999999999</v>
      </c>
      <c r="H8" s="835">
        <f>Model!H168</f>
        <v>17.60100000000001</v>
      </c>
      <c r="I8" s="835">
        <f>Model!I168</f>
        <v>14.957999999999998</v>
      </c>
      <c r="J8" s="835">
        <f>Model!J168</f>
        <v>14.826000000000091</v>
      </c>
      <c r="K8" s="835">
        <f>Model!K168</f>
        <v>10.514000000000006</v>
      </c>
      <c r="L8" s="835">
        <f>Model!L168</f>
        <v>11.27000000000001</v>
      </c>
      <c r="M8" s="835">
        <f>Model!M168</f>
        <v>9.7740000000000009</v>
      </c>
      <c r="N8" s="835">
        <f>Model!N168</f>
        <v>13.369999999999946</v>
      </c>
      <c r="O8" s="835">
        <f>Model!O168</f>
        <v>9.513000000000007</v>
      </c>
      <c r="P8" s="835">
        <f>Model!P168</f>
        <v>11.430000000000007</v>
      </c>
      <c r="Q8" s="835">
        <f>Model!Q168</f>
        <v>11.038999999999991</v>
      </c>
      <c r="R8" s="835">
        <f>Model!R168</f>
        <v>12.159000000000001</v>
      </c>
      <c r="S8" s="835">
        <f>Model!S168</f>
        <v>9.7550000000000061</v>
      </c>
      <c r="T8" s="835">
        <f>Model!T168</f>
        <v>13.908000000000003</v>
      </c>
      <c r="U8" s="835">
        <f>Model!U168</f>
        <v>12.392999999999997</v>
      </c>
      <c r="V8" s="835">
        <f>Model!V168</f>
        <v>12.211</v>
      </c>
      <c r="W8" s="835">
        <f>Model!W168</f>
        <v>8.142000000000003</v>
      </c>
      <c r="X8" s="835">
        <f>Model!X168</f>
        <v>11.768000000000006</v>
      </c>
      <c r="Y8" s="835">
        <f>Model!Y168</f>
        <v>9.8129999999999953</v>
      </c>
      <c r="Z8" s="835">
        <f>Model!Z168</f>
        <v>7.4950000000000294</v>
      </c>
      <c r="AA8" s="835">
        <f>Model!AA168</f>
        <v>8.7710000000000203</v>
      </c>
      <c r="AB8" s="835">
        <f>Model!AB168</f>
        <v>10.435000000000018</v>
      </c>
      <c r="AC8" s="835">
        <f>Model!AC168</f>
        <v>10.758000000000001</v>
      </c>
      <c r="AD8" s="836">
        <f>Model!AD168</f>
        <v>10.958999999999905</v>
      </c>
      <c r="AE8" s="835">
        <f>Model!AE168</f>
        <v>3.4240000000000066</v>
      </c>
      <c r="AF8" s="910">
        <f>Model!AF168</f>
        <v>5.9840000000000071</v>
      </c>
      <c r="AG8" s="835">
        <f>Model!AG168</f>
        <v>5.9299999999999962</v>
      </c>
      <c r="AH8" s="835">
        <f>Model!AH168</f>
        <v>7.7049999999999841</v>
      </c>
      <c r="AI8" s="835">
        <f>Model!AI168</f>
        <v>5.9835414599999908</v>
      </c>
      <c r="AJ8" s="835">
        <f>Model!AJ168</f>
        <v>6.5900593499999971</v>
      </c>
      <c r="AK8" s="835">
        <f>Model!AK168</f>
        <v>7.0519000000000105</v>
      </c>
      <c r="AL8" s="835">
        <f>Model!AL168</f>
        <v>10.334049999999998</v>
      </c>
      <c r="AM8" s="835"/>
      <c r="AN8" s="834">
        <f>Model!AN168</f>
        <v>18.793000000000006</v>
      </c>
      <c r="AO8" s="834">
        <f>Model!AO168</f>
        <v>27.329999999999995</v>
      </c>
      <c r="AP8" s="834">
        <f>Model!AP168</f>
        <v>37.886999999999958</v>
      </c>
      <c r="AQ8" s="834">
        <f>Model!AQ168</f>
        <v>47.657000000000004</v>
      </c>
      <c r="AR8" s="834">
        <f>Model!AR168</f>
        <v>51.144000000000048</v>
      </c>
      <c r="AS8" s="834">
        <f>Model!AS168</f>
        <v>58.237000000000045</v>
      </c>
      <c r="AT8" s="834">
        <f>Model!AT168</f>
        <v>44.927999999999955</v>
      </c>
      <c r="AU8" s="834">
        <f>Model!AU168</f>
        <v>38.064000000000036</v>
      </c>
      <c r="AV8" s="834">
        <f>Model!AV168</f>
        <v>49.266000000000005</v>
      </c>
      <c r="AW8" s="834">
        <f>Model!AW168</f>
        <v>37.917000000000002</v>
      </c>
      <c r="AX8" s="977">
        <f>Model!AX168</f>
        <v>40.922999999999973</v>
      </c>
      <c r="AY8" s="834">
        <f>Model!AY168</f>
        <v>23.042999999999992</v>
      </c>
      <c r="AZ8" s="834">
        <f>Model!AZ168</f>
        <v>29.959550809999996</v>
      </c>
      <c r="BA8" s="834">
        <f>Model!BA168</f>
        <v>40.003054120000016</v>
      </c>
      <c r="BB8" s="834">
        <f>Model!BB168</f>
        <v>49.77748428000011</v>
      </c>
      <c r="BC8" s="834">
        <f>Model!BC168</f>
        <v>51.846358493999958</v>
      </c>
      <c r="BD8" s="285"/>
    </row>
    <row r="9" spans="1:56" x14ac:dyDescent="0.25">
      <c r="A9" s="837" t="str">
        <f>Model!A199</f>
        <v>Adjusted Earnings Per Share - WAD</v>
      </c>
      <c r="B9" s="838"/>
      <c r="C9" s="840">
        <f>Model!C199</f>
        <v>0.25523424543946982</v>
      </c>
      <c r="D9" s="840">
        <f>Model!D199</f>
        <v>0.27138719354505009</v>
      </c>
      <c r="E9" s="840">
        <f>Model!E199</f>
        <v>0.31658420944135302</v>
      </c>
      <c r="F9" s="840">
        <f>Model!F199</f>
        <v>0.38324062628760125</v>
      </c>
      <c r="G9" s="840">
        <f>Model!G199</f>
        <v>0.22227371022551701</v>
      </c>
      <c r="H9" s="840">
        <f>Model!H199</f>
        <v>0.4178727787792953</v>
      </c>
      <c r="I9" s="840">
        <f>Model!I199</f>
        <v>0.37357537001701802</v>
      </c>
      <c r="J9" s="840">
        <f>Model!J199</f>
        <v>0.42824180895247443</v>
      </c>
      <c r="K9" s="840">
        <f>Model!K199</f>
        <v>0.23722058568705615</v>
      </c>
      <c r="L9" s="840">
        <f>Model!L199</f>
        <v>0.27163766278667756</v>
      </c>
      <c r="M9" s="840">
        <f>Model!M199</f>
        <v>0.21514590088003727</v>
      </c>
      <c r="N9" s="840">
        <f>Model!N199</f>
        <v>0.36520824814533254</v>
      </c>
      <c r="O9" s="840">
        <f>Model!O199</f>
        <v>0.22577386964529778</v>
      </c>
      <c r="P9" s="840">
        <f>Model!P199</f>
        <v>0.29190184778088057</v>
      </c>
      <c r="Q9" s="841">
        <f>Model!Q199</f>
        <v>0.28673792321012648</v>
      </c>
      <c r="R9" s="840">
        <f>Model!R199</f>
        <v>0.40023781212841836</v>
      </c>
      <c r="S9" s="840">
        <f>Model!S199</f>
        <v>0.26262217208004296</v>
      </c>
      <c r="T9" s="840">
        <f>Model!T199</f>
        <v>0.40830392681043243</v>
      </c>
      <c r="U9" s="841">
        <f>Model!U199</f>
        <v>0.37418797348484861</v>
      </c>
      <c r="V9" s="840">
        <f>Model!V199</f>
        <v>0.38996098599042645</v>
      </c>
      <c r="W9" s="840">
        <f>Model!W199</f>
        <v>0.1574821994854306</v>
      </c>
      <c r="X9" s="840">
        <f>Model!X199</f>
        <v>0.33534847298355552</v>
      </c>
      <c r="Y9" s="841">
        <f>Model!Y199</f>
        <v>0.26509261486649055</v>
      </c>
      <c r="Z9" s="840">
        <f>Model!Z199</f>
        <v>0.11312034590439793</v>
      </c>
      <c r="AA9" s="840">
        <f>Model!AA199</f>
        <v>0.15999640783092936</v>
      </c>
      <c r="AB9" s="840">
        <f>Model!AB199</f>
        <v>0.22183551847437544</v>
      </c>
      <c r="AC9" s="841">
        <f>Model!AC199</f>
        <v>0.23639471043154814</v>
      </c>
      <c r="AD9" s="840">
        <f>Model!AD199</f>
        <v>0.22787309048178123</v>
      </c>
      <c r="AE9" s="840">
        <f>Model!AE199</f>
        <v>-2.5597359350352632E-2</v>
      </c>
      <c r="AF9" s="911">
        <f>Model!AF199</f>
        <v>0.12478177485906924</v>
      </c>
      <c r="AG9" s="842">
        <f ca="1">Model!AG199</f>
        <v>8.3575205719110826E-2</v>
      </c>
      <c r="AH9" s="842">
        <f ca="1">Model!AH199</f>
        <v>0.16193357910296061</v>
      </c>
      <c r="AI9" s="842">
        <f ca="1">Model!AI199</f>
        <v>8.6775927572093833E-2</v>
      </c>
      <c r="AJ9" s="842">
        <f ca="1">Model!AJ199</f>
        <v>0.11305342561652276</v>
      </c>
      <c r="AK9" s="842">
        <f ca="1">Model!AK199</f>
        <v>0.1336040148487897</v>
      </c>
      <c r="AL9" s="842">
        <f ca="1">Model!AL199</f>
        <v>0.2784716067663936</v>
      </c>
      <c r="AM9" s="842"/>
      <c r="AN9" s="839">
        <f>Model!AN199</f>
        <v>-7.4791025076990564E-2</v>
      </c>
      <c r="AO9" s="839">
        <f>Model!AO199</f>
        <v>0.67980137754284731</v>
      </c>
      <c r="AP9" s="839">
        <f>Model!AP199</f>
        <v>0.93950552340873061</v>
      </c>
      <c r="AQ9" s="839">
        <f>Model!AQ199</f>
        <v>1.1770687418936454</v>
      </c>
      <c r="AR9" s="839">
        <f>Model!AR199</f>
        <v>1.2269393657680026</v>
      </c>
      <c r="AS9" s="839">
        <f>Model!AS199</f>
        <v>1.4347434743474361</v>
      </c>
      <c r="AT9" s="839">
        <f>Model!AT199</f>
        <v>1.0883341056533811</v>
      </c>
      <c r="AU9" s="839">
        <f>Model!AU199</f>
        <v>1.2158245488654653</v>
      </c>
      <c r="AV9" s="839">
        <f>Model!AV199</f>
        <v>1.4340016594559377</v>
      </c>
      <c r="AW9" s="839">
        <f>Model!AW199</f>
        <v>0.89912314326784781</v>
      </c>
      <c r="AX9" s="978">
        <f>Model!AX199</f>
        <v>0.84083624933277568</v>
      </c>
      <c r="AY9" s="843">
        <f ca="1">Model!AY199</f>
        <v>0.34527857432182335</v>
      </c>
      <c r="AZ9" s="843">
        <f ca="1">Model!AZ199</f>
        <v>0.61190497480380313</v>
      </c>
      <c r="BA9" s="843">
        <f ca="1">Model!BA199</f>
        <v>1.0562634107160509</v>
      </c>
      <c r="BB9" s="843">
        <f ca="1">Model!BB199</f>
        <v>1.4900302234857776</v>
      </c>
      <c r="BC9" s="843">
        <f ca="1">Model!BC199</f>
        <v>1.5841662697775243</v>
      </c>
      <c r="BD9" s="285"/>
    </row>
    <row r="10" spans="1:56" x14ac:dyDescent="0.25">
      <c r="A10" s="844" t="str">
        <f>Model!A251</f>
        <v>EV/EBITDA - Avg</v>
      </c>
      <c r="B10" s="845"/>
      <c r="C10" s="847"/>
      <c r="D10" s="847"/>
      <c r="E10" s="847"/>
      <c r="F10" s="847"/>
      <c r="G10" s="847"/>
      <c r="H10" s="847"/>
      <c r="I10" s="847"/>
      <c r="J10" s="847"/>
      <c r="K10" s="847"/>
      <c r="L10" s="847"/>
      <c r="M10" s="847"/>
      <c r="N10" s="847"/>
      <c r="O10" s="847"/>
      <c r="P10" s="847"/>
      <c r="Q10" s="848"/>
      <c r="R10" s="847"/>
      <c r="S10" s="847"/>
      <c r="T10" s="847"/>
      <c r="U10" s="848"/>
      <c r="V10" s="849"/>
      <c r="W10" s="847"/>
      <c r="X10" s="847"/>
      <c r="Y10" s="848"/>
      <c r="Z10" s="849"/>
      <c r="AA10" s="849"/>
      <c r="AB10" s="847"/>
      <c r="AC10" s="849"/>
      <c r="AD10" s="849"/>
      <c r="AE10" s="849"/>
      <c r="AF10" s="912"/>
      <c r="AG10" s="849"/>
      <c r="AH10" s="849"/>
      <c r="AI10" s="849"/>
      <c r="AJ10" s="849"/>
      <c r="AK10" s="849"/>
      <c r="AL10" s="849"/>
      <c r="AM10" s="849"/>
      <c r="AN10" s="846">
        <f ca="1">Model!AN251</f>
        <v>4.2139942398765484</v>
      </c>
      <c r="AO10" s="846">
        <f ca="1">Model!AO251</f>
        <v>4.606409989023053</v>
      </c>
      <c r="AP10" s="846">
        <f ca="1">Model!AP251</f>
        <v>5.9265526433869207</v>
      </c>
      <c r="AQ10" s="846">
        <f ca="1">Model!AQ251</f>
        <v>6.9610766781375224</v>
      </c>
      <c r="AR10" s="846">
        <f ca="1">Model!AR251</f>
        <v>9.2124591349913878</v>
      </c>
      <c r="AS10" s="846">
        <f ca="1">Model!AS251</f>
        <v>9.7541908923879923</v>
      </c>
      <c r="AT10" s="846">
        <f ca="1">Model!AT251</f>
        <v>12.108310630341894</v>
      </c>
      <c r="AU10" s="846">
        <f ca="1">Model!AU251</f>
        <v>11.894401238703225</v>
      </c>
      <c r="AV10" s="850">
        <f ca="1">Model!AV251</f>
        <v>10.026469192749563</v>
      </c>
      <c r="AW10" s="850">
        <f ca="1">Model!AW251</f>
        <v>11.125095881999361</v>
      </c>
      <c r="AX10" s="979">
        <f ca="1">Model!AX251</f>
        <v>8.2049252099083425</v>
      </c>
      <c r="AY10" s="850">
        <f ca="1">Model!AY251</f>
        <v>8.9169133432642607</v>
      </c>
      <c r="AZ10" s="850">
        <f ca="1">Model!AZ251</f>
        <v>6.3715040167221302</v>
      </c>
      <c r="BA10" s="850">
        <f ca="1">Model!BA251</f>
        <v>4.2958829720311904</v>
      </c>
      <c r="BB10" s="850">
        <f ca="1">Model!BB251</f>
        <v>2.9375515172169178</v>
      </c>
      <c r="BC10" s="850">
        <f ca="1">Model!BC251</f>
        <v>2.2012101222233036</v>
      </c>
      <c r="BD10" s="285"/>
    </row>
    <row r="11" spans="1:56" x14ac:dyDescent="0.25">
      <c r="A11" s="844" t="str">
        <f>Model!A250</f>
        <v>P/E - Avg</v>
      </c>
      <c r="B11" s="845"/>
      <c r="C11" s="847"/>
      <c r="D11" s="847"/>
      <c r="E11" s="847"/>
      <c r="F11" s="847"/>
      <c r="G11" s="847"/>
      <c r="H11" s="847"/>
      <c r="I11" s="847"/>
      <c r="J11" s="847"/>
      <c r="K11" s="847"/>
      <c r="L11" s="847"/>
      <c r="M11" s="847"/>
      <c r="N11" s="847"/>
      <c r="O11" s="847"/>
      <c r="P11" s="847"/>
      <c r="Q11" s="848"/>
      <c r="R11" s="847"/>
      <c r="S11" s="847"/>
      <c r="T11" s="847"/>
      <c r="U11" s="848"/>
      <c r="V11" s="849"/>
      <c r="W11" s="847"/>
      <c r="X11" s="847"/>
      <c r="Y11" s="848"/>
      <c r="Z11" s="849"/>
      <c r="AA11" s="849"/>
      <c r="AB11" s="847"/>
      <c r="AC11" s="849"/>
      <c r="AD11" s="849"/>
      <c r="AE11" s="849"/>
      <c r="AF11" s="912"/>
      <c r="AG11" s="849"/>
      <c r="AH11" s="849"/>
      <c r="AI11" s="849"/>
      <c r="AJ11" s="849"/>
      <c r="AK11" s="849"/>
      <c r="AL11" s="849"/>
      <c r="AM11" s="849"/>
      <c r="AN11" s="846">
        <f ca="1">Model!AN250</f>
        <v>-75.62738970588255</v>
      </c>
      <c r="AO11" s="846">
        <f ca="1">Model!AO250</f>
        <v>12.157963006597562</v>
      </c>
      <c r="AP11" s="846">
        <f ca="1">Model!AP250</f>
        <v>12.804608062709988</v>
      </c>
      <c r="AQ11" s="846">
        <f ca="1">Model!AQ250</f>
        <v>14.964079304037366</v>
      </c>
      <c r="AR11" s="846">
        <f ca="1">Model!AR250</f>
        <v>20.053965734972163</v>
      </c>
      <c r="AS11" s="846">
        <f ca="1">Model!AS250</f>
        <v>19.337951693851927</v>
      </c>
      <c r="AT11" s="846">
        <f ca="1">Model!AT250</f>
        <v>26.957484698493843</v>
      </c>
      <c r="AU11" s="846">
        <f ca="1">Model!AU250</f>
        <v>20.151961911661594</v>
      </c>
      <c r="AV11" s="850">
        <f ca="1">Model!AV250</f>
        <v>18.675884942951072</v>
      </c>
      <c r="AW11" s="850">
        <f ca="1">Model!AW250</f>
        <v>21.233170564795198</v>
      </c>
      <c r="AX11" s="979">
        <f ca="1">Model!AX250</f>
        <v>16.295662963932589</v>
      </c>
      <c r="AY11" s="850">
        <f ca="1">Model!AY250</f>
        <v>23.748939580470569</v>
      </c>
      <c r="AZ11" s="850">
        <f ca="1">Model!AZ250</f>
        <v>13.400773547607109</v>
      </c>
      <c r="BA11" s="850">
        <f ca="1">Model!BA250</f>
        <v>7.7632150435289073</v>
      </c>
      <c r="BB11" s="850">
        <f ca="1">Model!BB250</f>
        <v>5.503244075691911</v>
      </c>
      <c r="BC11" s="850">
        <f ca="1">Model!BC250</f>
        <v>5.1762243373301864</v>
      </c>
      <c r="BD11" s="285"/>
    </row>
    <row r="12" spans="1:56" x14ac:dyDescent="0.25">
      <c r="A12" s="844"/>
      <c r="B12" s="845"/>
      <c r="C12" s="847"/>
      <c r="D12" s="847"/>
      <c r="E12" s="847"/>
      <c r="F12" s="847"/>
      <c r="G12" s="847"/>
      <c r="H12" s="847"/>
      <c r="I12" s="847"/>
      <c r="J12" s="847"/>
      <c r="K12" s="847"/>
      <c r="L12" s="847"/>
      <c r="M12" s="847"/>
      <c r="N12" s="847"/>
      <c r="O12" s="847"/>
      <c r="P12" s="847"/>
      <c r="Q12" s="848"/>
      <c r="R12" s="847"/>
      <c r="S12" s="847"/>
      <c r="T12" s="847"/>
      <c r="U12" s="848"/>
      <c r="V12" s="849"/>
      <c r="W12" s="847"/>
      <c r="X12" s="847"/>
      <c r="Y12" s="848"/>
      <c r="Z12" s="849"/>
      <c r="AA12" s="849"/>
      <c r="AB12" s="847"/>
      <c r="AC12" s="849"/>
      <c r="AD12" s="849"/>
      <c r="AE12" s="849"/>
      <c r="AF12" s="912"/>
      <c r="AG12" s="849"/>
      <c r="AH12" s="849"/>
      <c r="AI12" s="849"/>
      <c r="AJ12" s="849"/>
      <c r="AK12" s="849"/>
      <c r="AL12" s="849"/>
      <c r="AM12" s="849"/>
      <c r="AN12" s="846"/>
      <c r="AO12" s="846"/>
      <c r="AP12" s="846"/>
      <c r="AQ12" s="846"/>
      <c r="AR12" s="846"/>
      <c r="AS12" s="846"/>
      <c r="AT12" s="846"/>
      <c r="AU12" s="846"/>
      <c r="AV12" s="850"/>
      <c r="AW12" s="850"/>
      <c r="AX12" s="979"/>
      <c r="AY12" s="850"/>
      <c r="AZ12" s="850"/>
      <c r="BA12" s="850"/>
      <c r="BB12" s="850"/>
      <c r="BC12" s="850"/>
      <c r="BD12" s="285"/>
    </row>
    <row r="13" spans="1:56" x14ac:dyDescent="0.25">
      <c r="A13" s="831" t="s">
        <v>476</v>
      </c>
      <c r="B13" s="831"/>
      <c r="C13" s="831"/>
      <c r="D13" s="831"/>
      <c r="E13" s="831"/>
      <c r="F13" s="831"/>
      <c r="G13" s="831"/>
      <c r="H13" s="831"/>
      <c r="I13" s="831"/>
      <c r="J13" s="831"/>
      <c r="K13" s="831"/>
      <c r="L13" s="831"/>
      <c r="M13" s="831"/>
      <c r="N13" s="831"/>
      <c r="O13" s="831"/>
      <c r="P13" s="831"/>
      <c r="Q13" s="831"/>
      <c r="R13" s="831"/>
      <c r="S13" s="831"/>
      <c r="T13" s="831"/>
      <c r="U13" s="831"/>
      <c r="V13" s="831"/>
      <c r="W13" s="831"/>
      <c r="X13" s="831"/>
      <c r="Y13" s="831"/>
      <c r="Z13" s="831"/>
      <c r="AA13" s="831"/>
      <c r="AB13" s="831"/>
      <c r="AC13" s="831"/>
      <c r="AD13" s="831"/>
      <c r="AE13" s="831"/>
      <c r="AF13" s="909"/>
      <c r="AG13" s="908"/>
      <c r="AH13" s="831"/>
      <c r="AI13" s="831"/>
      <c r="AJ13" s="831"/>
      <c r="AK13" s="831"/>
      <c r="AL13" s="831"/>
      <c r="AM13" s="831"/>
      <c r="AN13" s="831"/>
      <c r="AO13" s="831"/>
      <c r="AP13" s="831"/>
      <c r="AQ13" s="831"/>
      <c r="AR13" s="831"/>
      <c r="AS13" s="831"/>
      <c r="AT13" s="831"/>
      <c r="AU13" s="831"/>
      <c r="AV13" s="831"/>
      <c r="AW13" s="831"/>
      <c r="AX13" s="909"/>
      <c r="AY13" s="831"/>
      <c r="AZ13" s="831"/>
      <c r="BA13" s="831"/>
      <c r="BB13" s="831"/>
      <c r="BC13" s="831"/>
      <c r="BD13" s="285"/>
    </row>
    <row r="14" spans="1:56" hidden="1" outlineLevel="1" x14ac:dyDescent="0.25">
      <c r="A14" s="851" t="s">
        <v>105</v>
      </c>
      <c r="B14" s="852"/>
      <c r="C14" s="757">
        <f>Model!C173</f>
        <v>7.0920000000000094</v>
      </c>
      <c r="D14" s="757">
        <f>Model!D173</f>
        <v>8.5149999999999988</v>
      </c>
      <c r="E14" s="757">
        <f>Model!E173</f>
        <v>10.205000000000014</v>
      </c>
      <c r="F14" s="757">
        <f>Model!F173</f>
        <v>10.864000000000066</v>
      </c>
      <c r="G14" s="757">
        <f>Model!G173</f>
        <v>6.7659999999999911</v>
      </c>
      <c r="H14" s="757">
        <f>Model!H173</f>
        <v>13.305000000000017</v>
      </c>
      <c r="I14" s="757">
        <f>Model!I173</f>
        <v>10.654999999999996</v>
      </c>
      <c r="J14" s="757">
        <f>Model!J173</f>
        <v>11.741000000000096</v>
      </c>
      <c r="K14" s="757">
        <f>Model!K173</f>
        <v>7.5360000000000031</v>
      </c>
      <c r="L14" s="757">
        <f>Model!L173</f>
        <v>8.0690000000000026</v>
      </c>
      <c r="M14" s="757">
        <f>Model!M173</f>
        <v>8.1160000000000032</v>
      </c>
      <c r="N14" s="757">
        <f>Model!N173</f>
        <v>10.522999999999946</v>
      </c>
      <c r="O14" s="757">
        <f>Model!O173</f>
        <v>5.957000000000007</v>
      </c>
      <c r="P14" s="757">
        <f>Model!P173</f>
        <v>8.0650000000000013</v>
      </c>
      <c r="Q14" s="757">
        <f>Model!Q173</f>
        <v>8.0079999999999885</v>
      </c>
      <c r="R14" s="757">
        <f>Model!R173</f>
        <v>9.5299999999999976</v>
      </c>
      <c r="S14" s="757">
        <f>Model!S173</f>
        <v>6.3940000000000037</v>
      </c>
      <c r="T14" s="757">
        <f>Model!T173</f>
        <v>9.1970000000000081</v>
      </c>
      <c r="U14" s="757">
        <f>Model!U173</f>
        <v>4.0930000000000035</v>
      </c>
      <c r="V14" s="757">
        <f>Model!V173</f>
        <v>4.9240000000000457</v>
      </c>
      <c r="W14" s="757">
        <f>Model!W173</f>
        <v>3.0950000000000015</v>
      </c>
      <c r="X14" s="757">
        <f>Model!X173</f>
        <v>7.3460000000000045</v>
      </c>
      <c r="Y14" s="757">
        <f>Model!Y173</f>
        <v>5.6750000000000043</v>
      </c>
      <c r="Z14" s="757">
        <f>Model!Z173</f>
        <v>1.9810000000000341</v>
      </c>
      <c r="AA14" s="757">
        <f>Model!AA173</f>
        <v>3.1620000000000128</v>
      </c>
      <c r="AB14" s="757">
        <f>Model!AB173</f>
        <v>5.6510000000000202</v>
      </c>
      <c r="AC14" s="757">
        <f>Model!AC173</f>
        <v>4.5969999999999942</v>
      </c>
      <c r="AD14" s="757">
        <f>Model!AD173</f>
        <v>3.4359999999999165</v>
      </c>
      <c r="AE14" s="757">
        <f>Model!AE173</f>
        <v>-1.5089999999999861</v>
      </c>
      <c r="AF14" s="758">
        <f>Model!AF173</f>
        <v>-0.13999999999999568</v>
      </c>
      <c r="AG14" s="757">
        <f>Model!AG173</f>
        <v>2.3299999999999961</v>
      </c>
      <c r="AH14" s="757">
        <f>Model!AH173</f>
        <v>4.1049999999999844</v>
      </c>
      <c r="AI14" s="757">
        <f>Model!AI173</f>
        <v>2.3835414599999907</v>
      </c>
      <c r="AJ14" s="757">
        <f>Model!AJ173</f>
        <v>2.990059349999997</v>
      </c>
      <c r="AK14" s="757">
        <f>Model!AK173</f>
        <v>3.4519000000000104</v>
      </c>
      <c r="AL14" s="757">
        <f>Model!AL173</f>
        <v>6.7340499999999981</v>
      </c>
      <c r="AM14" s="757"/>
      <c r="AN14" s="756">
        <f>Model!AN173</f>
        <v>13.291000000000004</v>
      </c>
      <c r="AO14" s="756">
        <f>Model!AO173</f>
        <v>19.223999999999986</v>
      </c>
      <c r="AP14" s="756">
        <f>Model!AP173</f>
        <v>26.38499999999997</v>
      </c>
      <c r="AQ14" s="756">
        <f>Model!AQ173</f>
        <v>36.471000000000011</v>
      </c>
      <c r="AR14" s="756">
        <f>Model!AR173</f>
        <v>36.676000000000066</v>
      </c>
      <c r="AS14" s="756">
        <f>Model!AS173</f>
        <v>42.467000000000027</v>
      </c>
      <c r="AT14" s="756">
        <f>Model!AT173</f>
        <v>34.243999999999971</v>
      </c>
      <c r="AU14" s="756">
        <f>Model!AU173</f>
        <v>31.560000000000027</v>
      </c>
      <c r="AV14" s="756">
        <f>Model!AV173</f>
        <v>24.608000000000036</v>
      </c>
      <c r="AW14" s="756">
        <f>Model!AW173</f>
        <v>18.096999999999987</v>
      </c>
      <c r="AX14" s="947">
        <f>Model!AX173</f>
        <v>16.845999999999933</v>
      </c>
      <c r="AY14" s="756">
        <f>Model!AY173</f>
        <v>4.7859999999999694</v>
      </c>
      <c r="AZ14" s="756">
        <f>Model!AZ173</f>
        <v>15.559550810000053</v>
      </c>
      <c r="BA14" s="756">
        <f>Model!BA173</f>
        <v>25.603054120000017</v>
      </c>
      <c r="BB14" s="756">
        <f>Model!BB173</f>
        <v>35.377484280000111</v>
      </c>
      <c r="BC14" s="756">
        <f>Model!BC173</f>
        <v>37.446358493999959</v>
      </c>
      <c r="BD14" s="285"/>
    </row>
    <row r="15" spans="1:56" hidden="1" outlineLevel="1" x14ac:dyDescent="0.25">
      <c r="A15" s="853" t="s">
        <v>477</v>
      </c>
      <c r="B15" s="854"/>
      <c r="C15" s="725">
        <f>-(Model!C181+Model!C182)</f>
        <v>-2.5430000000000001</v>
      </c>
      <c r="D15" s="725">
        <f>-(Model!D181+Model!D182)</f>
        <v>-3.34</v>
      </c>
      <c r="E15" s="725">
        <f>-(Model!E181+Model!E182)</f>
        <v>-4.1109999999999998</v>
      </c>
      <c r="F15" s="725">
        <f>-(Model!F181+Model!F182)</f>
        <v>-4.7380000000000004</v>
      </c>
      <c r="G15" s="725">
        <f>-(Model!G181+Model!G182)</f>
        <v>-2.81</v>
      </c>
      <c r="H15" s="725">
        <f>-(Model!H181+Model!H182)</f>
        <v>-5.6639999999999997</v>
      </c>
      <c r="I15" s="725">
        <f>-(Model!I181+Model!I182)</f>
        <v>-3.8769999999999998</v>
      </c>
      <c r="J15" s="725">
        <f>-(Model!J181+Model!J182)</f>
        <v>-3.3739999999999997</v>
      </c>
      <c r="K15" s="725">
        <f>-(Model!K181+Model!K182)</f>
        <v>-2.6360000000000001</v>
      </c>
      <c r="L15" s="725">
        <f>-(Model!L181+Model!L182)</f>
        <v>-2.6840000000000002</v>
      </c>
      <c r="M15" s="725">
        <f>-(Model!M181+Model!M182)</f>
        <v>-2.2029999999999998</v>
      </c>
      <c r="N15" s="725">
        <f>-(Model!N181+Model!N182)</f>
        <v>-3.3109999999999999</v>
      </c>
      <c r="O15" s="725">
        <f>-(Model!O181+Model!O182)</f>
        <v>-2.2069999999999999</v>
      </c>
      <c r="P15" s="725">
        <f>-(Model!P181+Model!P182)</f>
        <v>-3.056</v>
      </c>
      <c r="Q15" s="725">
        <f>-(Model!Q181+Model!Q182)</f>
        <v>-2.8090000000000002</v>
      </c>
      <c r="R15" s="725">
        <f>-(Model!R181+Model!R182)</f>
        <v>-1.7150000000000007</v>
      </c>
      <c r="S15" s="725">
        <f>-(Model!S181+Model!S182)</f>
        <v>-1.992</v>
      </c>
      <c r="T15" s="725">
        <f>-(Model!T181+Model!T182)</f>
        <v>-2.5969999999999995</v>
      </c>
      <c r="U15" s="725">
        <f>-(Model!U181+Model!U182)</f>
        <v>-0.64300000000000002</v>
      </c>
      <c r="V15" s="725">
        <f>-(Model!V181+Model!V182)</f>
        <v>-1.5659999999999998</v>
      </c>
      <c r="W15" s="725">
        <f>-(Model!W181+Model!W182)</f>
        <v>-1.73</v>
      </c>
      <c r="X15" s="725">
        <f>-(Model!X181+Model!X182)</f>
        <v>-1.3320000000000001</v>
      </c>
      <c r="Y15" s="725">
        <f>-(Model!Y181+Model!Y182)</f>
        <v>-1.1020000000000003</v>
      </c>
      <c r="Z15" s="725">
        <f>-(Model!Z181+Model!Z182)</f>
        <v>-0.76299999999999901</v>
      </c>
      <c r="AA15" s="725">
        <f>-(Model!AA181+Model!AA182)</f>
        <v>-0.14700000000000002</v>
      </c>
      <c r="AB15" s="725">
        <f>-(Model!AB181+Model!AB182)</f>
        <v>-1.2999999999999998</v>
      </c>
      <c r="AC15" s="725">
        <f>-(Model!AC181+Model!AC182)</f>
        <v>-0.96099999999999997</v>
      </c>
      <c r="AD15" s="725">
        <f>-(Model!AD181+Model!AD182)</f>
        <v>-4.7720000000000002</v>
      </c>
      <c r="AE15" s="725">
        <f>-(Model!AE181+Model!AE182)</f>
        <v>0.629</v>
      </c>
      <c r="AF15" s="771">
        <f>-(Model!AF181+Model!AF182)</f>
        <v>1.1850000000000001</v>
      </c>
      <c r="AG15" s="725">
        <f>-(Model!AG181+Model!AG182)</f>
        <v>-0.39097217836065479</v>
      </c>
      <c r="AH15" s="725">
        <f ca="1">-(Model!AH181+Model!AH182)</f>
        <v>-0.8167550828288348</v>
      </c>
      <c r="AI15" s="725">
        <f ca="1">-(Model!AI181+Model!AI182)</f>
        <v>-0.40836422707358488</v>
      </c>
      <c r="AJ15" s="725">
        <f ca="1">-(Model!AJ181+Model!AJ182)</f>
        <v>-0.55115061934216014</v>
      </c>
      <c r="AK15" s="725">
        <f ca="1">-(Model!AK181+Model!AK182)</f>
        <v>-0.66281819479046034</v>
      </c>
      <c r="AL15" s="725">
        <f ca="1">-(Model!AL181+Model!AL182)</f>
        <v>-1.4499981908303161</v>
      </c>
      <c r="AM15" s="725"/>
      <c r="AN15" s="726">
        <f>-(Model!AN181+Model!AN182)</f>
        <v>-4.585</v>
      </c>
      <c r="AO15" s="726">
        <f>-(Model!AO181+Model!AO182)</f>
        <v>-8.1199999999999992</v>
      </c>
      <c r="AP15" s="726">
        <f>-(Model!AP181+Model!AP182)</f>
        <v>-10.531000000000001</v>
      </c>
      <c r="AQ15" s="726">
        <f>-(Model!AQ181+Model!AQ182)</f>
        <v>-13.114000000000001</v>
      </c>
      <c r="AR15" s="726">
        <f>-(Model!AR181+Model!AR182)</f>
        <v>-14.731999999999999</v>
      </c>
      <c r="AS15" s="726">
        <f>-(Model!AS181+Model!AS182)</f>
        <v>-15.725</v>
      </c>
      <c r="AT15" s="726">
        <f>-(Model!AT181+Model!AT182)</f>
        <v>-10.834</v>
      </c>
      <c r="AU15" s="726">
        <f>-(Model!AU181+Model!AU182)</f>
        <v>-9.7870000000000008</v>
      </c>
      <c r="AV15" s="726">
        <f>-(Model!AV181+Model!AV182)</f>
        <v>-6.798</v>
      </c>
      <c r="AW15" s="726">
        <f>-(Model!AW181+Model!AW182)</f>
        <v>-4.9269999999999996</v>
      </c>
      <c r="AX15" s="925">
        <f>-(Model!AX181+Model!AX182)</f>
        <v>-7.18</v>
      </c>
      <c r="AY15" s="726">
        <f ca="1">-(Model!AY181+Model!AY182)</f>
        <v>0.60627273881051036</v>
      </c>
      <c r="AZ15" s="726">
        <f ca="1">-(Model!AZ181+Model!AZ182)</f>
        <v>-3.0723312320365213</v>
      </c>
      <c r="BA15" s="726">
        <f ca="1">-(Model!BA181+Model!BA182)</f>
        <v>-5.4868814236392609</v>
      </c>
      <c r="BB15" s="726">
        <f ca="1">-(Model!BB181+Model!BB182)</f>
        <v>-7.8438789649009379</v>
      </c>
      <c r="BC15" s="726">
        <f ca="1">-(Model!BC181+Model!BC182)</f>
        <v>-8.3553944223352765</v>
      </c>
      <c r="BD15" s="285"/>
    </row>
    <row r="16" spans="1:56" hidden="1" outlineLevel="1" x14ac:dyDescent="0.25">
      <c r="A16" s="853" t="s">
        <v>103</v>
      </c>
      <c r="B16" s="854"/>
      <c r="C16" s="725">
        <f>Model!C171</f>
        <v>1.958</v>
      </c>
      <c r="D16" s="725">
        <f>Model!D171</f>
        <v>1.9920000000000002</v>
      </c>
      <c r="E16" s="725">
        <f>Model!E171</f>
        <v>2.3049999999999997</v>
      </c>
      <c r="F16" s="725">
        <f>Model!F171</f>
        <v>2.362000000000001</v>
      </c>
      <c r="G16" s="725">
        <f>Model!G171</f>
        <v>2.4079999999999999</v>
      </c>
      <c r="H16" s="725">
        <f>Model!H171</f>
        <v>2.5429999999999997</v>
      </c>
      <c r="I16" s="725">
        <f>Model!I171</f>
        <v>2.5260000000000007</v>
      </c>
      <c r="J16" s="725">
        <f>Model!J171</f>
        <v>2.2809999999999988</v>
      </c>
      <c r="K16" s="725">
        <f>Model!K171</f>
        <v>2.0680000000000001</v>
      </c>
      <c r="L16" s="725">
        <f>Model!L171</f>
        <v>1.9839999999999995</v>
      </c>
      <c r="M16" s="725">
        <f>Model!M171</f>
        <v>1.9620000000000006</v>
      </c>
      <c r="N16" s="725">
        <f>Model!N171</f>
        <v>1.851</v>
      </c>
      <c r="O16" s="725">
        <f>Model!O171</f>
        <v>1.7649999999999999</v>
      </c>
      <c r="P16" s="725">
        <f>Model!P171</f>
        <v>1.7100000000000002</v>
      </c>
      <c r="Q16" s="725">
        <f>Model!Q171</f>
        <v>1.4940000000000002</v>
      </c>
      <c r="R16" s="725">
        <f>Model!R171</f>
        <v>1.4929999999999994</v>
      </c>
      <c r="S16" s="725">
        <f>Model!S171</f>
        <v>1.4430000000000001</v>
      </c>
      <c r="T16" s="725">
        <f>Model!T171</f>
        <v>1.7629999999999999</v>
      </c>
      <c r="U16" s="725">
        <f>Model!U171</f>
        <v>1.9469999999999996</v>
      </c>
      <c r="V16" s="725">
        <f>Model!V171</f>
        <v>1.8210000000000006</v>
      </c>
      <c r="W16" s="725">
        <f>Model!W171</f>
        <v>1.8420000000000001</v>
      </c>
      <c r="X16" s="725">
        <f>Model!X171</f>
        <v>1.919</v>
      </c>
      <c r="Y16" s="725">
        <f>Model!Y171</f>
        <v>1.9089999999999998</v>
      </c>
      <c r="Z16" s="725">
        <f>Model!Z171</f>
        <v>2.2510000000000003</v>
      </c>
      <c r="AA16" s="725">
        <f>Model!AA171</f>
        <v>2.3410000000000002</v>
      </c>
      <c r="AB16" s="725">
        <f>Model!AB171</f>
        <v>2.3159999999999998</v>
      </c>
      <c r="AC16" s="725">
        <f>Model!AC171</f>
        <v>2.335</v>
      </c>
      <c r="AD16" s="725">
        <f>Model!AD171</f>
        <v>2.4899999999999993</v>
      </c>
      <c r="AE16" s="725">
        <f>Model!AE171</f>
        <v>2.177</v>
      </c>
      <c r="AF16" s="771">
        <f>Model!AF171</f>
        <v>2.077</v>
      </c>
      <c r="AG16" s="725">
        <f>Model!AG171</f>
        <v>2.1</v>
      </c>
      <c r="AH16" s="725">
        <f>Model!AH171</f>
        <v>2.1</v>
      </c>
      <c r="AI16" s="725">
        <f>Model!AI171</f>
        <v>2.1</v>
      </c>
      <c r="AJ16" s="725">
        <f>Model!AJ171</f>
        <v>2.1</v>
      </c>
      <c r="AK16" s="725">
        <f>Model!AK171</f>
        <v>2.1</v>
      </c>
      <c r="AL16" s="725">
        <f>Model!AL171</f>
        <v>2.1</v>
      </c>
      <c r="AM16" s="725"/>
      <c r="AN16" s="726">
        <f>Model!AN171</f>
        <v>3.38</v>
      </c>
      <c r="AO16" s="726">
        <f>Model!AO171</f>
        <v>4.2300000000000004</v>
      </c>
      <c r="AP16" s="726">
        <f>Model!AP171</f>
        <v>6.1870000000000003</v>
      </c>
      <c r="AQ16" s="726">
        <f>Model!AQ171</f>
        <v>7.9710000000000001</v>
      </c>
      <c r="AR16" s="726">
        <f>Model!AR171</f>
        <v>8.6170000000000009</v>
      </c>
      <c r="AS16" s="726">
        <f>Model!AS171</f>
        <v>9.7579999999999991</v>
      </c>
      <c r="AT16" s="726">
        <f>Model!AT171</f>
        <v>7.8650000000000002</v>
      </c>
      <c r="AU16" s="726">
        <f>Model!AU171</f>
        <v>6.4619999999999997</v>
      </c>
      <c r="AV16" s="726">
        <f>Model!AV171</f>
        <v>6.9740000000000002</v>
      </c>
      <c r="AW16" s="726">
        <f>Model!AW171</f>
        <v>7.9210000000000003</v>
      </c>
      <c r="AX16" s="925">
        <f>Model!AX171</f>
        <v>9.4819999999999993</v>
      </c>
      <c r="AY16" s="726">
        <f>Model!AY171</f>
        <v>8.4539999999999988</v>
      </c>
      <c r="AZ16" s="726">
        <f>Model!AZ171</f>
        <v>8.4</v>
      </c>
      <c r="BA16" s="726">
        <f>Model!BA171</f>
        <v>8.4</v>
      </c>
      <c r="BB16" s="726">
        <f>Model!BB171</f>
        <v>8.4</v>
      </c>
      <c r="BC16" s="726">
        <f>Model!BC171</f>
        <v>8.4</v>
      </c>
      <c r="BD16" s="285"/>
    </row>
    <row r="17" spans="1:56" hidden="1" outlineLevel="1" x14ac:dyDescent="0.25">
      <c r="A17" s="857" t="s">
        <v>132</v>
      </c>
      <c r="B17" s="854"/>
      <c r="C17" s="725">
        <f>Model!C210</f>
        <v>-0.83</v>
      </c>
      <c r="D17" s="725">
        <f>Model!D210</f>
        <v>-1.331</v>
      </c>
      <c r="E17" s="725">
        <f>Model!E210</f>
        <v>-2.4469999999999996</v>
      </c>
      <c r="F17" s="725">
        <f>Model!F210</f>
        <v>-2.1060000000000008</v>
      </c>
      <c r="G17" s="725">
        <f>Model!G210</f>
        <v>-0.91600000000000004</v>
      </c>
      <c r="H17" s="725">
        <f>Model!H210</f>
        <v>-0.52799999999999991</v>
      </c>
      <c r="I17" s="725">
        <f>Model!I210</f>
        <v>-0.871</v>
      </c>
      <c r="J17" s="725">
        <f>Model!J210</f>
        <v>-0.44200000000000017</v>
      </c>
      <c r="K17" s="725">
        <f>Model!K210</f>
        <v>-0.6</v>
      </c>
      <c r="L17" s="725">
        <f>Model!L210</f>
        <v>-0.75000000000000011</v>
      </c>
      <c r="M17" s="725">
        <f>Model!M210</f>
        <v>-0.48099999999999987</v>
      </c>
      <c r="N17" s="725">
        <f>Model!N210</f>
        <v>-0.52600000000000025</v>
      </c>
      <c r="O17" s="725">
        <f>Model!O210</f>
        <v>-0.57499999999999996</v>
      </c>
      <c r="P17" s="725">
        <f>Model!P210</f>
        <v>-0.34700000000000009</v>
      </c>
      <c r="Q17" s="725">
        <f>Model!Q210</f>
        <v>-0.2619999999999999</v>
      </c>
      <c r="R17" s="725">
        <f>Model!R210</f>
        <v>-0.21799999999999997</v>
      </c>
      <c r="S17" s="725">
        <f>Model!S210</f>
        <v>-0.52500000000000002</v>
      </c>
      <c r="T17" s="725">
        <f>Model!T210</f>
        <v>-1.2439999999999998</v>
      </c>
      <c r="U17" s="725">
        <f>Model!U210</f>
        <v>-0.55499999999999994</v>
      </c>
      <c r="V17" s="725">
        <f>Model!V210</f>
        <v>-0.41000000000000014</v>
      </c>
      <c r="W17" s="725">
        <f>Model!W210</f>
        <v>-0.37</v>
      </c>
      <c r="X17" s="725">
        <f>Model!X210</f>
        <v>-1.1440000000000001</v>
      </c>
      <c r="Y17" s="725">
        <f>Model!Y210</f>
        <v>-0.75299999999999989</v>
      </c>
      <c r="Z17" s="725">
        <f>Model!Z210</f>
        <v>-0.56700000000000017</v>
      </c>
      <c r="AA17" s="725">
        <f>Model!AA210</f>
        <v>-0.54200000000000004</v>
      </c>
      <c r="AB17" s="725">
        <f>Model!AB210</f>
        <v>-0.48499999999999988</v>
      </c>
      <c r="AC17" s="725">
        <f>Model!AC210</f>
        <v>-0.87800000000000011</v>
      </c>
      <c r="AD17" s="725">
        <f>Model!AD210</f>
        <v>-0.40999999999999992</v>
      </c>
      <c r="AE17" s="725">
        <f>Model!AE210</f>
        <v>-0.46700000000000003</v>
      </c>
      <c r="AF17" s="771">
        <f>Model!AF210</f>
        <v>-0.57899999999999996</v>
      </c>
      <c r="AG17" s="725">
        <f>Model!AG210</f>
        <v>-0.4</v>
      </c>
      <c r="AH17" s="725">
        <f>Model!AH210</f>
        <v>-0.4</v>
      </c>
      <c r="AI17" s="725">
        <f>Model!AI210</f>
        <v>-0.8</v>
      </c>
      <c r="AJ17" s="725">
        <f>Model!AJ210</f>
        <v>-0.8</v>
      </c>
      <c r="AK17" s="725">
        <f>Model!AK210</f>
        <v>-0.8</v>
      </c>
      <c r="AL17" s="725">
        <f>Model!AL210</f>
        <v>-0.8</v>
      </c>
      <c r="AM17" s="725"/>
      <c r="AN17" s="726">
        <f>Model!AN210</f>
        <v>-1.1739999999999999</v>
      </c>
      <c r="AO17" s="726">
        <f>Model!AO210</f>
        <v>-1.5309999999999999</v>
      </c>
      <c r="AP17" s="726">
        <f>Model!AP210</f>
        <v>-3.9750000000000001</v>
      </c>
      <c r="AQ17" s="726">
        <f>Model!AQ210</f>
        <v>-2.536</v>
      </c>
      <c r="AR17" s="726">
        <f>Model!AR210</f>
        <v>-6.7140000000000004</v>
      </c>
      <c r="AS17" s="726">
        <f>Model!AS210</f>
        <v>-2.7570000000000001</v>
      </c>
      <c r="AT17" s="726">
        <f>Model!AT210</f>
        <v>-2.3570000000000002</v>
      </c>
      <c r="AU17" s="726">
        <f>Model!AU210</f>
        <v>-1.4019999999999999</v>
      </c>
      <c r="AV17" s="726">
        <f>Model!AV210</f>
        <v>-2.734</v>
      </c>
      <c r="AW17" s="726">
        <f>Model!AW210</f>
        <v>-2.8340000000000001</v>
      </c>
      <c r="AX17" s="925">
        <f>Model!AX210</f>
        <v>-2.3149999999999999</v>
      </c>
      <c r="AY17" s="726">
        <f>Model!AY210</f>
        <v>-1.8460000000000001</v>
      </c>
      <c r="AZ17" s="726">
        <f>Model!AZ210</f>
        <v>-3.2</v>
      </c>
      <c r="BA17" s="726">
        <f>Model!BA210</f>
        <v>-3.2</v>
      </c>
      <c r="BB17" s="726">
        <f>Model!BB210</f>
        <v>-3.2</v>
      </c>
      <c r="BC17" s="726">
        <f>Model!BC210</f>
        <v>-3.2</v>
      </c>
      <c r="BD17" s="285"/>
    </row>
    <row r="18" spans="1:56" hidden="1" outlineLevel="1" x14ac:dyDescent="0.25">
      <c r="A18" s="853" t="s">
        <v>478</v>
      </c>
      <c r="B18" s="854"/>
      <c r="C18" s="725">
        <f>Model!C336-Model!C346</f>
        <v>1.9989999999999997</v>
      </c>
      <c r="D18" s="725">
        <f>Model!D336-Model!D346</f>
        <v>7.9879999999999987</v>
      </c>
      <c r="E18" s="725">
        <f>Model!E336-Model!E346</f>
        <v>4.5579999999999998</v>
      </c>
      <c r="F18" s="725">
        <f>Model!F336-Model!F346</f>
        <v>3.2869999999999999</v>
      </c>
      <c r="G18" s="725">
        <f>Model!G336-Model!G346</f>
        <v>6.738999999999999</v>
      </c>
      <c r="H18" s="725">
        <f>Model!H336-Model!H346</f>
        <v>14.017000000000003</v>
      </c>
      <c r="I18" s="725">
        <f>Model!I336-Model!I346</f>
        <v>-7.9059999999999953</v>
      </c>
      <c r="J18" s="725">
        <f>Model!J336-Model!J346</f>
        <v>-3.6739999999999995</v>
      </c>
      <c r="K18" s="725">
        <f>Model!K336-Model!K346</f>
        <v>4.5189999999999992</v>
      </c>
      <c r="L18" s="725">
        <f>Model!L336-Model!L346</f>
        <v>8.407</v>
      </c>
      <c r="M18" s="725">
        <f>Model!M336-Model!M346</f>
        <v>0.88400000000000034</v>
      </c>
      <c r="N18" s="725">
        <f>Model!N336-Model!N346</f>
        <v>-7.3759999999999994</v>
      </c>
      <c r="O18" s="725">
        <f>Model!O336-Model!O346</f>
        <v>-1.343</v>
      </c>
      <c r="P18" s="725">
        <f>Model!P336-Model!P346</f>
        <v>6.5080000000000009</v>
      </c>
      <c r="Q18" s="725">
        <f>Model!Q336-Model!Q346</f>
        <v>4.3549999999999995</v>
      </c>
      <c r="R18" s="725">
        <f>Model!R336-Model!R346</f>
        <v>3.5020000000000024</v>
      </c>
      <c r="S18" s="725">
        <f>Model!S336-Model!S346</f>
        <v>2.7899999999999991</v>
      </c>
      <c r="T18" s="725">
        <f>Model!T336-Model!T346</f>
        <v>-6.7350000000000048</v>
      </c>
      <c r="U18" s="725">
        <f>Model!U336-Model!U346</f>
        <v>5.2400000000000011</v>
      </c>
      <c r="V18" s="725">
        <f>Model!V336-Model!V346</f>
        <v>-3.3090000000000006</v>
      </c>
      <c r="W18" s="725">
        <f>Model!W336-Model!W346</f>
        <v>-6.1829999999999998</v>
      </c>
      <c r="X18" s="725">
        <f>Model!X336-Model!X346</f>
        <v>7.9450000000000021</v>
      </c>
      <c r="Y18" s="725">
        <f>Model!Y336-Model!Y346</f>
        <v>8.7679999999999971</v>
      </c>
      <c r="Z18" s="725">
        <f>Model!Z336-Model!Z346</f>
        <v>-3.2349999999999914</v>
      </c>
      <c r="AA18" s="725">
        <f>Model!AA336-Model!AA346</f>
        <v>6.2169999999999987</v>
      </c>
      <c r="AB18" s="725">
        <f>Model!AB336-Model!AB346</f>
        <v>9.4820000000000029</v>
      </c>
      <c r="AC18" s="725">
        <f>Model!AC336-Model!AC346</f>
        <v>-4.5599999999999987</v>
      </c>
      <c r="AD18" s="725">
        <f>Model!AD336-Model!AD346</f>
        <v>-8.161999999999999</v>
      </c>
      <c r="AE18" s="725">
        <f>Model!AE336-Model!AE346</f>
        <v>-9.1860000000000017</v>
      </c>
      <c r="AF18" s="771">
        <f>Model!AF336-Model!AF346</f>
        <v>-20.000549999999997</v>
      </c>
      <c r="AG18" s="725">
        <f>Model!AG336-Model!AG346</f>
        <v>5.6539005433321021</v>
      </c>
      <c r="AH18" s="725">
        <f ca="1">Model!AH336-Model!AH346</f>
        <v>-2.903574744844196</v>
      </c>
      <c r="AI18" s="725">
        <f ca="1">Model!AI336-Model!AI346</f>
        <v>9.4535361041231916</v>
      </c>
      <c r="AJ18" s="725">
        <f ca="1">Model!AJ336-Model!AJ346</f>
        <v>-10.061976724604595</v>
      </c>
      <c r="AK18" s="725">
        <f ca="1">Model!AK336-Model!AK346</f>
        <v>7.8800659451751729</v>
      </c>
      <c r="AL18" s="725">
        <f ca="1">Model!AL336-Model!AL346</f>
        <v>-0.98409846564250358</v>
      </c>
      <c r="AM18" s="725"/>
      <c r="AN18" s="726">
        <f>Model!AN336-Model!AN346</f>
        <v>-2.9230000000000018</v>
      </c>
      <c r="AO18" s="726">
        <f>Model!AO336-Model!AO346</f>
        <v>-7.4649999999999999</v>
      </c>
      <c r="AP18" s="726">
        <f>Model!AP336-Model!AP346</f>
        <v>8.6460000000000008</v>
      </c>
      <c r="AQ18" s="726">
        <f>Model!AQ336-Model!AQ346</f>
        <v>8.8649999999999984</v>
      </c>
      <c r="AR18" s="726">
        <f>Model!AR336-Model!AR346</f>
        <v>17.832000000000004</v>
      </c>
      <c r="AS18" s="726">
        <f>Model!AS336-Model!AS346</f>
        <v>9.1760000000000019</v>
      </c>
      <c r="AT18" s="726">
        <f>Model!AT336-Model!AT346</f>
        <v>6.4339999999999975</v>
      </c>
      <c r="AU18" s="726">
        <f>Model!AU336-Model!AU346</f>
        <v>13.021999999999998</v>
      </c>
      <c r="AV18" s="726">
        <f>Model!AV336-Model!AV346</f>
        <v>-2.0139999999999958</v>
      </c>
      <c r="AW18" s="726">
        <f>Model!AW336-Model!AW346</f>
        <v>7.2950000000000035</v>
      </c>
      <c r="AX18" s="925">
        <f>Model!AX336-Model!AX346</f>
        <v>2.9770000000000039</v>
      </c>
      <c r="AY18" s="726">
        <f ca="1">Model!AY336-Model!AY346</f>
        <v>-26.43622420151209</v>
      </c>
      <c r="AZ18" s="726">
        <f ca="1">Model!AZ336-Model!AZ346</f>
        <v>6.2875268590512654</v>
      </c>
      <c r="BA18" s="726">
        <f ca="1">Model!BA336-Model!BA346</f>
        <v>9.7647852657539111</v>
      </c>
      <c r="BB18" s="726">
        <f ca="1">Model!BB336-Model!BB346</f>
        <v>10.741263792329338</v>
      </c>
      <c r="BC18" s="726">
        <f ca="1">Model!BC336-Model!BC346</f>
        <v>5.9076950857810928</v>
      </c>
      <c r="BD18" s="285"/>
    </row>
    <row r="19" spans="1:56" hidden="1" outlineLevel="1" x14ac:dyDescent="0.25">
      <c r="A19" s="259" t="s">
        <v>479</v>
      </c>
      <c r="B19" s="260"/>
      <c r="C19" s="747">
        <f t="shared" ref="C19:AL19" si="0">C14+C15+C16+C17+C18</f>
        <v>7.676000000000009</v>
      </c>
      <c r="D19" s="747">
        <f t="shared" si="0"/>
        <v>13.823999999999998</v>
      </c>
      <c r="E19" s="747">
        <f t="shared" si="0"/>
        <v>10.510000000000016</v>
      </c>
      <c r="F19" s="747">
        <f t="shared" si="0"/>
        <v>9.6690000000000662</v>
      </c>
      <c r="G19" s="747">
        <f t="shared" si="0"/>
        <v>12.186999999999991</v>
      </c>
      <c r="H19" s="747">
        <f t="shared" si="0"/>
        <v>23.67300000000002</v>
      </c>
      <c r="I19" s="747">
        <f t="shared" si="0"/>
        <v>0.52700000000000102</v>
      </c>
      <c r="J19" s="747">
        <f t="shared" si="0"/>
        <v>6.532000000000096</v>
      </c>
      <c r="K19" s="747">
        <f t="shared" si="0"/>
        <v>10.887000000000004</v>
      </c>
      <c r="L19" s="747">
        <f t="shared" si="0"/>
        <v>15.026000000000002</v>
      </c>
      <c r="M19" s="747">
        <f t="shared" si="0"/>
        <v>8.2780000000000058</v>
      </c>
      <c r="N19" s="747">
        <f t="shared" si="0"/>
        <v>1.1609999999999463</v>
      </c>
      <c r="O19" s="747">
        <f t="shared" si="0"/>
        <v>3.5970000000000066</v>
      </c>
      <c r="P19" s="747">
        <f t="shared" si="0"/>
        <v>12.880000000000003</v>
      </c>
      <c r="Q19" s="747">
        <f t="shared" si="0"/>
        <v>10.785999999999989</v>
      </c>
      <c r="R19" s="747">
        <f t="shared" si="0"/>
        <v>12.591999999999999</v>
      </c>
      <c r="S19" s="747">
        <f t="shared" si="0"/>
        <v>8.110000000000003</v>
      </c>
      <c r="T19" s="747">
        <f t="shared" si="0"/>
        <v>0.38400000000000389</v>
      </c>
      <c r="U19" s="747">
        <f t="shared" si="0"/>
        <v>10.082000000000004</v>
      </c>
      <c r="V19" s="747">
        <f t="shared" si="0"/>
        <v>1.4600000000000457</v>
      </c>
      <c r="W19" s="747">
        <f t="shared" si="0"/>
        <v>-3.3459999999999983</v>
      </c>
      <c r="X19" s="747">
        <f t="shared" si="0"/>
        <v>14.734000000000007</v>
      </c>
      <c r="Y19" s="747">
        <f t="shared" si="0"/>
        <v>14.497</v>
      </c>
      <c r="Z19" s="747">
        <f t="shared" si="0"/>
        <v>-0.33299999999995622</v>
      </c>
      <c r="AA19" s="747">
        <f t="shared" si="0"/>
        <v>11.031000000000013</v>
      </c>
      <c r="AB19" s="747">
        <f t="shared" si="0"/>
        <v>15.664000000000023</v>
      </c>
      <c r="AC19" s="747">
        <f t="shared" si="0"/>
        <v>0.53299999999999592</v>
      </c>
      <c r="AD19" s="747">
        <f t="shared" si="0"/>
        <v>-7.4180000000000836</v>
      </c>
      <c r="AE19" s="747">
        <f t="shared" si="0"/>
        <v>-8.3559999999999874</v>
      </c>
      <c r="AF19" s="772">
        <f t="shared" si="0"/>
        <v>-17.457549999999991</v>
      </c>
      <c r="AG19" s="747">
        <f t="shared" si="0"/>
        <v>9.2929283649714431</v>
      </c>
      <c r="AH19" s="747">
        <f t="shared" ca="1" si="0"/>
        <v>2.0846701723269536</v>
      </c>
      <c r="AI19" s="747">
        <f t="shared" ca="1" si="0"/>
        <v>12.728713337049598</v>
      </c>
      <c r="AJ19" s="747">
        <f t="shared" ca="1" si="0"/>
        <v>-6.3230679939467569</v>
      </c>
      <c r="AK19" s="747">
        <f t="shared" ca="1" si="0"/>
        <v>11.969147750384723</v>
      </c>
      <c r="AL19" s="747">
        <f t="shared" ca="1" si="0"/>
        <v>5.5999533435271784</v>
      </c>
      <c r="AM19" s="747"/>
      <c r="AN19" s="748">
        <f t="shared" ref="AN19:BC19" si="1">AN14+AN15+AN16+AN17+AN18</f>
        <v>7.9890000000000008</v>
      </c>
      <c r="AO19" s="748">
        <f t="shared" si="1"/>
        <v>6.3379999999999868</v>
      </c>
      <c r="AP19" s="748">
        <f t="shared" si="1"/>
        <v>26.711999999999968</v>
      </c>
      <c r="AQ19" s="748">
        <f t="shared" si="1"/>
        <v>37.657000000000011</v>
      </c>
      <c r="AR19" s="748">
        <f t="shared" si="1"/>
        <v>41.679000000000073</v>
      </c>
      <c r="AS19" s="748">
        <f t="shared" si="1"/>
        <v>42.919000000000032</v>
      </c>
      <c r="AT19" s="748">
        <f t="shared" si="1"/>
        <v>35.351999999999968</v>
      </c>
      <c r="AU19" s="748">
        <f t="shared" si="1"/>
        <v>39.855000000000018</v>
      </c>
      <c r="AV19" s="748">
        <f t="shared" si="1"/>
        <v>20.036000000000044</v>
      </c>
      <c r="AW19" s="748">
        <f t="shared" si="1"/>
        <v>25.551999999999992</v>
      </c>
      <c r="AX19" s="960">
        <f t="shared" si="1"/>
        <v>19.809999999999935</v>
      </c>
      <c r="AY19" s="748">
        <f t="shared" ca="1" si="1"/>
        <v>-14.435951462701611</v>
      </c>
      <c r="AZ19" s="748">
        <f t="shared" ca="1" si="1"/>
        <v>23.974746437014797</v>
      </c>
      <c r="BA19" s="748">
        <f t="shared" ca="1" si="1"/>
        <v>35.080957962114667</v>
      </c>
      <c r="BB19" s="748">
        <f t="shared" ca="1" si="1"/>
        <v>43.474869107428503</v>
      </c>
      <c r="BC19" s="748">
        <f t="shared" ca="1" si="1"/>
        <v>40.198659157445775</v>
      </c>
      <c r="BD19" s="285"/>
    </row>
    <row r="20" spans="1:56" x14ac:dyDescent="0.25">
      <c r="A20" s="858"/>
      <c r="B20" s="852"/>
      <c r="C20" s="757"/>
      <c r="D20" s="757"/>
      <c r="E20" s="757"/>
      <c r="F20" s="757"/>
      <c r="G20" s="757"/>
      <c r="H20" s="757"/>
      <c r="I20" s="757"/>
      <c r="J20" s="757"/>
      <c r="K20" s="757"/>
      <c r="L20" s="757"/>
      <c r="M20" s="757"/>
      <c r="N20" s="757"/>
      <c r="O20" s="757"/>
      <c r="P20" s="757"/>
      <c r="Q20" s="757"/>
      <c r="R20" s="757"/>
      <c r="S20" s="757"/>
      <c r="T20" s="757"/>
      <c r="U20" s="757"/>
      <c r="V20" s="757"/>
      <c r="W20" s="757"/>
      <c r="X20" s="757"/>
      <c r="Y20" s="757"/>
      <c r="Z20" s="757"/>
      <c r="AA20" s="757"/>
      <c r="AB20" s="757"/>
      <c r="AC20" s="757"/>
      <c r="AD20" s="757"/>
      <c r="AE20" s="757"/>
      <c r="AF20" s="758"/>
      <c r="AG20" s="757"/>
      <c r="AH20" s="757"/>
      <c r="AI20" s="757"/>
      <c r="AJ20" s="757"/>
      <c r="AK20" s="757"/>
      <c r="AL20" s="757"/>
      <c r="AM20" s="757"/>
      <c r="AN20" s="756"/>
      <c r="AO20" s="756"/>
      <c r="AP20" s="756"/>
      <c r="AQ20" s="756"/>
      <c r="AR20" s="756"/>
      <c r="AS20" s="756"/>
      <c r="AT20" s="756"/>
      <c r="AU20" s="756"/>
      <c r="AV20" s="756"/>
      <c r="AW20" s="756"/>
      <c r="AX20" s="947"/>
      <c r="AY20" s="756"/>
      <c r="AZ20" s="756"/>
      <c r="BA20" s="756"/>
      <c r="BB20" s="756"/>
      <c r="BC20" s="756"/>
      <c r="BD20" s="285"/>
    </row>
    <row r="21" spans="1:56" x14ac:dyDescent="0.25">
      <c r="A21" s="831" t="s">
        <v>480</v>
      </c>
      <c r="B21" s="831"/>
      <c r="C21" s="831"/>
      <c r="D21" s="831"/>
      <c r="E21" s="831"/>
      <c r="F21" s="831"/>
      <c r="G21" s="831"/>
      <c r="H21" s="831"/>
      <c r="I21" s="831"/>
      <c r="J21" s="831"/>
      <c r="K21" s="831"/>
      <c r="L21" s="831"/>
      <c r="M21" s="831"/>
      <c r="N21" s="831"/>
      <c r="O21" s="831"/>
      <c r="P21" s="831"/>
      <c r="Q21" s="831"/>
      <c r="R21" s="831"/>
      <c r="S21" s="831"/>
      <c r="T21" s="831"/>
      <c r="U21" s="831"/>
      <c r="V21" s="831"/>
      <c r="W21" s="831"/>
      <c r="X21" s="831"/>
      <c r="Y21" s="831"/>
      <c r="Z21" s="831"/>
      <c r="AA21" s="831"/>
      <c r="AB21" s="831"/>
      <c r="AC21" s="831"/>
      <c r="AD21" s="831"/>
      <c r="AE21" s="831"/>
      <c r="AF21" s="909"/>
      <c r="AG21" s="908"/>
      <c r="AH21" s="831"/>
      <c r="AI21" s="831"/>
      <c r="AJ21" s="831"/>
      <c r="AK21" s="831"/>
      <c r="AL21" s="831"/>
      <c r="AM21" s="831"/>
      <c r="AN21" s="831"/>
      <c r="AO21" s="831"/>
      <c r="AP21" s="831"/>
      <c r="AQ21" s="831"/>
      <c r="AR21" s="831"/>
      <c r="AS21" s="831"/>
      <c r="AT21" s="831"/>
      <c r="AU21" s="831"/>
      <c r="AV21" s="831"/>
      <c r="AW21" s="831"/>
      <c r="AX21" s="909"/>
      <c r="AY21" s="831"/>
      <c r="AZ21" s="831"/>
      <c r="BA21" s="831"/>
      <c r="BB21" s="831"/>
      <c r="BC21" s="831"/>
      <c r="BD21" s="285"/>
    </row>
    <row r="22" spans="1:56" hidden="1" outlineLevel="1" x14ac:dyDescent="0.25">
      <c r="A22" s="859" t="str">
        <f>Model!A495</f>
        <v>Consensus Estimates - Gross Margin, %</v>
      </c>
      <c r="B22" s="860"/>
      <c r="C22" s="861"/>
      <c r="D22" s="862"/>
      <c r="E22" s="862"/>
      <c r="F22" s="862"/>
      <c r="G22" s="862"/>
      <c r="H22" s="862"/>
      <c r="I22" s="862"/>
      <c r="J22" s="862"/>
      <c r="K22" s="860"/>
      <c r="L22" s="860"/>
      <c r="M22" s="860"/>
      <c r="N22" s="860"/>
      <c r="O22" s="860"/>
      <c r="P22" s="860"/>
      <c r="Q22" s="860"/>
      <c r="R22" s="860"/>
      <c r="S22" s="860"/>
      <c r="T22" s="860"/>
      <c r="U22" s="860"/>
      <c r="V22" s="860"/>
      <c r="W22" s="860"/>
      <c r="X22" s="860"/>
      <c r="Y22" s="860"/>
      <c r="Z22" s="860"/>
      <c r="AA22" s="860"/>
      <c r="AB22" s="860"/>
      <c r="AC22" s="860"/>
      <c r="AD22" s="860"/>
      <c r="AE22" s="860"/>
      <c r="AF22" s="913"/>
      <c r="AG22" s="862" t="str">
        <f ca="1">Model!AG495</f>
        <v>N/A</v>
      </c>
      <c r="AH22" s="862" t="str">
        <f ca="1">Model!AH495</f>
        <v>N/A</v>
      </c>
      <c r="AI22" s="862" t="str">
        <f ca="1">Model!AI495</f>
        <v>N/A</v>
      </c>
      <c r="AJ22" s="862" t="str">
        <f ca="1">Model!AJ495</f>
        <v>N/A</v>
      </c>
      <c r="AK22" s="862" t="str">
        <f ca="1">Model!AK495</f>
        <v>N/A</v>
      </c>
      <c r="AL22" s="862" t="str">
        <f ca="1">Model!AL495</f>
        <v>N/A</v>
      </c>
      <c r="AM22" s="862"/>
      <c r="AN22" s="863"/>
      <c r="AO22" s="863"/>
      <c r="AP22" s="863"/>
      <c r="AQ22" s="863"/>
      <c r="AR22" s="864"/>
      <c r="AS22" s="865"/>
      <c r="AT22" s="865"/>
      <c r="AU22" s="865"/>
      <c r="AV22" s="865"/>
      <c r="AW22" s="865"/>
      <c r="AX22" s="980"/>
      <c r="AY22" s="864" t="str">
        <f ca="1">Model!AY495</f>
        <v>N/A</v>
      </c>
      <c r="AZ22" s="864" t="str">
        <f ca="1">Model!AZ495</f>
        <v>N/A</v>
      </c>
      <c r="BA22" s="864" t="str">
        <f ca="1">Model!BA495</f>
        <v>N/A</v>
      </c>
      <c r="BB22" s="864" t="str">
        <f ca="1">Model!BB495</f>
        <v>N/A</v>
      </c>
      <c r="BC22" s="864" t="str">
        <f ca="1">Model!BC495</f>
        <v>N/A</v>
      </c>
      <c r="BD22" s="285"/>
    </row>
    <row r="23" spans="1:56" hidden="1" outlineLevel="1" x14ac:dyDescent="0.25">
      <c r="A23" s="859" t="str">
        <f>Model!A496</f>
        <v>Consensus Estimates - Net Revenue</v>
      </c>
      <c r="B23" s="860"/>
      <c r="C23" s="866"/>
      <c r="D23" s="860"/>
      <c r="E23" s="860"/>
      <c r="F23" s="860"/>
      <c r="G23" s="860"/>
      <c r="H23" s="860"/>
      <c r="I23" s="860"/>
      <c r="J23" s="860"/>
      <c r="K23" s="860"/>
      <c r="L23" s="860"/>
      <c r="M23" s="860"/>
      <c r="N23" s="860"/>
      <c r="O23" s="860"/>
      <c r="P23" s="860"/>
      <c r="Q23" s="860"/>
      <c r="R23" s="860"/>
      <c r="S23" s="860"/>
      <c r="T23" s="860"/>
      <c r="U23" s="860"/>
      <c r="V23" s="860"/>
      <c r="W23" s="860"/>
      <c r="X23" s="860"/>
      <c r="Y23" s="860"/>
      <c r="Z23" s="860"/>
      <c r="AA23" s="860"/>
      <c r="AB23" s="860"/>
      <c r="AC23" s="860"/>
      <c r="AD23" s="860"/>
      <c r="AE23" s="860"/>
      <c r="AF23" s="913"/>
      <c r="AG23" s="860" t="str">
        <f ca="1">Model!AG496</f>
        <v>N/A</v>
      </c>
      <c r="AH23" s="860" t="str">
        <f ca="1">Model!AH496</f>
        <v>N/A</v>
      </c>
      <c r="AI23" s="860" t="str">
        <f ca="1">Model!AI496</f>
        <v>N/A</v>
      </c>
      <c r="AJ23" s="860" t="str">
        <f ca="1">Model!AJ496</f>
        <v>N/A</v>
      </c>
      <c r="AK23" s="860" t="str">
        <f ca="1">Model!AK496</f>
        <v>N/A</v>
      </c>
      <c r="AL23" s="860" t="str">
        <f ca="1">Model!AL496</f>
        <v>N/A</v>
      </c>
      <c r="AM23" s="860"/>
      <c r="AN23" s="867"/>
      <c r="AO23" s="867"/>
      <c r="AP23" s="867"/>
      <c r="AQ23" s="867"/>
      <c r="AR23" s="865"/>
      <c r="AS23" s="865"/>
      <c r="AT23" s="865"/>
      <c r="AU23" s="865"/>
      <c r="AV23" s="865"/>
      <c r="AW23" s="865"/>
      <c r="AX23" s="980"/>
      <c r="AY23" s="865" t="str">
        <f ca="1">Model!AY496</f>
        <v>N/A</v>
      </c>
      <c r="AZ23" s="865" t="str">
        <f ca="1">Model!AZ496</f>
        <v>N/A</v>
      </c>
      <c r="BA23" s="865" t="str">
        <f ca="1">Model!BA496</f>
        <v>N/A</v>
      </c>
      <c r="BB23" s="865" t="str">
        <f ca="1">Model!BB496</f>
        <v>N/A</v>
      </c>
      <c r="BC23" s="865" t="str">
        <f ca="1">Model!BC496</f>
        <v>N/A</v>
      </c>
      <c r="BD23" s="285"/>
    </row>
    <row r="24" spans="1:56" hidden="1" outlineLevel="1" x14ac:dyDescent="0.25">
      <c r="A24" s="859" t="str">
        <f>Model!A497</f>
        <v>Consensus Estimates - Adjusted EBITDA</v>
      </c>
      <c r="B24" s="860"/>
      <c r="C24" s="866"/>
      <c r="D24" s="860"/>
      <c r="E24" s="860"/>
      <c r="F24" s="860"/>
      <c r="G24" s="860"/>
      <c r="H24" s="860"/>
      <c r="I24" s="860"/>
      <c r="J24" s="860"/>
      <c r="K24" s="860"/>
      <c r="L24" s="860"/>
      <c r="M24" s="860"/>
      <c r="N24" s="860"/>
      <c r="O24" s="860"/>
      <c r="P24" s="860"/>
      <c r="Q24" s="860"/>
      <c r="R24" s="860"/>
      <c r="S24" s="860"/>
      <c r="T24" s="860"/>
      <c r="U24" s="860"/>
      <c r="V24" s="860"/>
      <c r="W24" s="860"/>
      <c r="X24" s="860"/>
      <c r="Y24" s="860"/>
      <c r="Z24" s="860"/>
      <c r="AA24" s="860"/>
      <c r="AB24" s="860"/>
      <c r="AC24" s="860"/>
      <c r="AD24" s="860"/>
      <c r="AE24" s="860"/>
      <c r="AF24" s="913"/>
      <c r="AG24" s="860" t="str">
        <f ca="1">Model!AG497</f>
        <v>N/A</v>
      </c>
      <c r="AH24" s="860" t="str">
        <f ca="1">Model!AH497</f>
        <v>N/A</v>
      </c>
      <c r="AI24" s="860" t="str">
        <f ca="1">Model!AI497</f>
        <v>N/A</v>
      </c>
      <c r="AJ24" s="860" t="str">
        <f ca="1">Model!AJ497</f>
        <v>N/A</v>
      </c>
      <c r="AK24" s="860" t="str">
        <f ca="1">Model!AK497</f>
        <v>N/A</v>
      </c>
      <c r="AL24" s="860" t="str">
        <f ca="1">Model!AL497</f>
        <v>N/A</v>
      </c>
      <c r="AM24" s="860"/>
      <c r="AN24" s="867"/>
      <c r="AO24" s="867"/>
      <c r="AP24" s="867"/>
      <c r="AQ24" s="867"/>
      <c r="AR24" s="865"/>
      <c r="AS24" s="865"/>
      <c r="AT24" s="865"/>
      <c r="AU24" s="865"/>
      <c r="AV24" s="865"/>
      <c r="AW24" s="865"/>
      <c r="AX24" s="980"/>
      <c r="AY24" s="865" t="str">
        <f ca="1">Model!AY497</f>
        <v>N/A</v>
      </c>
      <c r="AZ24" s="865" t="str">
        <f ca="1">Model!AZ497</f>
        <v>N/A</v>
      </c>
      <c r="BA24" s="865" t="str">
        <f ca="1">Model!BA497</f>
        <v>N/A</v>
      </c>
      <c r="BB24" s="865" t="str">
        <f ca="1">Model!BB497</f>
        <v>N/A</v>
      </c>
      <c r="BC24" s="865" t="str">
        <f ca="1">Model!BC497</f>
        <v>N/A</v>
      </c>
      <c r="BD24" s="285"/>
    </row>
    <row r="25" spans="1:56" hidden="1" outlineLevel="1" x14ac:dyDescent="0.25">
      <c r="A25" s="868" t="str">
        <f>Model!A498</f>
        <v>Consensus Estimates - Adjusted Earnings Per Share - WAD</v>
      </c>
      <c r="B25" s="869"/>
      <c r="C25" s="870"/>
      <c r="D25" s="869"/>
      <c r="E25" s="869"/>
      <c r="F25" s="869"/>
      <c r="G25" s="869"/>
      <c r="H25" s="869"/>
      <c r="I25" s="869"/>
      <c r="J25" s="869"/>
      <c r="K25" s="869"/>
      <c r="L25" s="869"/>
      <c r="M25" s="869"/>
      <c r="N25" s="869"/>
      <c r="O25" s="869"/>
      <c r="P25" s="869"/>
      <c r="Q25" s="869"/>
      <c r="R25" s="869"/>
      <c r="S25" s="869"/>
      <c r="T25" s="869"/>
      <c r="U25" s="869"/>
      <c r="V25" s="869"/>
      <c r="W25" s="869"/>
      <c r="X25" s="869"/>
      <c r="Y25" s="869"/>
      <c r="Z25" s="869"/>
      <c r="AA25" s="869"/>
      <c r="AB25" s="869"/>
      <c r="AC25" s="869"/>
      <c r="AD25" s="869"/>
      <c r="AE25" s="869"/>
      <c r="AF25" s="914"/>
      <c r="AG25" s="869" t="str">
        <f ca="1">Model!AG498</f>
        <v>N/A</v>
      </c>
      <c r="AH25" s="869" t="str">
        <f ca="1">Model!AH498</f>
        <v>N/A</v>
      </c>
      <c r="AI25" s="869" t="str">
        <f ca="1">Model!AI498</f>
        <v>N/A</v>
      </c>
      <c r="AJ25" s="869" t="str">
        <f ca="1">Model!AJ498</f>
        <v>N/A</v>
      </c>
      <c r="AK25" s="869" t="str">
        <f ca="1">Model!AK498</f>
        <v>N/A</v>
      </c>
      <c r="AL25" s="869" t="str">
        <f ca="1">Model!AL498</f>
        <v>N/A</v>
      </c>
      <c r="AM25" s="869"/>
      <c r="AN25" s="871"/>
      <c r="AO25" s="871"/>
      <c r="AP25" s="871"/>
      <c r="AQ25" s="871"/>
      <c r="AR25" s="872"/>
      <c r="AS25" s="872"/>
      <c r="AT25" s="872"/>
      <c r="AU25" s="872"/>
      <c r="AV25" s="872"/>
      <c r="AW25" s="872"/>
      <c r="AX25" s="981"/>
      <c r="AY25" s="872" t="str">
        <f ca="1">Model!AY498</f>
        <v>N/A</v>
      </c>
      <c r="AZ25" s="872" t="str">
        <f ca="1">Model!AZ498</f>
        <v>N/A</v>
      </c>
      <c r="BA25" s="872" t="str">
        <f ca="1">Model!BA498</f>
        <v>N/A</v>
      </c>
      <c r="BB25" s="872" t="str">
        <f ca="1">Model!BB498</f>
        <v>N/A</v>
      </c>
      <c r="BC25" s="872" t="str">
        <f ca="1">Model!BC498</f>
        <v>N/A</v>
      </c>
      <c r="BD25" s="285"/>
    </row>
    <row r="26" spans="1:56" hidden="1" outlineLevel="1" x14ac:dyDescent="0.25">
      <c r="A26" s="868" t="str">
        <f>Model!A499</f>
        <v>Consensus Estimates - Cash Flow Per Diluted Share</v>
      </c>
      <c r="B26" s="869"/>
      <c r="C26" s="870"/>
      <c r="D26" s="869"/>
      <c r="E26" s="869"/>
      <c r="F26" s="869"/>
      <c r="G26" s="869"/>
      <c r="H26" s="869"/>
      <c r="I26" s="869"/>
      <c r="J26" s="869"/>
      <c r="K26" s="869"/>
      <c r="L26" s="869"/>
      <c r="M26" s="869"/>
      <c r="N26" s="869"/>
      <c r="O26" s="869"/>
      <c r="P26" s="869"/>
      <c r="Q26" s="869"/>
      <c r="R26" s="869"/>
      <c r="S26" s="869"/>
      <c r="T26" s="869"/>
      <c r="U26" s="869"/>
      <c r="V26" s="869"/>
      <c r="W26" s="869"/>
      <c r="X26" s="869"/>
      <c r="Y26" s="869"/>
      <c r="Z26" s="869"/>
      <c r="AA26" s="869"/>
      <c r="AB26" s="869"/>
      <c r="AC26" s="869"/>
      <c r="AD26" s="869"/>
      <c r="AE26" s="869"/>
      <c r="AF26" s="914"/>
      <c r="AG26" s="869" t="str">
        <f ca="1">Model!AG499</f>
        <v>N/A</v>
      </c>
      <c r="AH26" s="869" t="str">
        <f ca="1">Model!AH499</f>
        <v>N/A</v>
      </c>
      <c r="AI26" s="869" t="str">
        <f ca="1">Model!AI499</f>
        <v>N/A</v>
      </c>
      <c r="AJ26" s="869" t="str">
        <f ca="1">Model!AJ499</f>
        <v>N/A</v>
      </c>
      <c r="AK26" s="869" t="str">
        <f ca="1">Model!AK499</f>
        <v>N/A</v>
      </c>
      <c r="AL26" s="869" t="str">
        <f ca="1">Model!AL499</f>
        <v>N/A</v>
      </c>
      <c r="AM26" s="869"/>
      <c r="AN26" s="871"/>
      <c r="AO26" s="871"/>
      <c r="AP26" s="871"/>
      <c r="AQ26" s="871"/>
      <c r="AR26" s="872"/>
      <c r="AS26" s="872"/>
      <c r="AT26" s="872"/>
      <c r="AU26" s="872"/>
      <c r="AV26" s="872"/>
      <c r="AW26" s="872"/>
      <c r="AX26" s="981"/>
      <c r="AY26" s="872" t="str">
        <f ca="1">Model!AY499</f>
        <v>N/A</v>
      </c>
      <c r="AZ26" s="872" t="str">
        <f ca="1">Model!AZ499</f>
        <v>N/A</v>
      </c>
      <c r="BA26" s="872" t="str">
        <f ca="1">Model!BA499</f>
        <v>N/A</v>
      </c>
      <c r="BB26" s="872" t="str">
        <f ca="1">Model!BB499</f>
        <v>N/A</v>
      </c>
      <c r="BC26" s="872" t="str">
        <f ca="1">Model!BC499</f>
        <v>N/A</v>
      </c>
      <c r="BD26" s="285"/>
    </row>
    <row r="27" spans="1:56" hidden="1" outlineLevel="1" x14ac:dyDescent="0.25">
      <c r="A27" s="859" t="str">
        <f>Model!A500</f>
        <v>Consensus Estimates - Capex</v>
      </c>
      <c r="B27" s="860"/>
      <c r="C27" s="866"/>
      <c r="D27" s="860"/>
      <c r="E27" s="860"/>
      <c r="F27" s="860"/>
      <c r="G27" s="860"/>
      <c r="H27" s="860"/>
      <c r="I27" s="860"/>
      <c r="J27" s="860"/>
      <c r="K27" s="860"/>
      <c r="L27" s="860"/>
      <c r="M27" s="860"/>
      <c r="N27" s="860"/>
      <c r="O27" s="860"/>
      <c r="P27" s="860"/>
      <c r="Q27" s="860"/>
      <c r="R27" s="860"/>
      <c r="S27" s="860"/>
      <c r="T27" s="860"/>
      <c r="U27" s="860"/>
      <c r="V27" s="860"/>
      <c r="W27" s="860"/>
      <c r="X27" s="860"/>
      <c r="Y27" s="860"/>
      <c r="Z27" s="860"/>
      <c r="AA27" s="860"/>
      <c r="AB27" s="860"/>
      <c r="AC27" s="860"/>
      <c r="AD27" s="860"/>
      <c r="AE27" s="860"/>
      <c r="AF27" s="913"/>
      <c r="AG27" s="860" t="str">
        <f ca="1">Model!AG500</f>
        <v>N/A</v>
      </c>
      <c r="AH27" s="860" t="str">
        <f ca="1">Model!AH500</f>
        <v>N/A</v>
      </c>
      <c r="AI27" s="860" t="str">
        <f ca="1">Model!AI500</f>
        <v>N/A</v>
      </c>
      <c r="AJ27" s="860" t="str">
        <f ca="1">Model!AJ500</f>
        <v>N/A</v>
      </c>
      <c r="AK27" s="860" t="str">
        <f ca="1">Model!AK500</f>
        <v>N/A</v>
      </c>
      <c r="AL27" s="860" t="str">
        <f ca="1">Model!AL500</f>
        <v>N/A</v>
      </c>
      <c r="AM27" s="860"/>
      <c r="AN27" s="867"/>
      <c r="AO27" s="867"/>
      <c r="AP27" s="867"/>
      <c r="AQ27" s="867"/>
      <c r="AR27" s="865"/>
      <c r="AS27" s="865"/>
      <c r="AT27" s="865"/>
      <c r="AU27" s="865"/>
      <c r="AV27" s="865"/>
      <c r="AW27" s="865"/>
      <c r="AX27" s="980"/>
      <c r="AY27" s="865" t="str">
        <f ca="1">Model!AY500</f>
        <v>N/A</v>
      </c>
      <c r="AZ27" s="865" t="str">
        <f ca="1">Model!AZ500</f>
        <v>N/A</v>
      </c>
      <c r="BA27" s="865" t="str">
        <f ca="1">Model!BA500</f>
        <v>N/A</v>
      </c>
      <c r="BB27" s="865" t="str">
        <f ca="1">Model!BB500</f>
        <v>N/A</v>
      </c>
      <c r="BC27" s="865" t="str">
        <f ca="1">Model!BC500</f>
        <v>N/A</v>
      </c>
      <c r="BD27" s="285"/>
    </row>
    <row r="28" spans="1:56" x14ac:dyDescent="0.25">
      <c r="A28" s="859"/>
      <c r="B28" s="860"/>
      <c r="C28" s="866"/>
      <c r="D28" s="860"/>
      <c r="E28" s="860"/>
      <c r="F28" s="860"/>
      <c r="G28" s="860"/>
      <c r="H28" s="860"/>
      <c r="I28" s="860"/>
      <c r="J28" s="860"/>
      <c r="K28" s="860"/>
      <c r="L28" s="860"/>
      <c r="M28" s="860"/>
      <c r="N28" s="860"/>
      <c r="O28" s="860"/>
      <c r="P28" s="860"/>
      <c r="Q28" s="860"/>
      <c r="R28" s="860"/>
      <c r="S28" s="860"/>
      <c r="T28" s="860"/>
      <c r="U28" s="860"/>
      <c r="V28" s="860"/>
      <c r="W28" s="860"/>
      <c r="X28" s="860"/>
      <c r="Y28" s="860"/>
      <c r="Z28" s="860"/>
      <c r="AA28" s="860"/>
      <c r="AB28" s="860"/>
      <c r="AC28" s="860"/>
      <c r="AD28" s="860"/>
      <c r="AE28" s="860"/>
      <c r="AF28" s="913"/>
      <c r="AG28" s="860"/>
      <c r="AH28" s="860"/>
      <c r="AI28" s="860"/>
      <c r="AJ28" s="860"/>
      <c r="AK28" s="860"/>
      <c r="AL28" s="860"/>
      <c r="AM28" s="860"/>
      <c r="AN28" s="867"/>
      <c r="AO28" s="867"/>
      <c r="AP28" s="867"/>
      <c r="AQ28" s="867"/>
      <c r="AR28" s="865"/>
      <c r="AS28" s="865"/>
      <c r="AT28" s="865"/>
      <c r="AU28" s="865"/>
      <c r="AV28" s="865"/>
      <c r="AW28" s="865"/>
      <c r="AX28" s="980"/>
      <c r="AY28" s="865"/>
      <c r="AZ28" s="865"/>
      <c r="BA28" s="865"/>
      <c r="BB28" s="865"/>
      <c r="BC28" s="865"/>
      <c r="BD28" s="285"/>
    </row>
    <row r="29" spans="1:56" x14ac:dyDescent="0.25">
      <c r="A29" s="69" t="str">
        <f>Model!A6</f>
        <v>Growth Analysis</v>
      </c>
      <c r="B29" s="69"/>
      <c r="C29" s="386"/>
      <c r="D29" s="386"/>
      <c r="E29" s="386"/>
      <c r="F29" s="386"/>
      <c r="G29" s="386"/>
      <c r="H29" s="386"/>
      <c r="I29" s="386"/>
      <c r="J29" s="386"/>
      <c r="K29" s="386"/>
      <c r="L29" s="386"/>
      <c r="M29" s="386"/>
      <c r="N29" s="386"/>
      <c r="O29" s="386"/>
      <c r="P29" s="386"/>
      <c r="Q29" s="386"/>
      <c r="R29" s="386"/>
      <c r="S29" s="386"/>
      <c r="T29" s="386"/>
      <c r="U29" s="386"/>
      <c r="V29" s="386"/>
      <c r="W29" s="386"/>
      <c r="X29" s="386"/>
      <c r="Y29" s="386"/>
      <c r="Z29" s="386"/>
      <c r="AA29" s="386"/>
      <c r="AB29" s="386"/>
      <c r="AC29" s="386"/>
      <c r="AD29" s="386"/>
      <c r="AE29" s="386"/>
      <c r="AF29" s="642"/>
      <c r="AG29" s="386"/>
      <c r="AH29" s="69"/>
      <c r="AI29" s="69"/>
      <c r="AJ29" s="69"/>
      <c r="AK29" s="69"/>
      <c r="AL29" s="69"/>
      <c r="AM29" s="69"/>
      <c r="AN29" s="386"/>
      <c r="AO29" s="386"/>
      <c r="AP29" s="386"/>
      <c r="AQ29" s="386"/>
      <c r="AR29" s="386"/>
      <c r="AS29" s="386"/>
      <c r="AT29" s="386"/>
      <c r="AU29" s="386"/>
      <c r="AV29" s="386"/>
      <c r="AW29" s="386"/>
      <c r="AX29" s="642"/>
      <c r="AY29" s="69"/>
      <c r="AZ29" s="69"/>
      <c r="BA29" s="69"/>
      <c r="BB29" s="69"/>
      <c r="BC29" s="69"/>
      <c r="BD29" s="285"/>
    </row>
    <row r="30" spans="1:56" x14ac:dyDescent="0.25">
      <c r="A30" s="873" t="str">
        <f>Model!A7</f>
        <v>Workforce Excellence revenue growth, %</v>
      </c>
      <c r="B30" s="874"/>
      <c r="C30" s="388"/>
      <c r="D30" s="388"/>
      <c r="E30" s="388"/>
      <c r="F30" s="388"/>
      <c r="G30" s="388"/>
      <c r="H30" s="388"/>
      <c r="I30" s="388"/>
      <c r="J30" s="388"/>
      <c r="K30" s="388"/>
      <c r="L30" s="388"/>
      <c r="M30" s="388"/>
      <c r="N30" s="388"/>
      <c r="O30" s="388"/>
      <c r="P30" s="388"/>
      <c r="Q30" s="389"/>
      <c r="R30" s="388"/>
      <c r="S30" s="388"/>
      <c r="T30" s="388"/>
      <c r="U30" s="389"/>
      <c r="V30" s="388"/>
      <c r="W30" s="388">
        <f>Model!W7</f>
        <v>4.0367331534880924E-2</v>
      </c>
      <c r="X30" s="388">
        <f>Model!X7</f>
        <v>5.555555555555558E-2</v>
      </c>
      <c r="Y30" s="389">
        <f>Model!Y7</f>
        <v>4.5363662330243359E-2</v>
      </c>
      <c r="Z30" s="388">
        <f>Model!Z7</f>
        <v>-2.4515311611006729E-2</v>
      </c>
      <c r="AA30" s="388">
        <f>Model!AA7</f>
        <v>6.7431580927301837E-2</v>
      </c>
      <c r="AB30" s="388">
        <f>Model!AB7</f>
        <v>1.0005482456140413E-2</v>
      </c>
      <c r="AC30" s="389">
        <f>Model!AC7</f>
        <v>2.451686621292648E-2</v>
      </c>
      <c r="AD30" s="388">
        <f>Model!AD7</f>
        <v>6.3533102155346688E-2</v>
      </c>
      <c r="AE30" s="388">
        <f>Model!AE7</f>
        <v>-8.7140086894621827E-2</v>
      </c>
      <c r="AF30" s="643">
        <f>Model!AF7</f>
        <v>-0.21562995363693782</v>
      </c>
      <c r="AG30" s="875"/>
      <c r="AH30" s="875"/>
      <c r="AI30" s="875">
        <v>7.0000000000000007E-2</v>
      </c>
      <c r="AJ30" s="875">
        <v>0.12</v>
      </c>
      <c r="AK30" s="875">
        <v>0.01</v>
      </c>
      <c r="AL30" s="875">
        <v>0.01</v>
      </c>
      <c r="AM30" s="875"/>
      <c r="AN30" s="387"/>
      <c r="AO30" s="387"/>
      <c r="AP30" s="387"/>
      <c r="AQ30" s="387"/>
      <c r="AR30" s="387"/>
      <c r="AS30" s="387"/>
      <c r="AT30" s="387"/>
      <c r="AU30" s="387"/>
      <c r="AV30" s="387"/>
      <c r="AW30" s="387">
        <f>Model!AW7</f>
        <v>2.7752636581575896E-2</v>
      </c>
      <c r="AX30" s="919">
        <f>Model!AX7</f>
        <v>4.097356808726893E-2</v>
      </c>
      <c r="AY30" s="434"/>
      <c r="AZ30" s="434">
        <f>Model!AZ7</f>
        <v>4.8343092313287706E-2</v>
      </c>
      <c r="BA30" s="876">
        <v>0.1</v>
      </c>
      <c r="BB30" s="876">
        <v>0.1</v>
      </c>
      <c r="BC30" s="876">
        <v>0.05</v>
      </c>
      <c r="BD30" s="285"/>
    </row>
    <row r="31" spans="1:56" x14ac:dyDescent="0.25">
      <c r="A31" s="873" t="str">
        <f>Model!A8</f>
        <v>Business Transformation Services revenue growth, %</v>
      </c>
      <c r="B31" s="874"/>
      <c r="C31" s="388"/>
      <c r="D31" s="388"/>
      <c r="E31" s="388"/>
      <c r="F31" s="388"/>
      <c r="G31" s="388"/>
      <c r="H31" s="388"/>
      <c r="I31" s="388"/>
      <c r="J31" s="388"/>
      <c r="K31" s="388"/>
      <c r="L31" s="388"/>
      <c r="M31" s="388"/>
      <c r="N31" s="388"/>
      <c r="O31" s="388"/>
      <c r="P31" s="388"/>
      <c r="Q31" s="389"/>
      <c r="R31" s="388"/>
      <c r="S31" s="388"/>
      <c r="T31" s="388"/>
      <c r="U31" s="389"/>
      <c r="V31" s="388"/>
      <c r="W31" s="388">
        <f>Model!W8</f>
        <v>-5.9523809523810423E-3</v>
      </c>
      <c r="X31" s="388">
        <f>Model!X8</f>
        <v>-3.072792903916266E-2</v>
      </c>
      <c r="Y31" s="389">
        <f>Model!Y8</f>
        <v>-8.5501858736059644E-2</v>
      </c>
      <c r="Z31" s="388">
        <f>Model!Z8</f>
        <v>7.1465897451975957E-2</v>
      </c>
      <c r="AA31" s="388">
        <f>Model!AA8</f>
        <v>0.18620185371830611</v>
      </c>
      <c r="AB31" s="388">
        <f>Model!AB8</f>
        <v>0.27919902685505749</v>
      </c>
      <c r="AC31" s="389">
        <f>Model!AC8</f>
        <v>0.31277584204413489</v>
      </c>
      <c r="AD31" s="388">
        <f>Model!AD8</f>
        <v>0.33833398361295397</v>
      </c>
      <c r="AE31" s="388">
        <f>Model!AE8</f>
        <v>-7.0557806707474802E-2</v>
      </c>
      <c r="AF31" s="643">
        <f>Model!AF8</f>
        <v>-0.38432300412150822</v>
      </c>
      <c r="AG31" s="875"/>
      <c r="AH31" s="875"/>
      <c r="AI31" s="875">
        <v>7.0000000000000007E-2</v>
      </c>
      <c r="AJ31" s="875">
        <v>0.33</v>
      </c>
      <c r="AK31" s="875">
        <v>0.03</v>
      </c>
      <c r="AL31" s="875">
        <v>0.03</v>
      </c>
      <c r="AM31" s="875"/>
      <c r="AN31" s="387"/>
      <c r="AO31" s="387"/>
      <c r="AP31" s="387"/>
      <c r="AQ31" s="387"/>
      <c r="AR31" s="387"/>
      <c r="AS31" s="387"/>
      <c r="AT31" s="387"/>
      <c r="AU31" s="387"/>
      <c r="AV31" s="387"/>
      <c r="AW31" s="387">
        <f>Model!AW8</f>
        <v>-1.2953535474175104E-2</v>
      </c>
      <c r="AX31" s="919">
        <f>Model!AX8</f>
        <v>0.2780444274147198</v>
      </c>
      <c r="AY31" s="434"/>
      <c r="AZ31" s="434">
        <f>Model!AZ8</f>
        <v>9.9124789076591835E-2</v>
      </c>
      <c r="BA31" s="876">
        <v>0.1</v>
      </c>
      <c r="BB31" s="876">
        <v>0.1</v>
      </c>
      <c r="BC31" s="876">
        <v>0.05</v>
      </c>
      <c r="BD31" s="285"/>
    </row>
    <row r="32" spans="1:56" x14ac:dyDescent="0.25">
      <c r="A32" s="873"/>
      <c r="B32" s="874"/>
      <c r="C32" s="388"/>
      <c r="D32" s="388"/>
      <c r="E32" s="388"/>
      <c r="F32" s="388"/>
      <c r="G32" s="388"/>
      <c r="H32" s="388"/>
      <c r="I32" s="388"/>
      <c r="J32" s="388"/>
      <c r="K32" s="388"/>
      <c r="L32" s="388"/>
      <c r="M32" s="388"/>
      <c r="N32" s="388"/>
      <c r="O32" s="388"/>
      <c r="P32" s="388"/>
      <c r="Q32" s="389"/>
      <c r="R32" s="388"/>
      <c r="S32" s="388"/>
      <c r="T32" s="388"/>
      <c r="U32" s="389"/>
      <c r="V32" s="388"/>
      <c r="W32" s="388"/>
      <c r="X32" s="388"/>
      <c r="Y32" s="389"/>
      <c r="Z32" s="388"/>
      <c r="AA32" s="388"/>
      <c r="AB32" s="388"/>
      <c r="AC32" s="389"/>
      <c r="AD32" s="388"/>
      <c r="AE32" s="388"/>
      <c r="AF32" s="643"/>
      <c r="AG32" s="875"/>
      <c r="AH32" s="875"/>
      <c r="AI32" s="875"/>
      <c r="AJ32" s="875"/>
      <c r="AK32" s="875"/>
      <c r="AL32" s="875"/>
      <c r="AM32" s="875"/>
      <c r="AN32" s="387"/>
      <c r="AO32" s="387"/>
      <c r="AP32" s="387"/>
      <c r="AQ32" s="387"/>
      <c r="AR32" s="387"/>
      <c r="AS32" s="387"/>
      <c r="AT32" s="387"/>
      <c r="AU32" s="387"/>
      <c r="AV32" s="387"/>
      <c r="AW32" s="387"/>
      <c r="AX32" s="919"/>
      <c r="AY32" s="434"/>
      <c r="AZ32" s="434"/>
      <c r="BA32" s="876"/>
      <c r="BB32" s="876"/>
      <c r="BC32" s="876"/>
      <c r="BD32" s="285"/>
    </row>
    <row r="33" spans="1:56" x14ac:dyDescent="0.25">
      <c r="A33" s="626" t="str">
        <f>Model!A26</f>
        <v>Segmented Results Breakdown (FS)</v>
      </c>
      <c r="B33" s="626"/>
      <c r="C33" s="719"/>
      <c r="D33" s="719"/>
      <c r="E33" s="719"/>
      <c r="F33" s="719"/>
      <c r="G33" s="719"/>
      <c r="H33" s="719"/>
      <c r="I33" s="719"/>
      <c r="J33" s="719"/>
      <c r="K33" s="719"/>
      <c r="L33" s="719"/>
      <c r="M33" s="719"/>
      <c r="N33" s="719"/>
      <c r="O33" s="719"/>
      <c r="P33" s="719"/>
      <c r="Q33" s="719"/>
      <c r="R33" s="719"/>
      <c r="S33" s="719"/>
      <c r="T33" s="719"/>
      <c r="U33" s="719"/>
      <c r="V33" s="719"/>
      <c r="W33" s="719"/>
      <c r="X33" s="719"/>
      <c r="Y33" s="719"/>
      <c r="Z33" s="719"/>
      <c r="AA33" s="719"/>
      <c r="AB33" s="719"/>
      <c r="AC33" s="719"/>
      <c r="AD33" s="719"/>
      <c r="AE33" s="719"/>
      <c r="AF33" s="720"/>
      <c r="AG33" s="719"/>
      <c r="AH33" s="721"/>
      <c r="AI33" s="721"/>
      <c r="AJ33" s="721"/>
      <c r="AK33" s="721"/>
      <c r="AL33" s="721"/>
      <c r="AM33" s="721"/>
      <c r="AN33" s="719"/>
      <c r="AO33" s="719"/>
      <c r="AP33" s="719"/>
      <c r="AQ33" s="719"/>
      <c r="AR33" s="719"/>
      <c r="AS33" s="719"/>
      <c r="AT33" s="719"/>
      <c r="AU33" s="719"/>
      <c r="AV33" s="719"/>
      <c r="AW33" s="719"/>
      <c r="AX33" s="720"/>
      <c r="AY33" s="721"/>
      <c r="AZ33" s="721"/>
      <c r="BA33" s="721"/>
      <c r="BB33" s="721"/>
      <c r="BC33" s="721"/>
      <c r="BD33" s="285"/>
    </row>
    <row r="34" spans="1:56" x14ac:dyDescent="0.25">
      <c r="A34" s="588" t="str">
        <f>Model!A27</f>
        <v>Workforce Excellence revenue, mm</v>
      </c>
      <c r="B34" s="589"/>
      <c r="C34" s="723"/>
      <c r="D34" s="723"/>
      <c r="E34" s="723"/>
      <c r="F34" s="723"/>
      <c r="G34" s="723"/>
      <c r="H34" s="723"/>
      <c r="I34" s="723"/>
      <c r="J34" s="723"/>
      <c r="K34" s="723"/>
      <c r="L34" s="723"/>
      <c r="M34" s="723"/>
      <c r="N34" s="723"/>
      <c r="O34" s="723"/>
      <c r="P34" s="723"/>
      <c r="Q34" s="724"/>
      <c r="R34" s="723"/>
      <c r="S34" s="723">
        <f>Model!S27</f>
        <v>71.543000000000006</v>
      </c>
      <c r="T34" s="723">
        <f>Model!T27</f>
        <v>76.031999999999996</v>
      </c>
      <c r="U34" s="724">
        <f>Model!U27</f>
        <v>77.022000000000006</v>
      </c>
      <c r="V34" s="725">
        <f>Model!V27</f>
        <v>83.662000000000035</v>
      </c>
      <c r="W34" s="723">
        <f>Model!W27</f>
        <v>74.430999999999997</v>
      </c>
      <c r="X34" s="723">
        <f>Model!X27</f>
        <v>80.256</v>
      </c>
      <c r="Y34" s="724">
        <f>Model!Y27</f>
        <v>80.516000000000005</v>
      </c>
      <c r="Z34" s="725">
        <f>Model!Z27</f>
        <v>81.61099999999999</v>
      </c>
      <c r="AA34" s="723">
        <f>Model!AA27</f>
        <v>79.45</v>
      </c>
      <c r="AB34" s="723">
        <f>Model!AB27</f>
        <v>81.058999999999997</v>
      </c>
      <c r="AC34" s="724">
        <f>Model!AC27</f>
        <v>82.49</v>
      </c>
      <c r="AD34" s="725">
        <f>Model!AD27</f>
        <v>86.795999999999992</v>
      </c>
      <c r="AE34" s="723">
        <f>Model!AE27</f>
        <v>74.378</v>
      </c>
      <c r="AF34" s="727">
        <f>Model!AF27</f>
        <v>65.811000000000007</v>
      </c>
      <c r="AG34" s="777">
        <v>80</v>
      </c>
      <c r="AH34" s="777">
        <v>85</v>
      </c>
      <c r="AI34" s="725">
        <f>Model!AI27</f>
        <v>79.584460000000007</v>
      </c>
      <c r="AJ34" s="725">
        <f>Model!AJ27</f>
        <v>73.708320000000015</v>
      </c>
      <c r="AK34" s="725">
        <f>Model!AK27</f>
        <v>80.8</v>
      </c>
      <c r="AL34" s="725">
        <f>Model!AL27</f>
        <v>85.85</v>
      </c>
      <c r="AM34" s="725"/>
      <c r="AN34" s="722"/>
      <c r="AO34" s="722"/>
      <c r="AP34" s="722"/>
      <c r="AQ34" s="722"/>
      <c r="AR34" s="722"/>
      <c r="AS34" s="722"/>
      <c r="AT34" s="722"/>
      <c r="AU34" s="722"/>
      <c r="AV34" s="726">
        <f>Model!AV27</f>
        <v>308.25900000000001</v>
      </c>
      <c r="AW34" s="726">
        <f>Model!AW27</f>
        <v>316.81400000000002</v>
      </c>
      <c r="AX34" s="925">
        <f>Model!AX27</f>
        <v>329.79500000000002</v>
      </c>
      <c r="AY34" s="726">
        <f>Model!AY27</f>
        <v>305.18900000000002</v>
      </c>
      <c r="AZ34" s="726">
        <f>Model!AZ27</f>
        <v>319.94277999999997</v>
      </c>
      <c r="BA34" s="726">
        <f>Model!BA27</f>
        <v>351.93705799999998</v>
      </c>
      <c r="BB34" s="726">
        <f>Model!BB27</f>
        <v>387.13076380000001</v>
      </c>
      <c r="BC34" s="726">
        <f>Model!BC27</f>
        <v>406.48730199000005</v>
      </c>
      <c r="BD34" s="285"/>
    </row>
    <row r="35" spans="1:56" x14ac:dyDescent="0.25">
      <c r="A35" s="588" t="str">
        <f>Model!A28</f>
        <v>Business Transformation Services revenue, mm</v>
      </c>
      <c r="B35" s="589"/>
      <c r="C35" s="723"/>
      <c r="D35" s="723"/>
      <c r="E35" s="723"/>
      <c r="F35" s="723"/>
      <c r="G35" s="723"/>
      <c r="H35" s="723"/>
      <c r="I35" s="723"/>
      <c r="J35" s="723"/>
      <c r="K35" s="723"/>
      <c r="L35" s="723"/>
      <c r="M35" s="723"/>
      <c r="N35" s="723"/>
      <c r="O35" s="723"/>
      <c r="P35" s="723"/>
      <c r="Q35" s="724"/>
      <c r="R35" s="723"/>
      <c r="S35" s="723">
        <f>Model!S28</f>
        <v>50.904000000000003</v>
      </c>
      <c r="T35" s="723">
        <f>Model!T28</f>
        <v>55.128999999999998</v>
      </c>
      <c r="U35" s="724">
        <f>Model!U28</f>
        <v>47.075000000000003</v>
      </c>
      <c r="V35" s="725">
        <f>Model!V28</f>
        <v>47.841000000000008</v>
      </c>
      <c r="W35" s="723">
        <f>Model!W28</f>
        <v>50.600999999999999</v>
      </c>
      <c r="X35" s="723">
        <f>Model!X28</f>
        <v>53.435000000000002</v>
      </c>
      <c r="Y35" s="724">
        <f>Model!Y28</f>
        <v>43.05</v>
      </c>
      <c r="Z35" s="725">
        <f>Model!Z28</f>
        <v>51.259999999999991</v>
      </c>
      <c r="AA35" s="723">
        <f>Model!AA28</f>
        <v>60.023000000000003</v>
      </c>
      <c r="AB35" s="723">
        <f>Model!AB28</f>
        <v>68.353999999999999</v>
      </c>
      <c r="AC35" s="724">
        <f>Model!AC28</f>
        <v>56.515000000000001</v>
      </c>
      <c r="AD35" s="725">
        <f>Model!AD28</f>
        <v>68.603000000000009</v>
      </c>
      <c r="AE35" s="723">
        <f>Model!AE28</f>
        <v>53.902999999999999</v>
      </c>
      <c r="AF35" s="727">
        <f>Model!AF28</f>
        <v>40.332999999999998</v>
      </c>
      <c r="AG35" s="777">
        <v>50</v>
      </c>
      <c r="AH35" s="777">
        <v>62</v>
      </c>
      <c r="AI35" s="725">
        <f>Model!AI28</f>
        <v>57.676210000000005</v>
      </c>
      <c r="AJ35" s="725">
        <f>Model!AJ28</f>
        <v>53.642890000000001</v>
      </c>
      <c r="AK35" s="725">
        <f>Model!AK28</f>
        <v>51.5</v>
      </c>
      <c r="AL35" s="725">
        <f>Model!AL28</f>
        <v>63.86</v>
      </c>
      <c r="AM35" s="725"/>
      <c r="AN35" s="722"/>
      <c r="AO35" s="722"/>
      <c r="AP35" s="722"/>
      <c r="AQ35" s="722"/>
      <c r="AR35" s="722"/>
      <c r="AS35" s="722"/>
      <c r="AT35" s="722"/>
      <c r="AU35" s="722"/>
      <c r="AV35" s="726">
        <f>Model!AV28</f>
        <v>200.94900000000001</v>
      </c>
      <c r="AW35" s="726">
        <f>Model!AW28</f>
        <v>198.346</v>
      </c>
      <c r="AX35" s="925">
        <f>Model!AX28</f>
        <v>253.495</v>
      </c>
      <c r="AY35" s="726">
        <f>Model!AY28</f>
        <v>206.23599999999999</v>
      </c>
      <c r="AZ35" s="726">
        <f>Model!AZ28</f>
        <v>226.67910000000001</v>
      </c>
      <c r="BA35" s="726">
        <f>Model!BA28</f>
        <v>249.34701000000004</v>
      </c>
      <c r="BB35" s="726">
        <f>Model!BB28</f>
        <v>274.28171100000009</v>
      </c>
      <c r="BC35" s="726">
        <f>Model!BC28</f>
        <v>287.99579655000008</v>
      </c>
      <c r="BD35" s="285"/>
    </row>
    <row r="36" spans="1:56" x14ac:dyDescent="0.25">
      <c r="A36" s="588"/>
      <c r="B36" s="589"/>
      <c r="C36" s="723"/>
      <c r="D36" s="723"/>
      <c r="E36" s="723"/>
      <c r="F36" s="723"/>
      <c r="G36" s="723"/>
      <c r="H36" s="723"/>
      <c r="I36" s="723"/>
      <c r="J36" s="723"/>
      <c r="K36" s="723"/>
      <c r="L36" s="723"/>
      <c r="M36" s="723"/>
      <c r="N36" s="723"/>
      <c r="O36" s="723"/>
      <c r="P36" s="723"/>
      <c r="Q36" s="724"/>
      <c r="R36" s="723"/>
      <c r="S36" s="723"/>
      <c r="T36" s="723"/>
      <c r="U36" s="724"/>
      <c r="V36" s="725"/>
      <c r="W36" s="723"/>
      <c r="X36" s="723"/>
      <c r="Y36" s="724"/>
      <c r="Z36" s="725"/>
      <c r="AA36" s="723"/>
      <c r="AB36" s="723"/>
      <c r="AC36" s="724"/>
      <c r="AD36" s="725"/>
      <c r="AE36" s="723"/>
      <c r="AF36" s="727"/>
      <c r="AG36" s="777"/>
      <c r="AH36" s="777"/>
      <c r="AI36" s="725"/>
      <c r="AJ36" s="725"/>
      <c r="AK36" s="725"/>
      <c r="AL36" s="725"/>
      <c r="AM36" s="725"/>
      <c r="AN36" s="722"/>
      <c r="AO36" s="722"/>
      <c r="AP36" s="722"/>
      <c r="AQ36" s="722"/>
      <c r="AR36" s="722"/>
      <c r="AS36" s="722"/>
      <c r="AT36" s="722"/>
      <c r="AU36" s="722"/>
      <c r="AV36" s="726"/>
      <c r="AW36" s="726"/>
      <c r="AX36" s="925"/>
      <c r="AY36" s="726"/>
      <c r="AZ36" s="726"/>
      <c r="BA36" s="726"/>
      <c r="BB36" s="726"/>
      <c r="BC36" s="726"/>
      <c r="BD36" s="285"/>
    </row>
    <row r="37" spans="1:56" x14ac:dyDescent="0.25">
      <c r="A37" s="69" t="str">
        <f>Model!A82</f>
        <v>Margin Analysis</v>
      </c>
      <c r="B37" s="69"/>
      <c r="C37" s="386"/>
      <c r="D37" s="386"/>
      <c r="E37" s="386"/>
      <c r="F37" s="386"/>
      <c r="G37" s="386"/>
      <c r="H37" s="386"/>
      <c r="I37" s="386"/>
      <c r="J37" s="386"/>
      <c r="K37" s="386"/>
      <c r="L37" s="386"/>
      <c r="M37" s="386"/>
      <c r="N37" s="386"/>
      <c r="O37" s="386"/>
      <c r="P37" s="386"/>
      <c r="Q37" s="386"/>
      <c r="R37" s="386"/>
      <c r="S37" s="386"/>
      <c r="T37" s="386"/>
      <c r="U37" s="386"/>
      <c r="V37" s="386"/>
      <c r="W37" s="386"/>
      <c r="X37" s="386"/>
      <c r="Y37" s="386"/>
      <c r="Z37" s="386"/>
      <c r="AA37" s="386"/>
      <c r="AB37" s="386"/>
      <c r="AC37" s="386"/>
      <c r="AD37" s="386"/>
      <c r="AE37" s="386"/>
      <c r="AF37" s="642"/>
      <c r="AG37" s="386"/>
      <c r="AH37" s="69"/>
      <c r="AI37" s="69"/>
      <c r="AJ37" s="69"/>
      <c r="AK37" s="69"/>
      <c r="AL37" s="69"/>
      <c r="AM37" s="69"/>
      <c r="AN37" s="386"/>
      <c r="AO37" s="386"/>
      <c r="AP37" s="386"/>
      <c r="AQ37" s="386"/>
      <c r="AR37" s="386"/>
      <c r="AS37" s="386"/>
      <c r="AT37" s="386"/>
      <c r="AU37" s="386"/>
      <c r="AV37" s="386"/>
      <c r="AW37" s="386"/>
      <c r="AX37" s="642"/>
      <c r="AY37" s="69"/>
      <c r="AZ37" s="69"/>
      <c r="BA37" s="69"/>
      <c r="BB37" s="69"/>
      <c r="BC37" s="69"/>
      <c r="BD37" s="285"/>
    </row>
    <row r="38" spans="1:56" x14ac:dyDescent="0.25">
      <c r="A38" s="873" t="str">
        <f>Model!A83</f>
        <v>Workforce Excellence COGS margin, %</v>
      </c>
      <c r="B38" s="874"/>
      <c r="C38" s="388"/>
      <c r="D38" s="388"/>
      <c r="E38" s="388"/>
      <c r="F38" s="388"/>
      <c r="G38" s="388"/>
      <c r="H38" s="388"/>
      <c r="I38" s="388"/>
      <c r="J38" s="388"/>
      <c r="K38" s="388"/>
      <c r="L38" s="388"/>
      <c r="M38" s="388"/>
      <c r="N38" s="388"/>
      <c r="O38" s="388"/>
      <c r="P38" s="388"/>
      <c r="Q38" s="389"/>
      <c r="R38" s="388"/>
      <c r="S38" s="388">
        <f>Model!S83</f>
        <v>0.81819325440644097</v>
      </c>
      <c r="T38" s="388">
        <f>Model!T83</f>
        <v>0.81540667087542096</v>
      </c>
      <c r="U38" s="388">
        <f>Model!U83</f>
        <v>0.8456025551141233</v>
      </c>
      <c r="V38" s="388">
        <f>Model!V83</f>
        <v>0.83237312041309086</v>
      </c>
      <c r="W38" s="388">
        <f>Model!W83</f>
        <v>0.85074767234082571</v>
      </c>
      <c r="X38" s="388">
        <f>Model!X83</f>
        <v>0.81298594497607657</v>
      </c>
      <c r="Y38" s="389">
        <f>Model!Y83</f>
        <v>0.8335734512395051</v>
      </c>
      <c r="Z38" s="388">
        <f>Model!Z83</f>
        <v>0.86083983776696771</v>
      </c>
      <c r="AA38" s="388">
        <f>Model!AA83</f>
        <v>0.83122718691000619</v>
      </c>
      <c r="AB38" s="388">
        <f>Model!AB83</f>
        <v>0.83477467030187891</v>
      </c>
      <c r="AC38" s="389">
        <f>Model!AC83</f>
        <v>0.82676688083404037</v>
      </c>
      <c r="AD38" s="388">
        <f>Model!AD83</f>
        <v>0.82991151665975382</v>
      </c>
      <c r="AE38" s="388">
        <f>Model!AE83</f>
        <v>0.84547850170749417</v>
      </c>
      <c r="AF38" s="643">
        <f>Model!AF83</f>
        <v>0.82674628861436539</v>
      </c>
      <c r="AG38" s="875">
        <v>0.82699999999999996</v>
      </c>
      <c r="AH38" s="875">
        <v>0.82</v>
      </c>
      <c r="AI38" s="875">
        <v>0.82499999999999996</v>
      </c>
      <c r="AJ38" s="875">
        <v>0.82</v>
      </c>
      <c r="AK38" s="875">
        <v>0.82</v>
      </c>
      <c r="AL38" s="875">
        <v>0.82</v>
      </c>
      <c r="AM38" s="875"/>
      <c r="AN38" s="387"/>
      <c r="AO38" s="387"/>
      <c r="AP38" s="387"/>
      <c r="AQ38" s="387"/>
      <c r="AR38" s="387"/>
      <c r="AS38" s="387"/>
      <c r="AT38" s="387"/>
      <c r="AU38" s="387"/>
      <c r="AV38" s="387">
        <f>Model!AV83</f>
        <v>0.82820290729548851</v>
      </c>
      <c r="AW38" s="387">
        <f>Model!AW83</f>
        <v>0.83941681870119378</v>
      </c>
      <c r="AX38" s="919">
        <f>Model!AX83</f>
        <v>0.8306372140268955</v>
      </c>
      <c r="AY38" s="434">
        <f>Model!AY83</f>
        <v>0.82949909728070137</v>
      </c>
      <c r="AZ38" s="434">
        <f>Model!AZ83</f>
        <v>0.82124372958189595</v>
      </c>
      <c r="BA38" s="876">
        <v>0.81499999999999995</v>
      </c>
      <c r="BB38" s="876">
        <v>0.81499999999999995</v>
      </c>
      <c r="BC38" s="876">
        <v>0.81499999999999995</v>
      </c>
      <c r="BD38" s="285"/>
    </row>
    <row r="39" spans="1:56" x14ac:dyDescent="0.25">
      <c r="A39" s="873" t="str">
        <f>Model!A84</f>
        <v>Business Transformation COGS margin, %</v>
      </c>
      <c r="B39" s="874"/>
      <c r="C39" s="388"/>
      <c r="D39" s="388"/>
      <c r="E39" s="388"/>
      <c r="F39" s="388"/>
      <c r="G39" s="388"/>
      <c r="H39" s="388"/>
      <c r="I39" s="388"/>
      <c r="J39" s="388"/>
      <c r="K39" s="388"/>
      <c r="L39" s="388"/>
      <c r="M39" s="388"/>
      <c r="N39" s="388"/>
      <c r="O39" s="388"/>
      <c r="P39" s="388"/>
      <c r="Q39" s="389"/>
      <c r="R39" s="388"/>
      <c r="S39" s="388">
        <f>Model!S84</f>
        <v>0.87464639321074966</v>
      </c>
      <c r="T39" s="388">
        <f>Model!T84</f>
        <v>0.84763010393803628</v>
      </c>
      <c r="U39" s="388">
        <f>Model!U84</f>
        <v>0.85652681890600113</v>
      </c>
      <c r="V39" s="388">
        <f>Model!V84</f>
        <v>0.84252001421374978</v>
      </c>
      <c r="W39" s="388">
        <f>Model!W84</f>
        <v>0.8701606687614869</v>
      </c>
      <c r="X39" s="388">
        <f>Model!X84</f>
        <v>0.85844483952465611</v>
      </c>
      <c r="Y39" s="389">
        <f>Model!Y84</f>
        <v>0.86529616724738678</v>
      </c>
      <c r="Z39" s="388">
        <f>Model!Z84</f>
        <v>0.86470932500975417</v>
      </c>
      <c r="AA39" s="388">
        <f>Model!AA84</f>
        <v>0.86890025490228751</v>
      </c>
      <c r="AB39" s="388">
        <f>Model!AB84</f>
        <v>0.86005208180940396</v>
      </c>
      <c r="AC39" s="389">
        <f>Model!AC84</f>
        <v>0.86946828275679022</v>
      </c>
      <c r="AD39" s="388">
        <f>Model!AD84</f>
        <v>0.87542818827165003</v>
      </c>
      <c r="AE39" s="388">
        <f>Model!AE84</f>
        <v>0.88644416822811345</v>
      </c>
      <c r="AF39" s="643">
        <f>Model!AF84</f>
        <v>0.88855279795700792</v>
      </c>
      <c r="AG39" s="875">
        <v>0.87</v>
      </c>
      <c r="AH39" s="875">
        <v>0.86</v>
      </c>
      <c r="AI39" s="875">
        <v>0.86</v>
      </c>
      <c r="AJ39" s="875">
        <v>0.85499999999999998</v>
      </c>
      <c r="AK39" s="875">
        <v>0.86</v>
      </c>
      <c r="AL39" s="875">
        <v>0.82</v>
      </c>
      <c r="AM39" s="875"/>
      <c r="AN39" s="387"/>
      <c r="AO39" s="387"/>
      <c r="AP39" s="387"/>
      <c r="AQ39" s="387"/>
      <c r="AR39" s="387"/>
      <c r="AS39" s="387"/>
      <c r="AT39" s="387"/>
      <c r="AU39" s="387"/>
      <c r="AV39" s="387">
        <f>Model!AV84</f>
        <v>0.85534140503311795</v>
      </c>
      <c r="AW39" s="387">
        <f>Model!AW84</f>
        <v>0.86453974368023556</v>
      </c>
      <c r="AX39" s="919">
        <f>Model!AX84</f>
        <v>0.8684076609006095</v>
      </c>
      <c r="AY39" s="434">
        <f>Model!AY84</f>
        <v>0.87491999456932834</v>
      </c>
      <c r="AZ39" s="434">
        <f>Model!AZ84</f>
        <v>0.84754797222152356</v>
      </c>
      <c r="BA39" s="876">
        <v>0.84499999999999997</v>
      </c>
      <c r="BB39" s="876">
        <v>0.84499999999999997</v>
      </c>
      <c r="BC39" s="876">
        <v>0.84499999999999997</v>
      </c>
      <c r="BD39" s="285"/>
    </row>
    <row r="40" spans="1:56" x14ac:dyDescent="0.25">
      <c r="A40" s="880" t="str">
        <f>Model!A95</f>
        <v>SG&amp;A Margin (adj. for SBC), %</v>
      </c>
      <c r="B40" s="881"/>
      <c r="C40" s="391">
        <f>Model!C95</f>
        <v>8.0258056879050646E-2</v>
      </c>
      <c r="D40" s="391">
        <f>Model!D95</f>
        <v>8.5072307648309337E-2</v>
      </c>
      <c r="E40" s="391">
        <f>Model!E95</f>
        <v>7.8606323489138402E-2</v>
      </c>
      <c r="F40" s="391">
        <f>Model!F95</f>
        <v>8.4951373485753254E-2</v>
      </c>
      <c r="G40" s="391">
        <f>Model!G95</f>
        <v>8.8878520529351884E-2</v>
      </c>
      <c r="H40" s="391">
        <f>Model!H95</f>
        <v>7.6031367200818267E-2</v>
      </c>
      <c r="I40" s="391">
        <f>Model!I95</f>
        <v>8.6131316148511744E-2</v>
      </c>
      <c r="J40" s="391">
        <f>Model!J95</f>
        <v>8.690894568690094E-2</v>
      </c>
      <c r="K40" s="391">
        <f>Model!K95</f>
        <v>8.903022047148447E-2</v>
      </c>
      <c r="L40" s="391">
        <f>Model!L95</f>
        <v>8.2958659929176781E-2</v>
      </c>
      <c r="M40" s="391">
        <f>Model!M95</f>
        <v>8.7040697627124158E-2</v>
      </c>
      <c r="N40" s="391">
        <f>Model!N95</f>
        <v>8.1491090001661021E-2</v>
      </c>
      <c r="O40" s="391">
        <f>Model!O95</f>
        <v>9.0483430664501194E-2</v>
      </c>
      <c r="P40" s="391">
        <f>Model!P95</f>
        <v>8.6719982157365663E-2</v>
      </c>
      <c r="Q40" s="392">
        <f>Model!Q95</f>
        <v>8.549082621456329E-2</v>
      </c>
      <c r="R40" s="391">
        <f>Model!R95</f>
        <v>8.4795298665179195E-2</v>
      </c>
      <c r="S40" s="391">
        <f>Model!S95</f>
        <v>9.4212189763734508E-2</v>
      </c>
      <c r="T40" s="391">
        <f>Model!T95</f>
        <v>8.7708998863991583E-2</v>
      </c>
      <c r="U40" s="392">
        <f>Model!U95</f>
        <v>0.10370113701378761</v>
      </c>
      <c r="V40" s="391">
        <f>Model!V95</f>
        <v>0.11555629909583809</v>
      </c>
      <c r="W40" s="391">
        <f>Model!W95</f>
        <v>0.10537302450572653</v>
      </c>
      <c r="X40" s="391">
        <f>Model!X95</f>
        <v>0.10548204441585447</v>
      </c>
      <c r="Y40" s="392">
        <f>Model!Y95</f>
        <v>0.10162180535098651</v>
      </c>
      <c r="Z40" s="391">
        <f>Model!Z95</f>
        <v>0.11666955167041719</v>
      </c>
      <c r="AA40" s="391">
        <f>Model!AA95</f>
        <v>0.12208097624629856</v>
      </c>
      <c r="AB40" s="391">
        <f>Model!AB95</f>
        <v>0.10693848594165166</v>
      </c>
      <c r="AC40" s="392">
        <f>Model!AC95</f>
        <v>0.11186647962303516</v>
      </c>
      <c r="AD40" s="391">
        <f>Model!AD95</f>
        <v>0.11722726658472714</v>
      </c>
      <c r="AE40" s="391">
        <f>Model!AE95</f>
        <v>0.13928017399303089</v>
      </c>
      <c r="AF40" s="645">
        <f>Model!AF95</f>
        <v>0.13661629484473922</v>
      </c>
      <c r="AG40" s="882">
        <v>0.127</v>
      </c>
      <c r="AH40" s="882">
        <v>0.125</v>
      </c>
      <c r="AI40" s="882">
        <v>0.13200000000000001</v>
      </c>
      <c r="AJ40" s="882">
        <v>0.13</v>
      </c>
      <c r="AK40" s="882">
        <v>0.127</v>
      </c>
      <c r="AL40" s="882">
        <v>0.125</v>
      </c>
      <c r="AM40" s="882"/>
      <c r="AN40" s="390">
        <f>Model!AN95</f>
        <v>8.7401933953658084E-2</v>
      </c>
      <c r="AO40" s="390">
        <f>Model!AO95</f>
        <v>8.2538876449451001E-2</v>
      </c>
      <c r="AP40" s="390">
        <f>Model!AP95</f>
        <v>8.1487662343509404E-2</v>
      </c>
      <c r="AQ40" s="390">
        <f>Model!AQ95</f>
        <v>7.9400456207106063E-2</v>
      </c>
      <c r="AR40" s="390">
        <f>Model!AR95</f>
        <v>8.2246175195619761E-2</v>
      </c>
      <c r="AS40" s="390">
        <f>Model!AS95</f>
        <v>8.4255390372349637E-2</v>
      </c>
      <c r="AT40" s="390">
        <f>Model!AT95</f>
        <v>8.5031002692339083E-2</v>
      </c>
      <c r="AU40" s="390">
        <f>Model!AU95</f>
        <v>8.6803014520169849E-2</v>
      </c>
      <c r="AV40" s="390">
        <f>Model!AV95</f>
        <v>0.10036173822877879</v>
      </c>
      <c r="AW40" s="390">
        <f>Model!AW95</f>
        <v>0.1074151719854026</v>
      </c>
      <c r="AX40" s="921">
        <f>Model!AX95</f>
        <v>0.11447478955579558</v>
      </c>
      <c r="AY40" s="393">
        <f>Model!AY95</f>
        <v>0.13150119763406168</v>
      </c>
      <c r="AZ40" s="393">
        <f>Model!AZ95</f>
        <v>0.12840670728365283</v>
      </c>
      <c r="BA40" s="883">
        <v>0.12</v>
      </c>
      <c r="BB40" s="883">
        <v>0.11</v>
      </c>
      <c r="BC40" s="883">
        <v>0.11</v>
      </c>
      <c r="BD40" s="285"/>
    </row>
    <row r="41" spans="1:56" x14ac:dyDescent="0.25">
      <c r="A41" s="880"/>
      <c r="B41" s="881"/>
      <c r="C41" s="391"/>
      <c r="D41" s="391"/>
      <c r="E41" s="391"/>
      <c r="F41" s="391"/>
      <c r="G41" s="391"/>
      <c r="H41" s="391"/>
      <c r="I41" s="391"/>
      <c r="J41" s="391"/>
      <c r="K41" s="391"/>
      <c r="L41" s="391"/>
      <c r="M41" s="391"/>
      <c r="N41" s="391"/>
      <c r="O41" s="391"/>
      <c r="P41" s="391"/>
      <c r="Q41" s="392"/>
      <c r="R41" s="391"/>
      <c r="S41" s="391"/>
      <c r="T41" s="391"/>
      <c r="U41" s="392"/>
      <c r="V41" s="391"/>
      <c r="W41" s="391"/>
      <c r="X41" s="391"/>
      <c r="Y41" s="392"/>
      <c r="Z41" s="391"/>
      <c r="AA41" s="391"/>
      <c r="AB41" s="391"/>
      <c r="AC41" s="392"/>
      <c r="AD41" s="391"/>
      <c r="AE41" s="391"/>
      <c r="AF41" s="645"/>
      <c r="AG41" s="882"/>
      <c r="AH41" s="882"/>
      <c r="AI41" s="882"/>
      <c r="AJ41" s="882"/>
      <c r="AK41" s="882"/>
      <c r="AL41" s="882"/>
      <c r="AM41" s="882"/>
      <c r="AN41" s="390"/>
      <c r="AO41" s="390"/>
      <c r="AP41" s="390"/>
      <c r="AQ41" s="390"/>
      <c r="AR41" s="390"/>
      <c r="AS41" s="390"/>
      <c r="AT41" s="390"/>
      <c r="AU41" s="390"/>
      <c r="AV41" s="390"/>
      <c r="AW41" s="390"/>
      <c r="AX41" s="921"/>
      <c r="AY41" s="393"/>
      <c r="AZ41" s="393"/>
      <c r="BA41" s="883"/>
      <c r="BB41" s="883"/>
      <c r="BC41" s="883"/>
      <c r="BD41" s="285"/>
    </row>
    <row r="42" spans="1:56" x14ac:dyDescent="0.25">
      <c r="A42" s="626" t="str">
        <f>Model!A159</f>
        <v>Revised Income Statement</v>
      </c>
      <c r="B42" s="626"/>
      <c r="C42" s="719"/>
      <c r="D42" s="719"/>
      <c r="E42" s="719"/>
      <c r="F42" s="719"/>
      <c r="G42" s="719"/>
      <c r="H42" s="719"/>
      <c r="I42" s="719"/>
      <c r="J42" s="719"/>
      <c r="K42" s="719"/>
      <c r="L42" s="719"/>
      <c r="M42" s="719"/>
      <c r="N42" s="719"/>
      <c r="O42" s="719"/>
      <c r="P42" s="719"/>
      <c r="Q42" s="719"/>
      <c r="R42" s="719"/>
      <c r="S42" s="719"/>
      <c r="T42" s="719"/>
      <c r="U42" s="719"/>
      <c r="V42" s="719"/>
      <c r="W42" s="719"/>
      <c r="X42" s="719"/>
      <c r="Y42" s="719"/>
      <c r="Z42" s="719"/>
      <c r="AA42" s="719"/>
      <c r="AB42" s="719"/>
      <c r="AC42" s="719"/>
      <c r="AD42" s="719"/>
      <c r="AE42" s="719"/>
      <c r="AF42" s="720"/>
      <c r="AG42" s="719"/>
      <c r="AH42" s="721"/>
      <c r="AI42" s="721"/>
      <c r="AJ42" s="721"/>
      <c r="AK42" s="721"/>
      <c r="AL42" s="721"/>
      <c r="AM42" s="721"/>
      <c r="AN42" s="719"/>
      <c r="AO42" s="719"/>
      <c r="AP42" s="719"/>
      <c r="AQ42" s="719"/>
      <c r="AR42" s="719"/>
      <c r="AS42" s="719"/>
      <c r="AT42" s="719"/>
      <c r="AU42" s="719"/>
      <c r="AV42" s="719"/>
      <c r="AW42" s="719"/>
      <c r="AX42" s="720"/>
      <c r="AY42" s="721"/>
      <c r="AZ42" s="721"/>
      <c r="BA42" s="721"/>
      <c r="BB42" s="721"/>
      <c r="BC42" s="721"/>
      <c r="BD42" s="285"/>
    </row>
    <row r="43" spans="1:56" x14ac:dyDescent="0.25">
      <c r="A43" s="853" t="str">
        <f>Model!A171</f>
        <v>D&amp;A</v>
      </c>
      <c r="B43" s="854"/>
      <c r="C43" s="725">
        <f>Model!C171</f>
        <v>1.958</v>
      </c>
      <c r="D43" s="725">
        <f>Model!D171</f>
        <v>1.9920000000000002</v>
      </c>
      <c r="E43" s="725">
        <f>Model!E171</f>
        <v>2.3049999999999997</v>
      </c>
      <c r="F43" s="725">
        <f>Model!F171</f>
        <v>2.362000000000001</v>
      </c>
      <c r="G43" s="725">
        <f>Model!G171</f>
        <v>2.4079999999999999</v>
      </c>
      <c r="H43" s="725">
        <f>Model!H171</f>
        <v>2.5429999999999997</v>
      </c>
      <c r="I43" s="725">
        <f>Model!I171</f>
        <v>2.5260000000000007</v>
      </c>
      <c r="J43" s="725">
        <f>Model!J171</f>
        <v>2.2809999999999988</v>
      </c>
      <c r="K43" s="725">
        <f>Model!K171</f>
        <v>2.0680000000000001</v>
      </c>
      <c r="L43" s="725">
        <f>Model!L171</f>
        <v>1.9839999999999995</v>
      </c>
      <c r="M43" s="725">
        <f>Model!M171</f>
        <v>1.9620000000000006</v>
      </c>
      <c r="N43" s="725">
        <f>Model!N171</f>
        <v>1.851</v>
      </c>
      <c r="O43" s="725">
        <f>Model!O171</f>
        <v>1.7649999999999999</v>
      </c>
      <c r="P43" s="725">
        <f>Model!P171</f>
        <v>1.7100000000000002</v>
      </c>
      <c r="Q43" s="725">
        <f>Model!Q171</f>
        <v>1.4940000000000002</v>
      </c>
      <c r="R43" s="725">
        <f>Model!R171</f>
        <v>1.4929999999999994</v>
      </c>
      <c r="S43" s="725">
        <f>Model!S171</f>
        <v>1.4430000000000001</v>
      </c>
      <c r="T43" s="725">
        <f>Model!T171</f>
        <v>1.7629999999999999</v>
      </c>
      <c r="U43" s="725">
        <f>Model!U171</f>
        <v>1.9469999999999996</v>
      </c>
      <c r="V43" s="725">
        <f>Model!V171</f>
        <v>1.8210000000000006</v>
      </c>
      <c r="W43" s="725">
        <f>Model!W171</f>
        <v>1.8420000000000001</v>
      </c>
      <c r="X43" s="725">
        <f>Model!X171</f>
        <v>1.919</v>
      </c>
      <c r="Y43" s="725">
        <f>Model!Y171</f>
        <v>1.9089999999999998</v>
      </c>
      <c r="Z43" s="725">
        <f>Model!Z171</f>
        <v>2.2510000000000003</v>
      </c>
      <c r="AA43" s="725">
        <f>Model!AA171</f>
        <v>2.3410000000000002</v>
      </c>
      <c r="AB43" s="725">
        <f>Model!AB171</f>
        <v>2.3159999999999998</v>
      </c>
      <c r="AC43" s="725">
        <f>Model!AC171</f>
        <v>2.335</v>
      </c>
      <c r="AD43" s="725">
        <f>Model!AD171</f>
        <v>2.4899999999999993</v>
      </c>
      <c r="AE43" s="725">
        <f>Model!AE171</f>
        <v>2.177</v>
      </c>
      <c r="AF43" s="771">
        <f>Model!AF171</f>
        <v>2.077</v>
      </c>
      <c r="AG43" s="777">
        <v>2.1</v>
      </c>
      <c r="AH43" s="777">
        <v>2.1</v>
      </c>
      <c r="AI43" s="777">
        <v>2.1</v>
      </c>
      <c r="AJ43" s="777">
        <v>2.1</v>
      </c>
      <c r="AK43" s="777">
        <v>2.1</v>
      </c>
      <c r="AL43" s="777">
        <v>2.1</v>
      </c>
      <c r="AM43" s="777"/>
      <c r="AN43" s="726">
        <f>Model!AN171</f>
        <v>3.38</v>
      </c>
      <c r="AO43" s="726">
        <f>Model!AO171</f>
        <v>4.2300000000000004</v>
      </c>
      <c r="AP43" s="726">
        <f>Model!AP171</f>
        <v>6.1870000000000003</v>
      </c>
      <c r="AQ43" s="726">
        <f>Model!AQ171</f>
        <v>7.9710000000000001</v>
      </c>
      <c r="AR43" s="726">
        <f>Model!AR171</f>
        <v>8.6170000000000009</v>
      </c>
      <c r="AS43" s="726">
        <f>Model!AS171</f>
        <v>9.7579999999999991</v>
      </c>
      <c r="AT43" s="726">
        <f>Model!AT171</f>
        <v>7.8650000000000002</v>
      </c>
      <c r="AU43" s="726">
        <f>Model!AU171</f>
        <v>6.4619999999999997</v>
      </c>
      <c r="AV43" s="726">
        <f>Model!AV171</f>
        <v>6.9740000000000002</v>
      </c>
      <c r="AW43" s="726">
        <f>Model!AW171</f>
        <v>7.9210000000000003</v>
      </c>
      <c r="AX43" s="925">
        <f>Model!AX171</f>
        <v>9.4819999999999993</v>
      </c>
      <c r="AY43" s="726">
        <f>Model!AY171</f>
        <v>8.4539999999999988</v>
      </c>
      <c r="AZ43" s="726">
        <f>Model!AZ171</f>
        <v>8.4</v>
      </c>
      <c r="BA43" s="855">
        <v>8.4</v>
      </c>
      <c r="BB43" s="855">
        <v>8.4</v>
      </c>
      <c r="BC43" s="855">
        <v>8.4</v>
      </c>
      <c r="BD43" s="285"/>
    </row>
    <row r="44" spans="1:56" x14ac:dyDescent="0.25">
      <c r="A44" s="853" t="str">
        <f>Model!A172</f>
        <v>SBC</v>
      </c>
      <c r="B44" s="854"/>
      <c r="C44" s="725">
        <f>Model!C172</f>
        <v>0.95299999999999996</v>
      </c>
      <c r="D44" s="725">
        <f>Model!D172</f>
        <v>0.95600000000000007</v>
      </c>
      <c r="E44" s="725">
        <f>Model!E172</f>
        <v>0.95799999999999996</v>
      </c>
      <c r="F44" s="725">
        <f>Model!F172</f>
        <v>0.80600000000000005</v>
      </c>
      <c r="G44" s="725">
        <f>Model!G172</f>
        <v>1.1120000000000001</v>
      </c>
      <c r="H44" s="725">
        <f>Model!H172</f>
        <v>1.2039999999999997</v>
      </c>
      <c r="I44" s="725">
        <f>Model!I172</f>
        <v>1.194</v>
      </c>
      <c r="J44" s="725">
        <f>Model!J172</f>
        <v>1.3130000000000006</v>
      </c>
      <c r="K44" s="725">
        <f>Model!K172</f>
        <v>1.3380000000000001</v>
      </c>
      <c r="L44" s="725">
        <f>Model!L172</f>
        <v>1.5819999999999999</v>
      </c>
      <c r="M44" s="725">
        <f>Model!M172</f>
        <v>1.5529999999999999</v>
      </c>
      <c r="N44" s="725">
        <f>Model!N172</f>
        <v>1.5860000000000003</v>
      </c>
      <c r="O44" s="725">
        <f>Model!O172</f>
        <v>1.496</v>
      </c>
      <c r="P44" s="725">
        <f>Model!P172</f>
        <v>1.3919999999999999</v>
      </c>
      <c r="Q44" s="725">
        <f>Model!Q172</f>
        <v>1.5680000000000005</v>
      </c>
      <c r="R44" s="725">
        <f>Model!R172</f>
        <v>1.5589999999999993</v>
      </c>
      <c r="S44" s="725">
        <f>Model!S172</f>
        <v>1.458</v>
      </c>
      <c r="T44" s="725">
        <f>Model!T172</f>
        <v>1.7340000000000002</v>
      </c>
      <c r="U44" s="725">
        <f>Model!U172</f>
        <v>1.6840000000000002</v>
      </c>
      <c r="V44" s="725">
        <f>Model!V172</f>
        <v>1.4379999999999997</v>
      </c>
      <c r="W44" s="725">
        <f>Model!W172</f>
        <v>1.409</v>
      </c>
      <c r="X44" s="725">
        <f>Model!X172</f>
        <v>1.1249999999999998</v>
      </c>
      <c r="Y44" s="725">
        <f>Model!Y172</f>
        <v>0.96700000000000008</v>
      </c>
      <c r="Z44" s="725">
        <f>Model!Z172</f>
        <v>0.80899999999999972</v>
      </c>
      <c r="AA44" s="725">
        <f>Model!AA172</f>
        <v>1.089</v>
      </c>
      <c r="AB44" s="725">
        <f>Model!AB172</f>
        <v>1.33</v>
      </c>
      <c r="AC44" s="725">
        <f>Model!AC172</f>
        <v>1.52</v>
      </c>
      <c r="AD44" s="725">
        <f>Model!AD172</f>
        <v>1.6559999999999997</v>
      </c>
      <c r="AE44" s="725">
        <f>Model!AE172</f>
        <v>1.256</v>
      </c>
      <c r="AF44" s="771">
        <f>Model!AF172</f>
        <v>1.536</v>
      </c>
      <c r="AG44" s="777">
        <v>1.5</v>
      </c>
      <c r="AH44" s="777">
        <v>1.5</v>
      </c>
      <c r="AI44" s="777">
        <v>1.5</v>
      </c>
      <c r="AJ44" s="777">
        <v>1.5</v>
      </c>
      <c r="AK44" s="777">
        <v>1.5</v>
      </c>
      <c r="AL44" s="777">
        <v>1.5</v>
      </c>
      <c r="AM44" s="777"/>
      <c r="AN44" s="726">
        <f>Model!AN172</f>
        <v>1.6379999999999999</v>
      </c>
      <c r="AO44" s="726">
        <f>Model!AO172</f>
        <v>2.012</v>
      </c>
      <c r="AP44" s="726">
        <f>Model!AP172</f>
        <v>3.1</v>
      </c>
      <c r="AQ44" s="726">
        <f>Model!AQ172</f>
        <v>3.6150000000000002</v>
      </c>
      <c r="AR44" s="726">
        <f>Model!AR172</f>
        <v>3.673</v>
      </c>
      <c r="AS44" s="726">
        <f>Model!AS172</f>
        <v>4.8230000000000004</v>
      </c>
      <c r="AT44" s="726">
        <f>Model!AT172</f>
        <v>6.0590000000000002</v>
      </c>
      <c r="AU44" s="726">
        <f>Model!AU172</f>
        <v>6.0149999999999997</v>
      </c>
      <c r="AV44" s="726">
        <f>Model!AV172</f>
        <v>6.3140000000000001</v>
      </c>
      <c r="AW44" s="726">
        <f>Model!AW172</f>
        <v>4.3099999999999996</v>
      </c>
      <c r="AX44" s="925">
        <f>Model!AX172</f>
        <v>5.5949999999999998</v>
      </c>
      <c r="AY44" s="726">
        <f>Model!AY172</f>
        <v>5.7919999999999998</v>
      </c>
      <c r="AZ44" s="726">
        <f>Model!AZ172</f>
        <v>6</v>
      </c>
      <c r="BA44" s="855">
        <v>6</v>
      </c>
      <c r="BB44" s="855">
        <v>6</v>
      </c>
      <c r="BC44" s="855">
        <v>6</v>
      </c>
      <c r="BD44" s="285"/>
    </row>
    <row r="45" spans="1:56" x14ac:dyDescent="0.25">
      <c r="A45" s="853" t="str">
        <f>Model!A190</f>
        <v>Non-GAAP Adjustments</v>
      </c>
      <c r="B45" s="854"/>
      <c r="C45" s="725"/>
      <c r="D45" s="725"/>
      <c r="E45" s="725"/>
      <c r="F45" s="725"/>
      <c r="G45" s="725"/>
      <c r="H45" s="725"/>
      <c r="I45" s="725"/>
      <c r="J45" s="725"/>
      <c r="K45" s="725"/>
      <c r="L45" s="725"/>
      <c r="M45" s="725"/>
      <c r="N45" s="725"/>
      <c r="O45" s="725"/>
      <c r="P45" s="725"/>
      <c r="Q45" s="725"/>
      <c r="R45" s="725">
        <f>Model!R190</f>
        <v>0</v>
      </c>
      <c r="S45" s="725">
        <f>Model!S190</f>
        <v>-0.33682000000000006</v>
      </c>
      <c r="T45" s="725">
        <f>Model!T190</f>
        <v>-1.0099799999999999</v>
      </c>
      <c r="U45" s="725">
        <f>Model!U190</f>
        <v>-3.04128</v>
      </c>
      <c r="V45" s="725">
        <f>Model!V190</f>
        <v>-6.9359700000000002</v>
      </c>
      <c r="W45" s="725">
        <f>Model!W190</f>
        <v>0</v>
      </c>
      <c r="X45" s="725">
        <f>Model!X190</f>
        <v>-1.9921200000000001</v>
      </c>
      <c r="Y45" s="725">
        <f>Model!Y190</f>
        <v>-1.1639600000000001</v>
      </c>
      <c r="Z45" s="725">
        <f>Model!Z190</f>
        <v>-1.49868</v>
      </c>
      <c r="AA45" s="725">
        <f>Model!AA190</f>
        <v>-2.3384200000000002</v>
      </c>
      <c r="AB45" s="725">
        <f>Model!AB190</f>
        <v>-0.50340000000000018</v>
      </c>
      <c r="AC45" s="725">
        <f>Model!AC190</f>
        <v>-1.8632900000000001</v>
      </c>
      <c r="AD45" s="723">
        <f>Model!AD190</f>
        <v>5.6165999999999991</v>
      </c>
      <c r="AE45" s="725">
        <f>Model!AE190</f>
        <v>-0.85585</v>
      </c>
      <c r="AF45" s="771">
        <f>Model!AF190</f>
        <v>-2.7531200000000005</v>
      </c>
      <c r="AG45" s="777">
        <v>-0.2</v>
      </c>
      <c r="AH45" s="777">
        <v>-0.2</v>
      </c>
      <c r="AI45" s="777">
        <v>-0.2</v>
      </c>
      <c r="AJ45" s="777">
        <v>-0.2</v>
      </c>
      <c r="AK45" s="777">
        <v>-0.2</v>
      </c>
      <c r="AL45" s="777">
        <v>-0.2</v>
      </c>
      <c r="AM45" s="777"/>
      <c r="AN45" s="726"/>
      <c r="AO45" s="726"/>
      <c r="AP45" s="726"/>
      <c r="AQ45" s="726"/>
      <c r="AR45" s="726"/>
      <c r="AS45" s="726"/>
      <c r="AT45" s="726"/>
      <c r="AU45" s="726">
        <f>Model!AU190</f>
        <v>-0.16791</v>
      </c>
      <c r="AV45" s="726">
        <f>Model!AV190</f>
        <v>-11.304910000000001</v>
      </c>
      <c r="AW45" s="726">
        <f>Model!AW190</f>
        <v>-5.1757599999999995</v>
      </c>
      <c r="AX45" s="927">
        <f>Model!AX190</f>
        <v>1.0116600000000004</v>
      </c>
      <c r="AY45" s="726">
        <f>Model!AY190</f>
        <v>-4.0089700000000006</v>
      </c>
      <c r="AZ45" s="726">
        <f>Model!AZ190</f>
        <v>-0.8</v>
      </c>
      <c r="BA45" s="855">
        <v>-0.8</v>
      </c>
      <c r="BB45" s="855">
        <v>-0.8</v>
      </c>
      <c r="BC45" s="855">
        <v>-0.8</v>
      </c>
      <c r="BD45" s="285"/>
    </row>
    <row r="46" spans="1:56" x14ac:dyDescent="0.25">
      <c r="A46" s="885" t="str">
        <f>Model!A194</f>
        <v>Current tax rate</v>
      </c>
      <c r="B46" s="886"/>
      <c r="C46" s="509">
        <f>Model!C194</f>
        <v>0.37720942688805525</v>
      </c>
      <c r="D46" s="509">
        <f>Model!D194</f>
        <v>0.38884360079189484</v>
      </c>
      <c r="E46" s="509">
        <f>Model!E194</f>
        <v>0.39535790910863994</v>
      </c>
      <c r="F46" s="509">
        <f>Model!F194</f>
        <v>0.39469578783151116</v>
      </c>
      <c r="G46" s="509">
        <f>Model!G194</f>
        <v>0.39427529114634541</v>
      </c>
      <c r="H46" s="509">
        <f>Model!H194</f>
        <v>0.4111199825796612</v>
      </c>
      <c r="I46" s="509">
        <f>Model!I194</f>
        <v>0.31570901897311404</v>
      </c>
      <c r="J46" s="509">
        <f>Model!J194</f>
        <v>0.3568253380255571</v>
      </c>
      <c r="K46" s="509">
        <f>Model!K194</f>
        <v>0.39092392110336632</v>
      </c>
      <c r="L46" s="509">
        <f>Model!L194</f>
        <v>0.36280075696134079</v>
      </c>
      <c r="M46" s="509">
        <f>Model!M194</f>
        <v>0.37219124852170954</v>
      </c>
      <c r="N46" s="509">
        <f>Model!N194</f>
        <v>0.46083864895953408</v>
      </c>
      <c r="O46" s="509">
        <f>Model!O194</f>
        <v>0.36740469452305602</v>
      </c>
      <c r="P46" s="509">
        <f>Model!P194</f>
        <v>0.38348600828209306</v>
      </c>
      <c r="Q46" s="509">
        <f>Model!Q194</f>
        <v>0.57876757324924544</v>
      </c>
      <c r="R46" s="509">
        <f>Model!R194</f>
        <v>0.22256422398484682</v>
      </c>
      <c r="S46" s="509">
        <f>Model!S194</f>
        <v>0.30832510694307319</v>
      </c>
      <c r="T46" s="509">
        <f>Model!T194</f>
        <v>0.37210401891252914</v>
      </c>
      <c r="U46" s="509">
        <f>Model!U194</f>
        <v>0.16080530071355745</v>
      </c>
      <c r="V46" s="509">
        <f>Model!V194</f>
        <v>1.1882640586796627</v>
      </c>
      <c r="W46" s="509">
        <f>Model!W194</f>
        <v>0.42136634571297554</v>
      </c>
      <c r="X46" s="509">
        <f>Model!X194</f>
        <v>0.28388017118402259</v>
      </c>
      <c r="Y46" s="509">
        <f>Model!Y194</f>
        <v>0.35503911642889979</v>
      </c>
      <c r="Z46" s="509">
        <f>Model!Z194</f>
        <v>-0.62979094076653308</v>
      </c>
      <c r="AA46" s="509">
        <f>Model!AA194</f>
        <v>0.51767151767150399</v>
      </c>
      <c r="AB46" s="509">
        <f>Model!AB194</f>
        <v>0.38813896879840504</v>
      </c>
      <c r="AC46" s="509">
        <f>Model!AC194</f>
        <v>0.21373307543520348</v>
      </c>
      <c r="AD46" s="411">
        <f>Model!AD194</f>
        <v>0.39251419359360995</v>
      </c>
      <c r="AE46" s="509">
        <f>Model!AE194</f>
        <v>0.11180447217888798</v>
      </c>
      <c r="AF46" s="657">
        <f>Model!AF194</f>
        <v>0.61164154103852753</v>
      </c>
      <c r="AG46" s="887">
        <v>0.23</v>
      </c>
      <c r="AH46" s="887">
        <v>0.23</v>
      </c>
      <c r="AI46" s="887">
        <v>0.23</v>
      </c>
      <c r="AJ46" s="887">
        <v>0.23</v>
      </c>
      <c r="AK46" s="887">
        <v>0.23</v>
      </c>
      <c r="AL46" s="887">
        <v>0.23</v>
      </c>
      <c r="AM46" s="887"/>
      <c r="AN46" s="508">
        <f>Model!AN194</f>
        <v>0.80206185567010235</v>
      </c>
      <c r="AO46" s="508">
        <f>Model!AO194</f>
        <v>0.33838480721273756</v>
      </c>
      <c r="AP46" s="508">
        <f>Model!AP194</f>
        <v>0.36574970941495583</v>
      </c>
      <c r="AQ46" s="508">
        <f>Model!AQ194</f>
        <v>0.34629350315624818</v>
      </c>
      <c r="AR46" s="508">
        <f>Model!AR194</f>
        <v>0.39017356059031322</v>
      </c>
      <c r="AS46" s="508">
        <f>Model!AS194</f>
        <v>0.36984797888984866</v>
      </c>
      <c r="AT46" s="508">
        <f>Model!AT194</f>
        <v>0.40272761030280568</v>
      </c>
      <c r="AU46" s="508">
        <f>Model!AU194</f>
        <v>0.38449756942132213</v>
      </c>
      <c r="AV46" s="508">
        <f>Model!AV194</f>
        <v>0.36116613337396447</v>
      </c>
      <c r="AW46" s="508">
        <f>Model!AW194</f>
        <v>0.274402221770643</v>
      </c>
      <c r="AX46" s="942">
        <f>Model!AX194</f>
        <v>0.36952925924270308</v>
      </c>
      <c r="AY46" s="508">
        <f ca="1">Model!AY194</f>
        <v>-0.11610155168495051</v>
      </c>
      <c r="AZ46" s="508">
        <f ca="1">Model!AZ194</f>
        <v>0.22999999999999898</v>
      </c>
      <c r="BA46" s="888">
        <v>0.22999999999999898</v>
      </c>
      <c r="BB46" s="888">
        <v>0.22999999999999898</v>
      </c>
      <c r="BC46" s="888">
        <v>0.22999999999999898</v>
      </c>
      <c r="BD46" s="285"/>
    </row>
    <row r="47" spans="1:56" x14ac:dyDescent="0.25">
      <c r="A47" s="885" t="str">
        <f>Model!A195</f>
        <v>Deferred tax rate</v>
      </c>
      <c r="B47" s="886"/>
      <c r="C47" s="509">
        <f>Model!C195</f>
        <v>-3.6689876807712865E-2</v>
      </c>
      <c r="D47" s="509">
        <f>Model!D195</f>
        <v>1.1645510655642263E-4</v>
      </c>
      <c r="E47" s="509">
        <f>Model!E195</f>
        <v>5.5588063194850742E-3</v>
      </c>
      <c r="F47" s="509">
        <f>Model!F195</f>
        <v>-5.6654897774858042E-3</v>
      </c>
      <c r="G47" s="509">
        <f>Model!G195</f>
        <v>0</v>
      </c>
      <c r="H47" s="509">
        <f>Model!H195</f>
        <v>0</v>
      </c>
      <c r="I47" s="509">
        <f>Model!I195</f>
        <v>3.2910709468572982E-2</v>
      </c>
      <c r="J47" s="509">
        <f>Model!J195</f>
        <v>-4.4360066679014237E-2</v>
      </c>
      <c r="K47" s="509">
        <f>Model!K195</f>
        <v>0</v>
      </c>
      <c r="L47" s="509">
        <f>Model!L195</f>
        <v>0</v>
      </c>
      <c r="M47" s="509">
        <f>Model!M195</f>
        <v>0</v>
      </c>
      <c r="N47" s="509">
        <f>Model!N195</f>
        <v>-0.11460838648959595</v>
      </c>
      <c r="O47" s="509">
        <f>Model!O195</f>
        <v>0</v>
      </c>
      <c r="P47" s="509">
        <f>Model!P195</f>
        <v>0</v>
      </c>
      <c r="Q47" s="509">
        <f>Model!Q195</f>
        <v>-0.20969649191959042</v>
      </c>
      <c r="R47" s="509">
        <f>Model!R195</f>
        <v>-1.9533562211435998E-2</v>
      </c>
      <c r="S47" s="509">
        <f>Model!S195</f>
        <v>1.9414281013491266E-2</v>
      </c>
      <c r="T47" s="509">
        <f>Model!T195</f>
        <v>-6.5130023640661866E-2</v>
      </c>
      <c r="U47" s="509">
        <f>Model!U195</f>
        <v>3.0581039755351682E-3</v>
      </c>
      <c r="V47" s="509">
        <f>Model!V195</f>
        <v>8.8019559902197231E-2</v>
      </c>
      <c r="W47" s="509">
        <f>Model!W195</f>
        <v>-2.4759284731774404E-2</v>
      </c>
      <c r="X47" s="509">
        <f>Model!X195</f>
        <v>-1.2431220705115133E-2</v>
      </c>
      <c r="Y47" s="509">
        <f>Model!Y195</f>
        <v>-0.10147261849976978</v>
      </c>
      <c r="Z47" s="509">
        <f>Model!Z195</f>
        <v>1.2944250871079763</v>
      </c>
      <c r="AA47" s="509">
        <f>Model!AA195</f>
        <v>-0.21205821205820644</v>
      </c>
      <c r="AB47" s="509">
        <f>Model!AB195</f>
        <v>-0.10046470458065902</v>
      </c>
      <c r="AC47" s="509">
        <f>Model!AC195</f>
        <v>9.6067053513862216E-2</v>
      </c>
      <c r="AD47" s="509">
        <f>Model!AD195</f>
        <v>-5.8036027195626616E-2</v>
      </c>
      <c r="AE47" s="509">
        <f>Model!AE195</f>
        <v>0.21528861154446333</v>
      </c>
      <c r="AF47" s="658">
        <f>Model!AF195</f>
        <v>0.05</v>
      </c>
      <c r="AG47" s="887">
        <v>0.01</v>
      </c>
      <c r="AH47" s="887">
        <v>0.01</v>
      </c>
      <c r="AI47" s="887">
        <v>0.01</v>
      </c>
      <c r="AJ47" s="887">
        <v>0.01</v>
      </c>
      <c r="AK47" s="887">
        <v>0.01</v>
      </c>
      <c r="AL47" s="887">
        <v>0.01</v>
      </c>
      <c r="AM47" s="887"/>
      <c r="AN47" s="508">
        <f>Model!AN195</f>
        <v>0.54845360824742218</v>
      </c>
      <c r="AO47" s="508">
        <f>Model!AO195</f>
        <v>5.1026280452714408E-2</v>
      </c>
      <c r="AP47" s="508">
        <f>Model!AP195</f>
        <v>5.1776971575499334E-3</v>
      </c>
      <c r="AQ47" s="508">
        <f>Model!AQ195</f>
        <v>1.9998882743980775E-2</v>
      </c>
      <c r="AR47" s="508">
        <f>Model!AR195</f>
        <v>-7.4049054250675409E-3</v>
      </c>
      <c r="AS47" s="508">
        <f>Model!AS195</f>
        <v>-2.638768885879082E-3</v>
      </c>
      <c r="AT47" s="508">
        <f>Model!AT195</f>
        <v>-3.6998278364784164E-2</v>
      </c>
      <c r="AU47" s="508">
        <f>Model!AU195</f>
        <v>-5.8633548644869089E-2</v>
      </c>
      <c r="AV47" s="508">
        <f>Model!AV195</f>
        <v>-1.589720148306158E-2</v>
      </c>
      <c r="AW47" s="508">
        <f>Model!AW195</f>
        <v>5.9337533021743598E-2</v>
      </c>
      <c r="AX47" s="943">
        <f>Model!AX195</f>
        <v>-4.854933166435707E-2</v>
      </c>
      <c r="AY47" s="508">
        <f ca="1">Model!AY195</f>
        <v>-0.343824221820964</v>
      </c>
      <c r="AZ47" s="508">
        <f ca="1">Model!AZ195</f>
        <v>9.9999999999999568E-3</v>
      </c>
      <c r="BA47" s="888">
        <v>0.01</v>
      </c>
      <c r="BB47" s="888">
        <v>0.01</v>
      </c>
      <c r="BC47" s="888">
        <v>0.01</v>
      </c>
      <c r="BD47" s="285"/>
    </row>
    <row r="48" spans="1:56" x14ac:dyDescent="0.25">
      <c r="A48" s="885"/>
      <c r="B48" s="886"/>
      <c r="C48" s="509"/>
      <c r="D48" s="509"/>
      <c r="E48" s="509"/>
      <c r="F48" s="509"/>
      <c r="G48" s="509"/>
      <c r="H48" s="509"/>
      <c r="I48" s="509"/>
      <c r="J48" s="509"/>
      <c r="K48" s="509"/>
      <c r="L48" s="509"/>
      <c r="M48" s="509"/>
      <c r="N48" s="509"/>
      <c r="O48" s="509"/>
      <c r="P48" s="509"/>
      <c r="Q48" s="509"/>
      <c r="R48" s="509"/>
      <c r="S48" s="509"/>
      <c r="T48" s="509"/>
      <c r="U48" s="509"/>
      <c r="V48" s="509"/>
      <c r="W48" s="509"/>
      <c r="X48" s="509"/>
      <c r="Y48" s="509"/>
      <c r="Z48" s="509"/>
      <c r="AA48" s="509"/>
      <c r="AB48" s="509"/>
      <c r="AC48" s="509"/>
      <c r="AD48" s="509"/>
      <c r="AE48" s="509"/>
      <c r="AF48" s="658"/>
      <c r="AG48" s="887"/>
      <c r="AH48" s="887"/>
      <c r="AI48" s="887"/>
      <c r="AJ48" s="887"/>
      <c r="AK48" s="887"/>
      <c r="AL48" s="887"/>
      <c r="AM48" s="887"/>
      <c r="AN48" s="508"/>
      <c r="AO48" s="508"/>
      <c r="AP48" s="508"/>
      <c r="AQ48" s="508"/>
      <c r="AR48" s="508"/>
      <c r="AS48" s="508"/>
      <c r="AT48" s="508"/>
      <c r="AU48" s="508"/>
      <c r="AV48" s="508"/>
      <c r="AW48" s="508"/>
      <c r="AX48" s="943"/>
      <c r="AY48" s="508"/>
      <c r="AZ48" s="508"/>
      <c r="BA48" s="888"/>
      <c r="BB48" s="888"/>
      <c r="BC48" s="888"/>
      <c r="BD48" s="285"/>
    </row>
    <row r="49" spans="1:56" x14ac:dyDescent="0.25">
      <c r="A49" s="626" t="str">
        <f>Model!A206</f>
        <v>Cash Flow Summary</v>
      </c>
      <c r="B49" s="626"/>
      <c r="C49" s="719"/>
      <c r="D49" s="719"/>
      <c r="E49" s="719"/>
      <c r="F49" s="719"/>
      <c r="G49" s="719"/>
      <c r="H49" s="719"/>
      <c r="I49" s="719"/>
      <c r="J49" s="719"/>
      <c r="K49" s="719"/>
      <c r="L49" s="719"/>
      <c r="M49" s="719"/>
      <c r="N49" s="719"/>
      <c r="O49" s="719"/>
      <c r="P49" s="719"/>
      <c r="Q49" s="719"/>
      <c r="R49" s="719"/>
      <c r="S49" s="719"/>
      <c r="T49" s="719"/>
      <c r="U49" s="719"/>
      <c r="V49" s="719"/>
      <c r="W49" s="719"/>
      <c r="X49" s="719"/>
      <c r="Y49" s="719"/>
      <c r="Z49" s="719"/>
      <c r="AA49" s="719"/>
      <c r="AB49" s="719"/>
      <c r="AC49" s="719"/>
      <c r="AD49" s="719"/>
      <c r="AE49" s="719"/>
      <c r="AF49" s="720"/>
      <c r="AG49" s="719"/>
      <c r="AH49" s="721"/>
      <c r="AI49" s="721"/>
      <c r="AJ49" s="721"/>
      <c r="AK49" s="721"/>
      <c r="AL49" s="721"/>
      <c r="AM49" s="721"/>
      <c r="AN49" s="719"/>
      <c r="AO49" s="719"/>
      <c r="AP49" s="719"/>
      <c r="AQ49" s="719"/>
      <c r="AR49" s="719"/>
      <c r="AS49" s="719"/>
      <c r="AT49" s="719"/>
      <c r="AU49" s="719"/>
      <c r="AV49" s="719"/>
      <c r="AW49" s="719"/>
      <c r="AX49" s="720"/>
      <c r="AY49" s="721"/>
      <c r="AZ49" s="721"/>
      <c r="BA49" s="721"/>
      <c r="BB49" s="721"/>
      <c r="BC49" s="721"/>
      <c r="BD49" s="285"/>
    </row>
    <row r="50" spans="1:56" x14ac:dyDescent="0.25">
      <c r="A50" s="856" t="str">
        <f>Model!A210</f>
        <v>Capex</v>
      </c>
      <c r="B50" s="852"/>
      <c r="C50" s="757">
        <f>Model!C210</f>
        <v>-0.83</v>
      </c>
      <c r="D50" s="757">
        <f>Model!D210</f>
        <v>-1.331</v>
      </c>
      <c r="E50" s="757">
        <f>Model!E210</f>
        <v>-2.4469999999999996</v>
      </c>
      <c r="F50" s="757">
        <f>Model!F210</f>
        <v>-2.1060000000000008</v>
      </c>
      <c r="G50" s="757">
        <f>Model!G210</f>
        <v>-0.91600000000000004</v>
      </c>
      <c r="H50" s="757">
        <f>Model!H210</f>
        <v>-0.52799999999999991</v>
      </c>
      <c r="I50" s="757">
        <f>Model!I210</f>
        <v>-0.871</v>
      </c>
      <c r="J50" s="757">
        <f>Model!J210</f>
        <v>-0.44200000000000017</v>
      </c>
      <c r="K50" s="757">
        <f>Model!K210</f>
        <v>-0.6</v>
      </c>
      <c r="L50" s="757">
        <f>Model!L210</f>
        <v>-0.75000000000000011</v>
      </c>
      <c r="M50" s="757">
        <f>Model!M210</f>
        <v>-0.48099999999999987</v>
      </c>
      <c r="N50" s="757">
        <f>Model!N210</f>
        <v>-0.52600000000000025</v>
      </c>
      <c r="O50" s="757">
        <f>Model!O210</f>
        <v>-0.57499999999999996</v>
      </c>
      <c r="P50" s="757">
        <f>Model!P210</f>
        <v>-0.34700000000000009</v>
      </c>
      <c r="Q50" s="757">
        <f>Model!Q210</f>
        <v>-0.2619999999999999</v>
      </c>
      <c r="R50" s="757">
        <f>Model!R210</f>
        <v>-0.21799999999999997</v>
      </c>
      <c r="S50" s="757">
        <f>Model!S210</f>
        <v>-0.52500000000000002</v>
      </c>
      <c r="T50" s="757">
        <f>Model!T210</f>
        <v>-1.2439999999999998</v>
      </c>
      <c r="U50" s="757">
        <f>Model!U210</f>
        <v>-0.55499999999999994</v>
      </c>
      <c r="V50" s="757">
        <f>Model!V210</f>
        <v>-0.41000000000000014</v>
      </c>
      <c r="W50" s="757">
        <f>Model!W210</f>
        <v>-0.37</v>
      </c>
      <c r="X50" s="757">
        <f>Model!X210</f>
        <v>-1.1440000000000001</v>
      </c>
      <c r="Y50" s="757">
        <f>Model!Y210</f>
        <v>-0.75299999999999989</v>
      </c>
      <c r="Z50" s="757">
        <f>Model!Z210</f>
        <v>-0.56700000000000017</v>
      </c>
      <c r="AA50" s="757">
        <f>Model!AA210</f>
        <v>-0.54200000000000004</v>
      </c>
      <c r="AB50" s="757">
        <f>Model!AB210</f>
        <v>-0.48499999999999988</v>
      </c>
      <c r="AC50" s="757">
        <f>Model!AC210</f>
        <v>-0.87800000000000011</v>
      </c>
      <c r="AD50" s="757">
        <f>Model!AD210</f>
        <v>-0.40999999999999992</v>
      </c>
      <c r="AE50" s="757">
        <f>Model!AE210</f>
        <v>-0.46700000000000003</v>
      </c>
      <c r="AF50" s="758">
        <f>Model!AF210</f>
        <v>-0.57899999999999996</v>
      </c>
      <c r="AG50" s="795">
        <v>-0.4</v>
      </c>
      <c r="AH50" s="795">
        <v>-0.4</v>
      </c>
      <c r="AI50" s="795">
        <v>-0.8</v>
      </c>
      <c r="AJ50" s="795">
        <v>-0.8</v>
      </c>
      <c r="AK50" s="795">
        <v>-0.8</v>
      </c>
      <c r="AL50" s="795">
        <v>-0.8</v>
      </c>
      <c r="AM50" s="795"/>
      <c r="AN50" s="756">
        <f>Model!AN210</f>
        <v>-1.1739999999999999</v>
      </c>
      <c r="AO50" s="756">
        <f>Model!AO210</f>
        <v>-1.5309999999999999</v>
      </c>
      <c r="AP50" s="756">
        <f>Model!AP210</f>
        <v>-3.9750000000000001</v>
      </c>
      <c r="AQ50" s="756">
        <f>Model!AQ210</f>
        <v>-2.536</v>
      </c>
      <c r="AR50" s="756">
        <f>Model!AR210</f>
        <v>-6.7140000000000004</v>
      </c>
      <c r="AS50" s="756">
        <f>Model!AS210</f>
        <v>-2.7570000000000001</v>
      </c>
      <c r="AT50" s="756">
        <f>Model!AT210</f>
        <v>-2.3570000000000002</v>
      </c>
      <c r="AU50" s="756">
        <f>Model!AU210</f>
        <v>-1.4019999999999999</v>
      </c>
      <c r="AV50" s="756">
        <f>Model!AV210</f>
        <v>-2.734</v>
      </c>
      <c r="AW50" s="756">
        <f>Model!AW210</f>
        <v>-2.8340000000000001</v>
      </c>
      <c r="AX50" s="947">
        <f>Model!AX210</f>
        <v>-2.3149999999999999</v>
      </c>
      <c r="AY50" s="756">
        <f>Model!AY210</f>
        <v>-1.8460000000000001</v>
      </c>
      <c r="AZ50" s="756">
        <f>Model!AZ210</f>
        <v>-3.2</v>
      </c>
      <c r="BA50" s="796">
        <v>-3.2</v>
      </c>
      <c r="BB50" s="796">
        <v>-3.2</v>
      </c>
      <c r="BC50" s="796">
        <v>-3.2</v>
      </c>
      <c r="BD50" s="285"/>
    </row>
    <row r="51" spans="1:56" x14ac:dyDescent="0.25">
      <c r="A51" s="853" t="str">
        <f>Model!A212</f>
        <v>Acquisitions</v>
      </c>
      <c r="B51" s="854"/>
      <c r="C51" s="725">
        <f>Model!C212</f>
        <v>0</v>
      </c>
      <c r="D51" s="725">
        <f>Model!D212</f>
        <v>-13.523999999999999</v>
      </c>
      <c r="E51" s="725">
        <f>Model!E212</f>
        <v>0</v>
      </c>
      <c r="F51" s="725">
        <f>Model!F212</f>
        <v>1.8999999999998352E-2</v>
      </c>
      <c r="G51" s="725">
        <f>Model!G212</f>
        <v>0</v>
      </c>
      <c r="H51" s="725">
        <f>Model!H212</f>
        <v>-8.6660000000000004</v>
      </c>
      <c r="I51" s="725">
        <f>Model!I212</f>
        <v>0</v>
      </c>
      <c r="J51" s="725">
        <f>Model!J212</f>
        <v>-3.9999999999995595E-3</v>
      </c>
      <c r="K51" s="725">
        <f>Model!K212</f>
        <v>0</v>
      </c>
      <c r="L51" s="725">
        <f>Model!L212</f>
        <v>0</v>
      </c>
      <c r="M51" s="725">
        <f>Model!M212</f>
        <v>0</v>
      </c>
      <c r="N51" s="725">
        <f>Model!N212</f>
        <v>0</v>
      </c>
      <c r="O51" s="725">
        <f>Model!O212</f>
        <v>-2.33</v>
      </c>
      <c r="P51" s="725">
        <f>Model!P212</f>
        <v>0</v>
      </c>
      <c r="Q51" s="725">
        <f>Model!Q212</f>
        <v>0.16900000000000004</v>
      </c>
      <c r="R51" s="725">
        <f>Model!R212</f>
        <v>-6.24</v>
      </c>
      <c r="S51" s="725">
        <f>Model!S212</f>
        <v>-3.1930000000000001</v>
      </c>
      <c r="T51" s="725">
        <f>Model!T212</f>
        <v>-3.1910000000000003</v>
      </c>
      <c r="U51" s="725">
        <f>Model!U212</f>
        <v>-4.7279999999999998</v>
      </c>
      <c r="V51" s="725">
        <f>Model!V212</f>
        <v>9.9999999999944578E-4</v>
      </c>
      <c r="W51" s="725">
        <f>Model!W212</f>
        <v>-10</v>
      </c>
      <c r="X51" s="725">
        <f>Model!X212</f>
        <v>-29.957000000000001</v>
      </c>
      <c r="Y51" s="725">
        <f>Model!Y212</f>
        <v>-2.9149999999999991</v>
      </c>
      <c r="Z51" s="725">
        <f>Model!Z212</f>
        <v>-12.417999999999999</v>
      </c>
      <c r="AA51" s="725">
        <f>Model!AA212</f>
        <v>0</v>
      </c>
      <c r="AB51" s="725">
        <f>Model!AB212</f>
        <v>0</v>
      </c>
      <c r="AC51" s="725">
        <f>Model!AC212</f>
        <v>0.85</v>
      </c>
      <c r="AD51" s="725">
        <f>Model!AD212</f>
        <v>0</v>
      </c>
      <c r="AE51" s="725">
        <f>Model!AE212</f>
        <v>0</v>
      </c>
      <c r="AF51" s="779">
        <f>Model!AF212</f>
        <v>0</v>
      </c>
      <c r="AG51" s="777">
        <v>0</v>
      </c>
      <c r="AH51" s="777">
        <v>0</v>
      </c>
      <c r="AI51" s="777">
        <v>0</v>
      </c>
      <c r="AJ51" s="777">
        <v>0</v>
      </c>
      <c r="AK51" s="777">
        <v>0</v>
      </c>
      <c r="AL51" s="777">
        <v>0</v>
      </c>
      <c r="AM51" s="777"/>
      <c r="AN51" s="726">
        <f>Model!AN212</f>
        <v>-20.773</v>
      </c>
      <c r="AO51" s="726">
        <f>Model!AO212</f>
        <v>-5.1210000000000004</v>
      </c>
      <c r="AP51" s="726">
        <f>Model!AP212</f>
        <v>-36.076999999999998</v>
      </c>
      <c r="AQ51" s="726">
        <f>Model!AQ212</f>
        <v>-12.183999999999999</v>
      </c>
      <c r="AR51" s="726">
        <f>Model!AR212</f>
        <v>-13.505000000000001</v>
      </c>
      <c r="AS51" s="726">
        <f>Model!AS212</f>
        <v>-8.67</v>
      </c>
      <c r="AT51" s="726">
        <f>Model!AT212</f>
        <v>0</v>
      </c>
      <c r="AU51" s="726">
        <f>Model!AU212</f>
        <v>-8.4009999999999998</v>
      </c>
      <c r="AV51" s="726">
        <f>Model!AV212</f>
        <v>-11.111000000000001</v>
      </c>
      <c r="AW51" s="726">
        <f>Model!AW212</f>
        <v>-55.29</v>
      </c>
      <c r="AX51" s="925">
        <f>Model!AX212</f>
        <v>0.85</v>
      </c>
      <c r="AY51" s="726">
        <f>Model!AY212</f>
        <v>0</v>
      </c>
      <c r="AZ51" s="726">
        <f>Model!AZ212</f>
        <v>0</v>
      </c>
      <c r="BA51" s="855">
        <v>0</v>
      </c>
      <c r="BB51" s="855">
        <v>0</v>
      </c>
      <c r="BC51" s="855">
        <v>0</v>
      </c>
      <c r="BD51" s="285"/>
    </row>
    <row r="52" spans="1:56" x14ac:dyDescent="0.25">
      <c r="A52" s="853" t="str">
        <f>Model!A213</f>
        <v>Divestiture</v>
      </c>
      <c r="B52" s="854"/>
      <c r="C52" s="725">
        <f>Model!C213</f>
        <v>0</v>
      </c>
      <c r="D52" s="725">
        <f>Model!D213</f>
        <v>0</v>
      </c>
      <c r="E52" s="725">
        <f>Model!E213</f>
        <v>0</v>
      </c>
      <c r="F52" s="725">
        <f>Model!F213</f>
        <v>0</v>
      </c>
      <c r="G52" s="725">
        <f>Model!G213</f>
        <v>0</v>
      </c>
      <c r="H52" s="725">
        <f>Model!H213</f>
        <v>0</v>
      </c>
      <c r="I52" s="725">
        <f>Model!I213</f>
        <v>0</v>
      </c>
      <c r="J52" s="725">
        <f>Model!J213</f>
        <v>0</v>
      </c>
      <c r="K52" s="725">
        <f>Model!K213</f>
        <v>0</v>
      </c>
      <c r="L52" s="725">
        <f>Model!L213</f>
        <v>0</v>
      </c>
      <c r="M52" s="725">
        <f>Model!M213</f>
        <v>0</v>
      </c>
      <c r="N52" s="725">
        <f>Model!N213</f>
        <v>0</v>
      </c>
      <c r="O52" s="725">
        <f>Model!O213</f>
        <v>0</v>
      </c>
      <c r="P52" s="725">
        <f>Model!P213</f>
        <v>0</v>
      </c>
      <c r="Q52" s="725">
        <f>Model!Q213</f>
        <v>0</v>
      </c>
      <c r="R52" s="725">
        <f>Model!R213</f>
        <v>0</v>
      </c>
      <c r="S52" s="725">
        <f>Model!S213</f>
        <v>0</v>
      </c>
      <c r="T52" s="725">
        <f>Model!T213</f>
        <v>0</v>
      </c>
      <c r="U52" s="725">
        <f>Model!U213</f>
        <v>0</v>
      </c>
      <c r="V52" s="725">
        <f>Model!V213</f>
        <v>0</v>
      </c>
      <c r="W52" s="725">
        <f>Model!W213</f>
        <v>0</v>
      </c>
      <c r="X52" s="725">
        <f>Model!X213</f>
        <v>0</v>
      </c>
      <c r="Y52" s="725">
        <f>Model!Y213</f>
        <v>0</v>
      </c>
      <c r="Z52" s="725">
        <f>Model!Z213</f>
        <v>0</v>
      </c>
      <c r="AA52" s="725">
        <f>Model!AA213</f>
        <v>0</v>
      </c>
      <c r="AB52" s="725">
        <f>Model!AB213</f>
        <v>0</v>
      </c>
      <c r="AC52" s="725">
        <f>Model!AC213</f>
        <v>0</v>
      </c>
      <c r="AD52" s="725">
        <f>Model!AD213</f>
        <v>20.047999999999998</v>
      </c>
      <c r="AE52" s="725">
        <f>Model!AE213</f>
        <v>3.3279999999999998</v>
      </c>
      <c r="AF52" s="779">
        <f>Model!AF213</f>
        <v>0</v>
      </c>
      <c r="AG52" s="777">
        <v>0</v>
      </c>
      <c r="AH52" s="777">
        <v>0</v>
      </c>
      <c r="AI52" s="777">
        <v>0</v>
      </c>
      <c r="AJ52" s="777">
        <v>0</v>
      </c>
      <c r="AK52" s="777">
        <v>0</v>
      </c>
      <c r="AL52" s="777">
        <v>0</v>
      </c>
      <c r="AM52" s="777"/>
      <c r="AN52" s="726">
        <f>Model!AN213</f>
        <v>0</v>
      </c>
      <c r="AO52" s="726">
        <f>Model!AO213</f>
        <v>0</v>
      </c>
      <c r="AP52" s="726">
        <f>Model!AP213</f>
        <v>0</v>
      </c>
      <c r="AQ52" s="726">
        <f>Model!AQ213</f>
        <v>0</v>
      </c>
      <c r="AR52" s="726">
        <f>Model!AR213</f>
        <v>0</v>
      </c>
      <c r="AS52" s="726">
        <f>Model!AS213</f>
        <v>0</v>
      </c>
      <c r="AT52" s="726">
        <f>Model!AT213</f>
        <v>0</v>
      </c>
      <c r="AU52" s="726">
        <f>Model!AU213</f>
        <v>0</v>
      </c>
      <c r="AV52" s="726">
        <f>Model!AV213</f>
        <v>0</v>
      </c>
      <c r="AW52" s="726">
        <f>Model!AW213</f>
        <v>0</v>
      </c>
      <c r="AX52" s="925">
        <f>Model!AX213</f>
        <v>20.047999999999998</v>
      </c>
      <c r="AY52" s="726">
        <f>Model!AY213</f>
        <v>3.3279999999999998</v>
      </c>
      <c r="AZ52" s="726">
        <f>Model!AZ213</f>
        <v>0</v>
      </c>
      <c r="BA52" s="855">
        <v>0</v>
      </c>
      <c r="BB52" s="855">
        <v>0</v>
      </c>
      <c r="BC52" s="855">
        <v>0</v>
      </c>
      <c r="BD52" s="285"/>
    </row>
    <row r="53" spans="1:56" x14ac:dyDescent="0.25">
      <c r="A53" s="891" t="str">
        <f>Model!A215</f>
        <v>Dividend Per Share</v>
      </c>
      <c r="B53" s="892"/>
      <c r="C53" s="596">
        <f>Model!C215</f>
        <v>0</v>
      </c>
      <c r="D53" s="596">
        <f>Model!D215</f>
        <v>0</v>
      </c>
      <c r="E53" s="596">
        <f>Model!E215</f>
        <v>0</v>
      </c>
      <c r="F53" s="596">
        <f>Model!F215</f>
        <v>0</v>
      </c>
      <c r="G53" s="596">
        <f>Model!G215</f>
        <v>0</v>
      </c>
      <c r="H53" s="596">
        <f>Model!H215</f>
        <v>0</v>
      </c>
      <c r="I53" s="596">
        <f>Model!I215</f>
        <v>0</v>
      </c>
      <c r="J53" s="596">
        <f>Model!J215</f>
        <v>0</v>
      </c>
      <c r="K53" s="596">
        <f>Model!K215</f>
        <v>0</v>
      </c>
      <c r="L53" s="596">
        <f>Model!L215</f>
        <v>0</v>
      </c>
      <c r="M53" s="596">
        <f>Model!M215</f>
        <v>0</v>
      </c>
      <c r="N53" s="596">
        <f>Model!N215</f>
        <v>0</v>
      </c>
      <c r="O53" s="596">
        <f>Model!O215</f>
        <v>0</v>
      </c>
      <c r="P53" s="596">
        <f>Model!P215</f>
        <v>0</v>
      </c>
      <c r="Q53" s="596">
        <f>Model!Q215</f>
        <v>0</v>
      </c>
      <c r="R53" s="596">
        <f>Model!R215</f>
        <v>0</v>
      </c>
      <c r="S53" s="596">
        <f>Model!S215</f>
        <v>0</v>
      </c>
      <c r="T53" s="596">
        <f>Model!T215</f>
        <v>0</v>
      </c>
      <c r="U53" s="596">
        <f>Model!U215</f>
        <v>0</v>
      </c>
      <c r="V53" s="596">
        <f>Model!V215</f>
        <v>0</v>
      </c>
      <c r="W53" s="596">
        <f>Model!W215</f>
        <v>0</v>
      </c>
      <c r="X53" s="596">
        <f>Model!X215</f>
        <v>0</v>
      </c>
      <c r="Y53" s="596">
        <f>Model!Y215</f>
        <v>0</v>
      </c>
      <c r="Z53" s="596">
        <f>Model!Z215</f>
        <v>0</v>
      </c>
      <c r="AA53" s="596">
        <f>Model!AA215</f>
        <v>0</v>
      </c>
      <c r="AB53" s="596">
        <f>Model!AB215</f>
        <v>0</v>
      </c>
      <c r="AC53" s="596">
        <f>Model!AC215</f>
        <v>0</v>
      </c>
      <c r="AD53" s="596">
        <f>Model!AD215</f>
        <v>0</v>
      </c>
      <c r="AE53" s="596">
        <f>Model!AE215</f>
        <v>0</v>
      </c>
      <c r="AF53" s="660">
        <f>Model!AF215</f>
        <v>0</v>
      </c>
      <c r="AG53" s="893">
        <v>0</v>
      </c>
      <c r="AH53" s="893">
        <v>0</v>
      </c>
      <c r="AI53" s="893">
        <v>0</v>
      </c>
      <c r="AJ53" s="893">
        <v>0</v>
      </c>
      <c r="AK53" s="893">
        <v>0</v>
      </c>
      <c r="AL53" s="893">
        <v>0</v>
      </c>
      <c r="AM53" s="893"/>
      <c r="AN53" s="528">
        <f>Model!AN215</f>
        <v>0</v>
      </c>
      <c r="AO53" s="528">
        <f>Model!AO215</f>
        <v>0</v>
      </c>
      <c r="AP53" s="528">
        <f>Model!AP215</f>
        <v>0</v>
      </c>
      <c r="AQ53" s="528">
        <f>Model!AQ215</f>
        <v>0</v>
      </c>
      <c r="AR53" s="528">
        <f>Model!AR215</f>
        <v>0</v>
      </c>
      <c r="AS53" s="528">
        <f>Model!AS215</f>
        <v>0</v>
      </c>
      <c r="AT53" s="528">
        <f>Model!AT215</f>
        <v>0</v>
      </c>
      <c r="AU53" s="528">
        <f>Model!AU215</f>
        <v>0</v>
      </c>
      <c r="AV53" s="528">
        <f>Model!AV215</f>
        <v>0</v>
      </c>
      <c r="AW53" s="528">
        <f>Model!AW215</f>
        <v>0</v>
      </c>
      <c r="AX53" s="949">
        <f>Model!AX215</f>
        <v>0</v>
      </c>
      <c r="AY53" s="528">
        <f>Model!AY215</f>
        <v>0</v>
      </c>
      <c r="AZ53" s="528">
        <f>Model!AZ215</f>
        <v>0</v>
      </c>
      <c r="BA53" s="894">
        <v>0</v>
      </c>
      <c r="BB53" s="894">
        <v>0</v>
      </c>
      <c r="BC53" s="894">
        <v>0</v>
      </c>
      <c r="BD53" s="285"/>
    </row>
    <row r="54" spans="1:56" x14ac:dyDescent="0.25">
      <c r="A54" s="891" t="str">
        <f>Model!A217</f>
        <v>Net Debt Issuance (Repayment)</v>
      </c>
      <c r="B54" s="892"/>
      <c r="C54" s="725">
        <f>Model!C217</f>
        <v>0</v>
      </c>
      <c r="D54" s="725">
        <f>Model!D217</f>
        <v>6.77</v>
      </c>
      <c r="E54" s="725">
        <f>Model!E217</f>
        <v>-1.9499999999999993</v>
      </c>
      <c r="F54" s="725">
        <f>Model!F217</f>
        <v>-4.4130000000000003</v>
      </c>
      <c r="G54" s="725">
        <f>Model!G217</f>
        <v>2.37</v>
      </c>
      <c r="H54" s="725">
        <f>Model!H217</f>
        <v>14.994</v>
      </c>
      <c r="I54" s="725">
        <f>Model!I217</f>
        <v>-12.891000000000002</v>
      </c>
      <c r="J54" s="725">
        <f>Model!J217</f>
        <v>53.695999999999998</v>
      </c>
      <c r="K54" s="725">
        <f>Model!K217</f>
        <v>-2.5980000000000003</v>
      </c>
      <c r="L54" s="725">
        <f>Model!L217</f>
        <v>3.9309999999999992</v>
      </c>
      <c r="M54" s="725">
        <f>Model!M217</f>
        <v>0.77500000000000124</v>
      </c>
      <c r="N54" s="725">
        <f>Model!N217</f>
        <v>-2.1560000000000006</v>
      </c>
      <c r="O54" s="725">
        <f>Model!O217</f>
        <v>-4.3250000000000002</v>
      </c>
      <c r="P54" s="725">
        <f>Model!P217</f>
        <v>6.2440000000000015</v>
      </c>
      <c r="Q54" s="725">
        <f>Model!Q217</f>
        <v>-1.1539999999999999</v>
      </c>
      <c r="R54" s="725">
        <f>Model!R217</f>
        <v>-1.3359999999999985</v>
      </c>
      <c r="S54" s="725">
        <f>Model!S217</f>
        <v>2.8200000000000003</v>
      </c>
      <c r="T54" s="725">
        <f>Model!T217</f>
        <v>-2.5670000000000002</v>
      </c>
      <c r="U54" s="725">
        <f>Model!U217</f>
        <v>2.2000000000000242E-2</v>
      </c>
      <c r="V54" s="725">
        <f>Model!V217</f>
        <v>7.1150000000000002</v>
      </c>
      <c r="W54" s="725">
        <f>Model!W217</f>
        <v>3.0220000000000002</v>
      </c>
      <c r="X54" s="725">
        <f>Model!X217</f>
        <v>33.174999999999997</v>
      </c>
      <c r="Y54" s="725">
        <f>Model!Y217</f>
        <v>4.213000000000001</v>
      </c>
      <c r="Z54" s="725">
        <f>Model!Z217</f>
        <v>9.2820000000000054</v>
      </c>
      <c r="AA54" s="725">
        <f>Model!AA217</f>
        <v>3.7999999999996703E-2</v>
      </c>
      <c r="AB54" s="725">
        <f>Model!AB217</f>
        <v>3.1119999999999948</v>
      </c>
      <c r="AC54" s="725">
        <f>Model!AC217</f>
        <v>-6.5</v>
      </c>
      <c r="AD54" s="725">
        <f>Model!AD217</f>
        <v>-30.582999999999988</v>
      </c>
      <c r="AE54" s="725">
        <f>Model!AE217</f>
        <v>-8.0330000000000013</v>
      </c>
      <c r="AF54" s="779">
        <f>Model!AF217</f>
        <v>0</v>
      </c>
      <c r="AG54" s="777">
        <v>0</v>
      </c>
      <c r="AH54" s="777">
        <v>0</v>
      </c>
      <c r="AI54" s="777">
        <v>0</v>
      </c>
      <c r="AJ54" s="777">
        <v>0</v>
      </c>
      <c r="AK54" s="777">
        <v>0</v>
      </c>
      <c r="AL54" s="777">
        <v>0</v>
      </c>
      <c r="AM54" s="777"/>
      <c r="AN54" s="726">
        <f>Model!AN217</f>
        <v>-3.234</v>
      </c>
      <c r="AO54" s="726">
        <f>Model!AO217</f>
        <v>0</v>
      </c>
      <c r="AP54" s="726">
        <f>Model!AP217</f>
        <v>0</v>
      </c>
      <c r="AQ54" s="726">
        <f>Model!AQ217</f>
        <v>0</v>
      </c>
      <c r="AR54" s="726">
        <f>Model!AR217</f>
        <v>0.40699999999999997</v>
      </c>
      <c r="AS54" s="726">
        <f>Model!AS217</f>
        <v>58.168999999999997</v>
      </c>
      <c r="AT54" s="726">
        <f>Model!AT217</f>
        <v>-4.8000000000000043E-2</v>
      </c>
      <c r="AU54" s="726">
        <f>Model!AU217</f>
        <v>-0.57099999999999795</v>
      </c>
      <c r="AV54" s="726">
        <f>Model!AV217</f>
        <v>7.3900000000000006</v>
      </c>
      <c r="AW54" s="726">
        <f>Model!AW217</f>
        <v>49.692</v>
      </c>
      <c r="AX54" s="925">
        <f>Model!AX217</f>
        <v>-33.932999999999993</v>
      </c>
      <c r="AY54" s="726">
        <f>Model!AY217</f>
        <v>-8.0330000000000013</v>
      </c>
      <c r="AZ54" s="726">
        <f>Model!AZ217</f>
        <v>0</v>
      </c>
      <c r="BA54" s="855">
        <v>0</v>
      </c>
      <c r="BB54" s="855">
        <v>0</v>
      </c>
      <c r="BC54" s="855">
        <v>0</v>
      </c>
      <c r="BD54" s="285"/>
    </row>
    <row r="55" spans="1:56" x14ac:dyDescent="0.25">
      <c r="A55" s="891" t="str">
        <f>Model!A218</f>
        <v>Net Share Issuance (Buybacks)</v>
      </c>
      <c r="B55" s="892"/>
      <c r="C55" s="725">
        <f>Model!C218</f>
        <v>-0.45100000000000001</v>
      </c>
      <c r="D55" s="725">
        <f>Model!D218</f>
        <v>0</v>
      </c>
      <c r="E55" s="725">
        <f>Model!E218</f>
        <v>-0.69600000000000006</v>
      </c>
      <c r="F55" s="725">
        <f>Model!F218</f>
        <v>-0.80100000000000005</v>
      </c>
      <c r="G55" s="725">
        <f>Model!G218</f>
        <v>-0.32</v>
      </c>
      <c r="H55" s="725">
        <f>Model!H218</f>
        <v>-1.0679999999999998</v>
      </c>
      <c r="I55" s="725">
        <f>Model!I218</f>
        <v>-2.0210000000000004</v>
      </c>
      <c r="J55" s="725">
        <f>Model!J218</f>
        <v>-64.03</v>
      </c>
      <c r="K55" s="725">
        <f>Model!K218</f>
        <v>-0.36399999999999999</v>
      </c>
      <c r="L55" s="725">
        <f>Model!L218</f>
        <v>-0.73699999999999999</v>
      </c>
      <c r="M55" s="725">
        <f>Model!M218</f>
        <v>-5.5339999999999998</v>
      </c>
      <c r="N55" s="725">
        <f>Model!N218</f>
        <v>-5.3919999999999995</v>
      </c>
      <c r="O55" s="725">
        <f>Model!O218</f>
        <v>-4.2910000000000004</v>
      </c>
      <c r="P55" s="725">
        <f>Model!P218</f>
        <v>-3.585</v>
      </c>
      <c r="Q55" s="725">
        <f>Model!Q218</f>
        <v>-0.34999999999999931</v>
      </c>
      <c r="R55" s="725">
        <f>Model!R218</f>
        <v>-1.0100000000000002</v>
      </c>
      <c r="S55" s="725">
        <f>Model!S218</f>
        <v>-1.6739999999999999</v>
      </c>
      <c r="T55" s="725">
        <f>Model!T218</f>
        <v>-0.74500000000000011</v>
      </c>
      <c r="U55" s="725">
        <f>Model!U218</f>
        <v>-0.60399999999999998</v>
      </c>
      <c r="V55" s="725">
        <f>Model!V218</f>
        <v>-1.9180000000000001</v>
      </c>
      <c r="W55" s="725">
        <f>Model!W218</f>
        <v>-7.79</v>
      </c>
      <c r="X55" s="725">
        <f>Model!X218</f>
        <v>-3.3000000000000362E-2</v>
      </c>
      <c r="Y55" s="725">
        <f>Model!Y218</f>
        <v>-0.76499999999999901</v>
      </c>
      <c r="Z55" s="725">
        <f>Model!Z218</f>
        <v>-0.35000000000000081</v>
      </c>
      <c r="AA55" s="725">
        <f>Model!AA218</f>
        <v>0</v>
      </c>
      <c r="AB55" s="725">
        <f>Model!AB218</f>
        <v>0</v>
      </c>
      <c r="AC55" s="725">
        <f>Model!AC218</f>
        <v>0</v>
      </c>
      <c r="AD55" s="725">
        <f>Model!AD218</f>
        <v>-0.27800000000000002</v>
      </c>
      <c r="AE55" s="725">
        <f>Model!AE218</f>
        <v>0</v>
      </c>
      <c r="AF55" s="779">
        <f>Model!AF218</f>
        <v>0</v>
      </c>
      <c r="AG55" s="777">
        <v>0</v>
      </c>
      <c r="AH55" s="777">
        <v>0</v>
      </c>
      <c r="AI55" s="777">
        <v>0</v>
      </c>
      <c r="AJ55" s="777">
        <v>0</v>
      </c>
      <c r="AK55" s="777">
        <v>0</v>
      </c>
      <c r="AL55" s="777">
        <v>0</v>
      </c>
      <c r="AM55" s="777"/>
      <c r="AN55" s="726">
        <f>Model!AN218</f>
        <v>17.466000000000001</v>
      </c>
      <c r="AO55" s="726">
        <f>Model!AO218</f>
        <v>-9.8000000000000004E-2</v>
      </c>
      <c r="AP55" s="726">
        <f>Model!AP218</f>
        <v>-1.2649999999999999</v>
      </c>
      <c r="AQ55" s="726">
        <f>Model!AQ218</f>
        <v>-3.8650000000000002</v>
      </c>
      <c r="AR55" s="726">
        <f>Model!AR218</f>
        <v>-1.9480000000000002</v>
      </c>
      <c r="AS55" s="726">
        <f>Model!AS218</f>
        <v>-67.439000000000007</v>
      </c>
      <c r="AT55" s="726">
        <f>Model!AT218</f>
        <v>-12.026999999999999</v>
      </c>
      <c r="AU55" s="726">
        <f>Model!AU218</f>
        <v>-9.2360000000000007</v>
      </c>
      <c r="AV55" s="726">
        <f>Model!AV218</f>
        <v>-4.9409999999999998</v>
      </c>
      <c r="AW55" s="726">
        <f>Model!AW218</f>
        <v>-8.9380000000000006</v>
      </c>
      <c r="AX55" s="925">
        <f>Model!AX218</f>
        <v>-0.27800000000000002</v>
      </c>
      <c r="AY55" s="726">
        <f>Model!AY218</f>
        <v>0</v>
      </c>
      <c r="AZ55" s="726">
        <f>Model!AZ218</f>
        <v>0</v>
      </c>
      <c r="BA55" s="855">
        <v>0</v>
      </c>
      <c r="BB55" s="855">
        <v>0</v>
      </c>
      <c r="BC55" s="855">
        <v>0</v>
      </c>
      <c r="BD55" s="285"/>
    </row>
    <row r="56" spans="1:56" x14ac:dyDescent="0.25">
      <c r="A56" s="896" t="str">
        <f>Model!A219</f>
        <v>Estimated Share Price for Issuance/Buybacks, USD</v>
      </c>
      <c r="B56" s="897"/>
      <c r="C56" s="611"/>
      <c r="D56" s="611"/>
      <c r="E56" s="611"/>
      <c r="F56" s="611"/>
      <c r="G56" s="611"/>
      <c r="H56" s="611"/>
      <c r="I56" s="611"/>
      <c r="J56" s="611"/>
      <c r="K56" s="611"/>
      <c r="L56" s="611"/>
      <c r="M56" s="611"/>
      <c r="N56" s="611"/>
      <c r="O56" s="611"/>
      <c r="P56" s="611"/>
      <c r="Q56" s="611"/>
      <c r="R56" s="611"/>
      <c r="S56" s="611"/>
      <c r="T56" s="611"/>
      <c r="U56" s="611"/>
      <c r="V56" s="611"/>
      <c r="W56" s="611"/>
      <c r="X56" s="611"/>
      <c r="Y56" s="611"/>
      <c r="Z56" s="611"/>
      <c r="AA56" s="611"/>
      <c r="AB56" s="611"/>
      <c r="AC56" s="611"/>
      <c r="AD56" s="611"/>
      <c r="AE56" s="611"/>
      <c r="AF56" s="662">
        <f>Model!AF219</f>
        <v>7</v>
      </c>
      <c r="AG56" s="898">
        <v>8</v>
      </c>
      <c r="AH56" s="898">
        <v>8</v>
      </c>
      <c r="AI56" s="898">
        <v>9</v>
      </c>
      <c r="AJ56" s="898">
        <v>9</v>
      </c>
      <c r="AK56" s="898">
        <v>9</v>
      </c>
      <c r="AL56" s="898">
        <v>9</v>
      </c>
      <c r="AM56" s="898"/>
      <c r="AN56" s="428"/>
      <c r="AO56" s="428"/>
      <c r="AP56" s="428"/>
      <c r="AQ56" s="428"/>
      <c r="AR56" s="428"/>
      <c r="AS56" s="428"/>
      <c r="AT56" s="428"/>
      <c r="AU56" s="428"/>
      <c r="AV56" s="428"/>
      <c r="AW56" s="428"/>
      <c r="AX56" s="950"/>
      <c r="AY56" s="428">
        <f>Model!AY219</f>
        <v>7.666666666666667</v>
      </c>
      <c r="AZ56" s="428">
        <f>Model!AZ219</f>
        <v>9</v>
      </c>
      <c r="BA56" s="899">
        <v>10</v>
      </c>
      <c r="BB56" s="899">
        <v>11</v>
      </c>
      <c r="BC56" s="899">
        <v>12</v>
      </c>
      <c r="BD56" s="285"/>
    </row>
    <row r="57" spans="1:56" x14ac:dyDescent="0.25">
      <c r="A57" s="896"/>
      <c r="B57" s="897"/>
      <c r="C57" s="611"/>
      <c r="D57" s="611"/>
      <c r="E57" s="611"/>
      <c r="F57" s="611"/>
      <c r="G57" s="611"/>
      <c r="H57" s="611"/>
      <c r="I57" s="611"/>
      <c r="J57" s="611"/>
      <c r="K57" s="611"/>
      <c r="L57" s="611"/>
      <c r="M57" s="611"/>
      <c r="N57" s="611"/>
      <c r="O57" s="611"/>
      <c r="P57" s="611"/>
      <c r="Q57" s="611"/>
      <c r="R57" s="611"/>
      <c r="S57" s="611"/>
      <c r="T57" s="611"/>
      <c r="U57" s="611"/>
      <c r="V57" s="611"/>
      <c r="W57" s="611"/>
      <c r="X57" s="611"/>
      <c r="Y57" s="611"/>
      <c r="Z57" s="611"/>
      <c r="AA57" s="611"/>
      <c r="AB57" s="611"/>
      <c r="AC57" s="611"/>
      <c r="AD57" s="611"/>
      <c r="AE57" s="611"/>
      <c r="AF57" s="662"/>
      <c r="AG57" s="898"/>
      <c r="AH57" s="898"/>
      <c r="AI57" s="898"/>
      <c r="AJ57" s="898"/>
      <c r="AK57" s="898"/>
      <c r="AL57" s="898"/>
      <c r="AM57" s="898"/>
      <c r="AN57" s="428"/>
      <c r="AO57" s="428"/>
      <c r="AP57" s="428"/>
      <c r="AQ57" s="428"/>
      <c r="AR57" s="428"/>
      <c r="AS57" s="428"/>
      <c r="AT57" s="428"/>
      <c r="AU57" s="428"/>
      <c r="AV57" s="428"/>
      <c r="AW57" s="428"/>
      <c r="AX57" s="950"/>
      <c r="AY57" s="428"/>
      <c r="AZ57" s="428"/>
      <c r="BA57" s="899"/>
      <c r="BB57" s="899"/>
      <c r="BC57" s="899"/>
      <c r="BD57" s="285"/>
    </row>
    <row r="58" spans="1:56" x14ac:dyDescent="0.25">
      <c r="A58" s="626" t="str">
        <f>Model!A226</f>
        <v>Balance Sheet Summary</v>
      </c>
      <c r="B58" s="626"/>
      <c r="C58" s="719"/>
      <c r="D58" s="719"/>
      <c r="E58" s="719"/>
      <c r="F58" s="719"/>
      <c r="G58" s="719"/>
      <c r="H58" s="719"/>
      <c r="I58" s="719"/>
      <c r="J58" s="719"/>
      <c r="K58" s="719"/>
      <c r="L58" s="719"/>
      <c r="M58" s="719"/>
      <c r="N58" s="719"/>
      <c r="O58" s="719"/>
      <c r="P58" s="719"/>
      <c r="Q58" s="719"/>
      <c r="R58" s="719"/>
      <c r="S58" s="719"/>
      <c r="T58" s="719"/>
      <c r="U58" s="719"/>
      <c r="V58" s="719"/>
      <c r="W58" s="719"/>
      <c r="X58" s="719"/>
      <c r="Y58" s="719"/>
      <c r="Z58" s="719"/>
      <c r="AA58" s="719"/>
      <c r="AB58" s="719"/>
      <c r="AC58" s="719"/>
      <c r="AD58" s="719"/>
      <c r="AE58" s="719"/>
      <c r="AF58" s="720"/>
      <c r="AG58" s="719"/>
      <c r="AH58" s="721"/>
      <c r="AI58" s="721"/>
      <c r="AJ58" s="721"/>
      <c r="AK58" s="721"/>
      <c r="AL58" s="721"/>
      <c r="AM58" s="721"/>
      <c r="AN58" s="719"/>
      <c r="AO58" s="719"/>
      <c r="AP58" s="719"/>
      <c r="AQ58" s="719"/>
      <c r="AR58" s="719"/>
      <c r="AS58" s="719"/>
      <c r="AT58" s="719"/>
      <c r="AU58" s="719"/>
      <c r="AV58" s="719"/>
      <c r="AW58" s="719"/>
      <c r="AX58" s="720"/>
      <c r="AY58" s="721"/>
      <c r="AZ58" s="721"/>
      <c r="BA58" s="721"/>
      <c r="BB58" s="721"/>
      <c r="BC58" s="721"/>
      <c r="BD58" s="285"/>
    </row>
    <row r="59" spans="1:56" x14ac:dyDescent="0.25">
      <c r="A59" s="901" t="str">
        <f>Model!A235</f>
        <v>Effective Interest Rate on Debt</v>
      </c>
      <c r="B59" s="902"/>
      <c r="C59" s="391" t="str">
        <f>Model!C235</f>
        <v>n/a</v>
      </c>
      <c r="D59" s="391">
        <f>Model!D235</f>
        <v>7.8205398737156498E-2</v>
      </c>
      <c r="E59" s="391">
        <f>Model!E235</f>
        <v>6.1616085831113783E-2</v>
      </c>
      <c r="F59" s="391">
        <f>Model!F235</f>
        <v>0.16698413754668487</v>
      </c>
      <c r="G59" s="391">
        <f>Model!G235</f>
        <v>0.52222920156337238</v>
      </c>
      <c r="H59" s="391">
        <f>Model!H235</f>
        <v>3.006094547850436E-2</v>
      </c>
      <c r="I59" s="391">
        <f>Model!I235</f>
        <v>4.098580924539276E-2</v>
      </c>
      <c r="J59" s="391">
        <f>Model!J235</f>
        <v>5.4269031331535447E-2</v>
      </c>
      <c r="K59" s="391">
        <f>Model!K235</f>
        <v>2.5844191870694658E-2</v>
      </c>
      <c r="L59" s="391">
        <f>Model!L235</f>
        <v>2.1182059029272265E-2</v>
      </c>
      <c r="M59" s="391">
        <f>Model!M235</f>
        <v>2.2371332390408415E-2</v>
      </c>
      <c r="N59" s="391">
        <f>Model!N235</f>
        <v>2.4627298973403607E-2</v>
      </c>
      <c r="O59" s="391">
        <f>Model!O235</f>
        <v>1.7482052237354682E-2</v>
      </c>
      <c r="P59" s="391">
        <f>Model!P235</f>
        <v>2.522916094232339E-2</v>
      </c>
      <c r="Q59" s="392">
        <f>Model!Q235</f>
        <v>2.4358329066194954E-2</v>
      </c>
      <c r="R59" s="391">
        <f>Model!R235</f>
        <v>4.0671185687298592E-2</v>
      </c>
      <c r="S59" s="391">
        <f>Model!S235</f>
        <v>3.0050554178684911E-2</v>
      </c>
      <c r="T59" s="391">
        <f>Model!T235</f>
        <v>3.5994154066281252E-2</v>
      </c>
      <c r="U59" s="392">
        <f>Model!U235</f>
        <v>3.4658591090132224E-2</v>
      </c>
      <c r="V59" s="394">
        <f>Model!V235</f>
        <v>0.10534819505111938</v>
      </c>
      <c r="W59" s="391">
        <f>Model!W235</f>
        <v>4.1399846893812764E-2</v>
      </c>
      <c r="X59" s="391">
        <f>Model!X235</f>
        <v>-7.0562584856341355E-3</v>
      </c>
      <c r="Y59" s="392">
        <f>Model!Y235</f>
        <v>4.1798779779963817E-2</v>
      </c>
      <c r="Z59" s="394">
        <f>Model!Z235</f>
        <v>4.6850529997780603E-2</v>
      </c>
      <c r="AA59" s="391">
        <f>Model!AA235</f>
        <v>5.5603459164913778E-2</v>
      </c>
      <c r="AB59" s="391">
        <f>Model!AB235</f>
        <v>5.7009532411319445E-2</v>
      </c>
      <c r="AC59" s="392">
        <f>Model!AC235</f>
        <v>5.3682485432541456E-2</v>
      </c>
      <c r="AD59" s="394">
        <f>Model!AD235</f>
        <v>4.8818221743122905E-2</v>
      </c>
      <c r="AE59" s="391">
        <f>Model!AE235</f>
        <v>4.9883575307304119E-2</v>
      </c>
      <c r="AF59" s="645">
        <f>Model!AF235</f>
        <v>3.6854040914816692E-2</v>
      </c>
      <c r="AG59" s="882">
        <v>4.9000000000000002E-2</v>
      </c>
      <c r="AH59" s="882">
        <v>4.9000000000000002E-2</v>
      </c>
      <c r="AI59" s="882">
        <v>4.9000000000000002E-2</v>
      </c>
      <c r="AJ59" s="882">
        <v>4.9000000000000002E-2</v>
      </c>
      <c r="AK59" s="882">
        <v>4.9000000000000002E-2</v>
      </c>
      <c r="AL59" s="882">
        <v>4.9000000000000002E-2</v>
      </c>
      <c r="AM59" s="882"/>
      <c r="AN59" s="390"/>
      <c r="AO59" s="390" t="str">
        <f>Model!AO235</f>
        <v>n/a</v>
      </c>
      <c r="AP59" s="390" t="str">
        <f>Model!AP235</f>
        <v>n/a</v>
      </c>
      <c r="AQ59" s="390" t="str">
        <f>Model!AQ235</f>
        <v>n/a</v>
      </c>
      <c r="AR59" s="390">
        <f>Model!AR235</f>
        <v>0.12203050762690673</v>
      </c>
      <c r="AS59" s="390">
        <f>Model!AS235</f>
        <v>3.9664777867720588E-2</v>
      </c>
      <c r="AT59" s="390">
        <f>Model!AT235</f>
        <v>2.3496484459738239E-2</v>
      </c>
      <c r="AU59" s="390">
        <f>Model!AU235</f>
        <v>2.7098842509580945E-2</v>
      </c>
      <c r="AV59" s="393">
        <f>Model!AV235</f>
        <v>5.1510192669829862E-2</v>
      </c>
      <c r="AW59" s="393">
        <f>Model!AW235</f>
        <v>2.9968987948803403E-2</v>
      </c>
      <c r="AX59" s="929">
        <f>Model!AX235</f>
        <v>5.6056648861725226E-2</v>
      </c>
      <c r="AY59" s="393">
        <f>Model!AY235</f>
        <v>4.8511716424169252E-2</v>
      </c>
      <c r="AZ59" s="393">
        <f>Model!AZ235</f>
        <v>4.8999999999999995E-2</v>
      </c>
      <c r="BA59" s="883">
        <v>4.9000000000000002E-2</v>
      </c>
      <c r="BB59" s="883">
        <v>4.9000000000000002E-2</v>
      </c>
      <c r="BC59" s="883">
        <v>4.9000000000000002E-2</v>
      </c>
      <c r="BD59" s="285"/>
    </row>
    <row r="60" spans="1:56" x14ac:dyDescent="0.25">
      <c r="A60" s="858" t="str">
        <f>Model!A237</f>
        <v>Effective Interest Rate on Cash</v>
      </c>
      <c r="B60" s="852"/>
      <c r="C60" s="394"/>
      <c r="D60" s="394"/>
      <c r="E60" s="394"/>
      <c r="F60" s="394"/>
      <c r="G60" s="394"/>
      <c r="H60" s="394"/>
      <c r="I60" s="394"/>
      <c r="J60" s="394"/>
      <c r="K60" s="394"/>
      <c r="L60" s="394"/>
      <c r="M60" s="394"/>
      <c r="N60" s="394"/>
      <c r="O60" s="394"/>
      <c r="P60" s="394"/>
      <c r="Q60" s="394"/>
      <c r="R60" s="394"/>
      <c r="S60" s="394"/>
      <c r="T60" s="394"/>
      <c r="U60" s="394"/>
      <c r="V60" s="394"/>
      <c r="W60" s="394"/>
      <c r="X60" s="394"/>
      <c r="Y60" s="394"/>
      <c r="Z60" s="394"/>
      <c r="AA60" s="394"/>
      <c r="AB60" s="394"/>
      <c r="AC60" s="394"/>
      <c r="AD60" s="394"/>
      <c r="AE60" s="394"/>
      <c r="AF60" s="648"/>
      <c r="AG60" s="882">
        <v>3.0000000000000001E-3</v>
      </c>
      <c r="AH60" s="882">
        <v>3.0000000000000001E-3</v>
      </c>
      <c r="AI60" s="882">
        <v>3.0000000000000001E-3</v>
      </c>
      <c r="AJ60" s="882">
        <v>3.0000000000000001E-3</v>
      </c>
      <c r="AK60" s="882">
        <v>3.0000000000000001E-3</v>
      </c>
      <c r="AL60" s="882">
        <v>3.0000000000000001E-3</v>
      </c>
      <c r="AM60" s="882"/>
      <c r="AN60" s="393"/>
      <c r="AO60" s="393">
        <f>Model!AO237</f>
        <v>5.2890064223649414E-3</v>
      </c>
      <c r="AP60" s="393">
        <f>Model!AP237</f>
        <v>3.4490061416512876E-3</v>
      </c>
      <c r="AQ60" s="393">
        <f>Model!AQ237</f>
        <v>4.8690396239086638E-3</v>
      </c>
      <c r="AR60" s="393">
        <f>Model!AR237</f>
        <v>8.5304086218058565E-3</v>
      </c>
      <c r="AS60" s="393">
        <f>Model!AS237</f>
        <v>1.2832263978001831E-2</v>
      </c>
      <c r="AT60" s="393">
        <f>Model!AT237</f>
        <v>1.0078463203463202E-2</v>
      </c>
      <c r="AU60" s="393">
        <f>Model!AU237</f>
        <v>5.933313345221001E-3</v>
      </c>
      <c r="AV60" s="393">
        <f>Model!AV237</f>
        <v>2.1287655635040472E-3</v>
      </c>
      <c r="AW60" s="393">
        <f>Model!AW237</f>
        <v>5.8373921450591943E-4</v>
      </c>
      <c r="AX60" s="929">
        <f>Model!AX237</f>
        <v>6.5711657247995801E-3</v>
      </c>
      <c r="AY60" s="393" t="str">
        <f ca="1">Model!AY237</f>
        <v>n/a</v>
      </c>
      <c r="AZ60" s="393">
        <f ca="1">Model!AZ237</f>
        <v>2.5761753278953975E-3</v>
      </c>
      <c r="BA60" s="883">
        <v>2.4367365807640429E-3</v>
      </c>
      <c r="BB60" s="883">
        <v>2.4367365807640429E-3</v>
      </c>
      <c r="BC60" s="883">
        <v>2.4367365807640429E-3</v>
      </c>
      <c r="BD60" s="285"/>
    </row>
    <row r="61" spans="1:56" x14ac:dyDescent="0.25">
      <c r="A61" s="858"/>
      <c r="B61" s="852"/>
      <c r="C61" s="394"/>
      <c r="D61" s="394"/>
      <c r="E61" s="394"/>
      <c r="F61" s="394"/>
      <c r="G61" s="394"/>
      <c r="H61" s="394"/>
      <c r="I61" s="394"/>
      <c r="J61" s="394"/>
      <c r="K61" s="394"/>
      <c r="L61" s="394"/>
      <c r="M61" s="394"/>
      <c r="N61" s="394"/>
      <c r="O61" s="394"/>
      <c r="P61" s="394"/>
      <c r="Q61" s="394"/>
      <c r="R61" s="394"/>
      <c r="S61" s="394"/>
      <c r="T61" s="394"/>
      <c r="U61" s="394"/>
      <c r="V61" s="394"/>
      <c r="W61" s="394"/>
      <c r="X61" s="394"/>
      <c r="Y61" s="394"/>
      <c r="Z61" s="394"/>
      <c r="AA61" s="394"/>
      <c r="AB61" s="394"/>
      <c r="AC61" s="394"/>
      <c r="AD61" s="394"/>
      <c r="AE61" s="394"/>
      <c r="AF61" s="648"/>
      <c r="AG61" s="882"/>
      <c r="AH61" s="882"/>
      <c r="AI61" s="882"/>
      <c r="AJ61" s="882"/>
      <c r="AK61" s="882"/>
      <c r="AL61" s="882"/>
      <c r="AM61" s="882"/>
      <c r="AN61" s="393"/>
      <c r="AO61" s="393"/>
      <c r="AP61" s="393"/>
      <c r="AQ61" s="393"/>
      <c r="AR61" s="393"/>
      <c r="AS61" s="393"/>
      <c r="AT61" s="393"/>
      <c r="AU61" s="393"/>
      <c r="AV61" s="393"/>
      <c r="AW61" s="393"/>
      <c r="AX61" s="929"/>
      <c r="AY61" s="393"/>
      <c r="AZ61" s="393"/>
      <c r="BA61" s="883"/>
      <c r="BB61" s="883"/>
      <c r="BC61" s="883"/>
      <c r="BD61" s="285"/>
    </row>
    <row r="62" spans="1:56" x14ac:dyDescent="0.25">
      <c r="A62" s="298" t="str">
        <f>Model!A385</f>
        <v>Working Capital Forecasting</v>
      </c>
      <c r="B62" s="299"/>
      <c r="C62" s="719"/>
      <c r="D62" s="719"/>
      <c r="E62" s="719"/>
      <c r="F62" s="719"/>
      <c r="G62" s="719"/>
      <c r="H62" s="719"/>
      <c r="I62" s="719"/>
      <c r="J62" s="719"/>
      <c r="K62" s="719"/>
      <c r="L62" s="719"/>
      <c r="M62" s="719"/>
      <c r="N62" s="719"/>
      <c r="O62" s="719"/>
      <c r="P62" s="719"/>
      <c r="Q62" s="719"/>
      <c r="R62" s="719"/>
      <c r="S62" s="719"/>
      <c r="T62" s="719"/>
      <c r="U62" s="719"/>
      <c r="V62" s="719"/>
      <c r="W62" s="719"/>
      <c r="X62" s="719"/>
      <c r="Y62" s="719"/>
      <c r="Z62" s="719"/>
      <c r="AA62" s="719"/>
      <c r="AB62" s="719"/>
      <c r="AC62" s="719"/>
      <c r="AD62" s="719"/>
      <c r="AE62" s="719"/>
      <c r="AF62" s="720"/>
      <c r="AG62" s="719"/>
      <c r="AH62" s="721"/>
      <c r="AI62" s="721"/>
      <c r="AJ62" s="721"/>
      <c r="AK62" s="721"/>
      <c r="AL62" s="721"/>
      <c r="AM62" s="721"/>
      <c r="AN62" s="719"/>
      <c r="AO62" s="719"/>
      <c r="AP62" s="719"/>
      <c r="AQ62" s="719"/>
      <c r="AR62" s="719"/>
      <c r="AS62" s="719"/>
      <c r="AT62" s="719"/>
      <c r="AU62" s="719"/>
      <c r="AV62" s="719"/>
      <c r="AW62" s="719"/>
      <c r="AX62" s="720"/>
      <c r="AY62" s="721"/>
      <c r="AZ62" s="721"/>
      <c r="BA62" s="721"/>
      <c r="BB62" s="721"/>
      <c r="BC62" s="721"/>
      <c r="BD62" s="285"/>
    </row>
    <row r="63" spans="1:56" x14ac:dyDescent="0.25">
      <c r="A63" s="903" t="str">
        <f>Model!A391</f>
        <v>Accounts and other receivables, Y/Y Change, %</v>
      </c>
      <c r="B63" s="904"/>
      <c r="C63" s="444"/>
      <c r="D63" s="444"/>
      <c r="E63" s="444"/>
      <c r="F63" s="444"/>
      <c r="G63" s="444"/>
      <c r="H63" s="444"/>
      <c r="I63" s="444"/>
      <c r="J63" s="444"/>
      <c r="K63" s="444">
        <f>Model!K391</f>
        <v>-3.6764756895392464E-2</v>
      </c>
      <c r="L63" s="444">
        <f>Model!L391</f>
        <v>-3.5908972732192623E-2</v>
      </c>
      <c r="M63" s="444">
        <f>Model!M391</f>
        <v>2.3156063780298497E-2</v>
      </c>
      <c r="N63" s="444">
        <f>Model!N391</f>
        <v>-1.3105936935846385E-2</v>
      </c>
      <c r="O63" s="444">
        <f>Model!O391</f>
        <v>2.8227798885061273E-3</v>
      </c>
      <c r="P63" s="444">
        <f>Model!P391</f>
        <v>-1.6555141543188989E-2</v>
      </c>
      <c r="Q63" s="445">
        <f>Model!Q391</f>
        <v>-1.9830011901543959E-2</v>
      </c>
      <c r="R63" s="444">
        <f>Model!R391</f>
        <v>2.9731929050422934E-2</v>
      </c>
      <c r="S63" s="444">
        <f>Model!S391</f>
        <v>2.5440768014512616E-2</v>
      </c>
      <c r="T63" s="444">
        <f>Model!T391</f>
        <v>1.7052814436679248E-2</v>
      </c>
      <c r="U63" s="445">
        <f>Model!U391</f>
        <v>7.3556398890939623E-3</v>
      </c>
      <c r="V63" s="444">
        <f>Model!V391</f>
        <v>1.9193470612345775E-2</v>
      </c>
      <c r="W63" s="444">
        <f>Model!W391</f>
        <v>8.6643034119234519E-3</v>
      </c>
      <c r="X63" s="444">
        <f>Model!X391</f>
        <v>1.6070939596549677E-2</v>
      </c>
      <c r="Y63" s="445">
        <f>Model!Y391</f>
        <v>5.7430456041950517E-2</v>
      </c>
      <c r="Z63" s="444">
        <f>Model!Z391</f>
        <v>-2.5345282644490624E-2</v>
      </c>
      <c r="AA63" s="444">
        <f>Model!AA391</f>
        <v>-1.9288800418757329E-2</v>
      </c>
      <c r="AB63" s="444">
        <f>Model!AB391</f>
        <v>4.1233759975323192E-3</v>
      </c>
      <c r="AC63" s="445">
        <f>Model!AC391</f>
        <v>-4.1670899177556814E-2</v>
      </c>
      <c r="AD63" s="444">
        <f>Model!AD391</f>
        <v>1.7039940577077251E-2</v>
      </c>
      <c r="AE63" s="444">
        <f>Model!AE391</f>
        <v>-8.9027188798654622E-3</v>
      </c>
      <c r="AF63" s="671">
        <f>Model!AF391</f>
        <v>-2.9462168293121094E-2</v>
      </c>
      <c r="AG63" s="905">
        <v>-0.04</v>
      </c>
      <c r="AH63" s="905">
        <v>-0.02</v>
      </c>
      <c r="AI63" s="905">
        <v>0</v>
      </c>
      <c r="AJ63" s="905">
        <v>0</v>
      </c>
      <c r="AK63" s="905">
        <v>0</v>
      </c>
      <c r="AL63" s="905">
        <v>0</v>
      </c>
      <c r="AM63" s="905"/>
      <c r="AN63" s="443"/>
      <c r="AO63" s="443">
        <f>Model!AO391</f>
        <v>-2.321965559554795E-2</v>
      </c>
      <c r="AP63" s="443">
        <f>Model!AP391</f>
        <v>1.7319359171934751E-2</v>
      </c>
      <c r="AQ63" s="443">
        <f>Model!AQ391</f>
        <v>6.6718249350634917E-3</v>
      </c>
      <c r="AR63" s="443">
        <f>Model!AR391</f>
        <v>8.5977445811555586E-3</v>
      </c>
      <c r="AS63" s="443">
        <f>Model!AS391</f>
        <v>-1.82374477520727E-2</v>
      </c>
      <c r="AT63" s="443">
        <f>Model!AT391</f>
        <v>-1.3105936935846385E-2</v>
      </c>
      <c r="AU63" s="443">
        <f>Model!AU391</f>
        <v>2.9731929050422906E-2</v>
      </c>
      <c r="AV63" s="443">
        <f>Model!AV391</f>
        <v>1.9193470612345803E-2</v>
      </c>
      <c r="AW63" s="443">
        <f>Model!AW391</f>
        <v>-2.5345282644490569E-2</v>
      </c>
      <c r="AX63" s="962">
        <f>Model!AX391</f>
        <v>1.7039940577077195E-2</v>
      </c>
      <c r="AY63" s="443">
        <f>Model!AY391</f>
        <v>-1.999999999999999E-2</v>
      </c>
      <c r="AZ63" s="443">
        <f>Model!AZ391</f>
        <v>0</v>
      </c>
      <c r="BA63" s="906">
        <v>0</v>
      </c>
      <c r="BB63" s="906">
        <v>0</v>
      </c>
      <c r="BC63" s="906">
        <v>0</v>
      </c>
      <c r="BD63" s="285"/>
    </row>
    <row r="64" spans="1:56" x14ac:dyDescent="0.25">
      <c r="A64" s="903" t="str">
        <f>Model!A392</f>
        <v>Unbilled revenue, Y/Y Change, %</v>
      </c>
      <c r="B64" s="904"/>
      <c r="C64" s="444"/>
      <c r="D64" s="444"/>
      <c r="E64" s="444"/>
      <c r="F64" s="444"/>
      <c r="G64" s="444"/>
      <c r="H64" s="444"/>
      <c r="I64" s="444"/>
      <c r="J64" s="444"/>
      <c r="K64" s="444">
        <f>Model!K392</f>
        <v>-1.1752254904873471E-3</v>
      </c>
      <c r="L64" s="444">
        <f>Model!L392</f>
        <v>1.3727508414172834E-2</v>
      </c>
      <c r="M64" s="444">
        <f>Model!M392</f>
        <v>2.5608930663681001E-3</v>
      </c>
      <c r="N64" s="444">
        <f>Model!N392</f>
        <v>3.3751132474245632E-2</v>
      </c>
      <c r="O64" s="444">
        <f>Model!O392</f>
        <v>1.3189887302818989E-2</v>
      </c>
      <c r="P64" s="444">
        <f>Model!P392</f>
        <v>7.5296390260053969E-3</v>
      </c>
      <c r="Q64" s="445">
        <f>Model!Q392</f>
        <v>2.8145649836426423E-2</v>
      </c>
      <c r="R64" s="444">
        <f>Model!R392</f>
        <v>-1.3798975436870115E-2</v>
      </c>
      <c r="S64" s="444">
        <f>Model!S392</f>
        <v>9.6957051526655735E-3</v>
      </c>
      <c r="T64" s="444">
        <f>Model!T392</f>
        <v>-2.4721721092825222E-3</v>
      </c>
      <c r="U64" s="445">
        <f>Model!U392</f>
        <v>-4.3666518415818173E-3</v>
      </c>
      <c r="V64" s="444">
        <f>Model!V392</f>
        <v>4.2130017617658527E-3</v>
      </c>
      <c r="W64" s="444">
        <f>Model!W392</f>
        <v>-1.0475262528392454E-2</v>
      </c>
      <c r="X64" s="444">
        <f>Model!X392</f>
        <v>-1.9883680668432158E-3</v>
      </c>
      <c r="Y64" s="445">
        <f>Model!Y392</f>
        <v>-3.2388316951536433E-2</v>
      </c>
      <c r="Z64" s="444">
        <f>Model!Z392</f>
        <v>7.2412211934458265E-2</v>
      </c>
      <c r="AA64" s="444">
        <f>Model!AA392</f>
        <v>7.2680419750688993E-2</v>
      </c>
      <c r="AB64" s="444">
        <f>Model!AB392</f>
        <v>4.4203036651673994E-2</v>
      </c>
      <c r="AC64" s="445">
        <f>Model!AC392</f>
        <v>3.5167811514183203E-2</v>
      </c>
      <c r="AD64" s="444">
        <f>Model!AD392</f>
        <v>-5.8660448678553481E-2</v>
      </c>
      <c r="AE64" s="444">
        <f>Model!AE392</f>
        <v>-5.1360588166870544E-2</v>
      </c>
      <c r="AF64" s="671">
        <f>Model!AF392</f>
        <v>-5.702768606988351E-2</v>
      </c>
      <c r="AG64" s="905">
        <v>0</v>
      </c>
      <c r="AH64" s="905">
        <v>0</v>
      </c>
      <c r="AI64" s="905">
        <v>0</v>
      </c>
      <c r="AJ64" s="905">
        <v>0</v>
      </c>
      <c r="AK64" s="905">
        <v>0</v>
      </c>
      <c r="AL64" s="905">
        <v>0</v>
      </c>
      <c r="AM64" s="905"/>
      <c r="AN64" s="443"/>
      <c r="AO64" s="443">
        <f>Model!AO392</f>
        <v>1.4378508158700842E-3</v>
      </c>
      <c r="AP64" s="443">
        <f>Model!AP392</f>
        <v>-2.9897512404545162E-3</v>
      </c>
      <c r="AQ64" s="443">
        <f>Model!AQ392</f>
        <v>-4.469994557146667E-3</v>
      </c>
      <c r="AR64" s="443">
        <f>Model!AR392</f>
        <v>9.7144795985724744E-3</v>
      </c>
      <c r="AS64" s="443">
        <f>Model!AS392</f>
        <v>8.2014096126466068E-3</v>
      </c>
      <c r="AT64" s="443">
        <f>Model!AT392</f>
        <v>3.3751132474245632E-2</v>
      </c>
      <c r="AU64" s="443">
        <f>Model!AU392</f>
        <v>-1.3798975436870115E-2</v>
      </c>
      <c r="AV64" s="443">
        <f>Model!AV392</f>
        <v>4.2130017617658527E-3</v>
      </c>
      <c r="AW64" s="443">
        <f>Model!AW392</f>
        <v>7.241221193445832E-2</v>
      </c>
      <c r="AX64" s="962">
        <f>Model!AX392</f>
        <v>-5.8660448678553537E-2</v>
      </c>
      <c r="AY64" s="443">
        <f>Model!AY392</f>
        <v>0</v>
      </c>
      <c r="AZ64" s="443">
        <f>Model!AZ392</f>
        <v>0</v>
      </c>
      <c r="BA64" s="906">
        <v>0</v>
      </c>
      <c r="BB64" s="906">
        <v>0</v>
      </c>
      <c r="BC64" s="906">
        <v>0</v>
      </c>
      <c r="BD64" s="285"/>
    </row>
    <row r="65" spans="1:56" x14ac:dyDescent="0.25">
      <c r="A65" s="903" t="str">
        <f>Model!A393</f>
        <v>Prepaid expenses and other current assets, Y/Y Change, %</v>
      </c>
      <c r="B65" s="904"/>
      <c r="C65" s="444"/>
      <c r="D65" s="444"/>
      <c r="E65" s="444"/>
      <c r="F65" s="444"/>
      <c r="G65" s="444"/>
      <c r="H65" s="444"/>
      <c r="I65" s="444"/>
      <c r="J65" s="444"/>
      <c r="K65" s="444">
        <f>Model!K393</f>
        <v>6.8415034727842619E-3</v>
      </c>
      <c r="L65" s="444">
        <f>Model!L393</f>
        <v>6.3299157206733042E-3</v>
      </c>
      <c r="M65" s="444">
        <f>Model!M393</f>
        <v>3.1652918581411699E-4</v>
      </c>
      <c r="N65" s="444">
        <f>Model!N393</f>
        <v>-6.625680728799925E-3</v>
      </c>
      <c r="O65" s="444">
        <f>Model!O393</f>
        <v>-1.5248893903829473E-2</v>
      </c>
      <c r="P65" s="444">
        <f>Model!P393</f>
        <v>-1.388391894752224E-2</v>
      </c>
      <c r="Q65" s="445">
        <f>Model!Q393</f>
        <v>-4.7006514088678807E-3</v>
      </c>
      <c r="R65" s="444">
        <f>Model!R393</f>
        <v>4.6941957827414983E-3</v>
      </c>
      <c r="S65" s="444">
        <f>Model!S393</f>
        <v>-1.1898145619978623E-3</v>
      </c>
      <c r="T65" s="444">
        <f>Model!T393</f>
        <v>5.7850374406544537E-3</v>
      </c>
      <c r="U65" s="445">
        <f>Model!U393</f>
        <v>7.7274411518056772E-3</v>
      </c>
      <c r="V65" s="444">
        <f>Model!V393</f>
        <v>4.5060965900878061E-3</v>
      </c>
      <c r="W65" s="444">
        <f>Model!W393</f>
        <v>1.431206166824393E-2</v>
      </c>
      <c r="X65" s="444">
        <f>Model!X393</f>
        <v>2.0133115308026035E-3</v>
      </c>
      <c r="Y65" s="445">
        <f>Model!Y393</f>
        <v>-4.5977582001691802E-4</v>
      </c>
      <c r="Z65" s="444">
        <f>Model!Z393</f>
        <v>9.0649111437789108E-3</v>
      </c>
      <c r="AA65" s="444">
        <f>Model!AA393</f>
        <v>1.056501603887753E-2</v>
      </c>
      <c r="AB65" s="444">
        <f>Model!AB393</f>
        <v>1.0075039464203062E-2</v>
      </c>
      <c r="AC65" s="445">
        <f>Model!AC393</f>
        <v>1.0327285394039785E-2</v>
      </c>
      <c r="AD65" s="444">
        <f>Model!AD393</f>
        <v>-4.2039145669269667E-3</v>
      </c>
      <c r="AE65" s="444">
        <f>Model!AE393</f>
        <v>-1.0820726921162226E-2</v>
      </c>
      <c r="AF65" s="671">
        <f>Model!AF393</f>
        <v>1.6384171948261028E-3</v>
      </c>
      <c r="AG65" s="905">
        <v>0</v>
      </c>
      <c r="AH65" s="905">
        <v>0</v>
      </c>
      <c r="AI65" s="905">
        <v>0</v>
      </c>
      <c r="AJ65" s="905">
        <v>0</v>
      </c>
      <c r="AK65" s="905">
        <v>0</v>
      </c>
      <c r="AL65" s="905">
        <v>0</v>
      </c>
      <c r="AM65" s="905"/>
      <c r="AN65" s="443"/>
      <c r="AO65" s="443">
        <f>Model!AO393</f>
        <v>-8.5400047188707445E-3</v>
      </c>
      <c r="AP65" s="443">
        <f>Model!AP393</f>
        <v>1.8181178892420491E-3</v>
      </c>
      <c r="AQ65" s="443">
        <f>Model!AQ393</f>
        <v>1.6123360469268433E-3</v>
      </c>
      <c r="AR65" s="443">
        <f>Model!AR393</f>
        <v>4.18974401134058E-3</v>
      </c>
      <c r="AS65" s="443">
        <f>Model!AS393</f>
        <v>9.4504201750062605E-4</v>
      </c>
      <c r="AT65" s="443">
        <f>Model!AT393</f>
        <v>-6.625680728799925E-3</v>
      </c>
      <c r="AU65" s="443">
        <f>Model!AU393</f>
        <v>4.6941957827414948E-3</v>
      </c>
      <c r="AV65" s="443">
        <f>Model!AV393</f>
        <v>4.5060965900878096E-3</v>
      </c>
      <c r="AW65" s="443">
        <f>Model!AW393</f>
        <v>9.0649111437789177E-3</v>
      </c>
      <c r="AX65" s="962">
        <f>Model!AX393</f>
        <v>-4.2039145669269737E-3</v>
      </c>
      <c r="AY65" s="443">
        <f>Model!AY393</f>
        <v>0</v>
      </c>
      <c r="AZ65" s="443">
        <f>Model!AZ393</f>
        <v>0</v>
      </c>
      <c r="BA65" s="906">
        <v>0</v>
      </c>
      <c r="BB65" s="906">
        <v>0</v>
      </c>
      <c r="BC65" s="906">
        <v>0</v>
      </c>
      <c r="BD65" s="285"/>
    </row>
    <row r="66" spans="1:56" x14ac:dyDescent="0.25">
      <c r="A66" s="903" t="str">
        <f>Model!A394</f>
        <v>Accounts payable and accrued expenses, Y/Y Change, %</v>
      </c>
      <c r="B66" s="904"/>
      <c r="C66" s="444"/>
      <c r="D66" s="444"/>
      <c r="E66" s="444"/>
      <c r="F66" s="444"/>
      <c r="G66" s="444"/>
      <c r="H66" s="444"/>
      <c r="I66" s="444"/>
      <c r="J66" s="444"/>
      <c r="K66" s="444">
        <f>Model!K394</f>
        <v>-5.6818141437101483E-3</v>
      </c>
      <c r="L66" s="444">
        <f>Model!L394</f>
        <v>-8.47478002600692E-3</v>
      </c>
      <c r="M66" s="444">
        <f>Model!M394</f>
        <v>1.1067187607202239E-2</v>
      </c>
      <c r="N66" s="444">
        <f>Model!N394</f>
        <v>6.9666215254906155E-3</v>
      </c>
      <c r="O66" s="444">
        <f>Model!O394</f>
        <v>3.235289943748651E-3</v>
      </c>
      <c r="P66" s="444">
        <f>Model!P394</f>
        <v>-4.7124682990758587E-3</v>
      </c>
      <c r="Q66" s="445">
        <f>Model!Q394</f>
        <v>1.2738776806410376E-2</v>
      </c>
      <c r="R66" s="444">
        <f>Model!R394</f>
        <v>7.1148358900588321E-3</v>
      </c>
      <c r="S66" s="444">
        <f>Model!S394</f>
        <v>6.7172759050594943E-3</v>
      </c>
      <c r="T66" s="444">
        <f>Model!T394</f>
        <v>3.0696657443648967E-2</v>
      </c>
      <c r="U66" s="445">
        <f>Model!U394</f>
        <v>1.3868146381975061E-2</v>
      </c>
      <c r="V66" s="444">
        <f>Model!V394</f>
        <v>2.2050577444494013E-2</v>
      </c>
      <c r="W66" s="444">
        <f>Model!W394</f>
        <v>2.3352378593368597E-2</v>
      </c>
      <c r="X66" s="444">
        <f>Model!X394</f>
        <v>-1.9693616167283934E-3</v>
      </c>
      <c r="Y66" s="445">
        <f>Model!Y394</f>
        <v>-1.1809865123100477E-2</v>
      </c>
      <c r="Z66" s="444">
        <f>Model!Z394</f>
        <v>2.7290561029936183E-2</v>
      </c>
      <c r="AA66" s="444">
        <f>Model!AA394</f>
        <v>2.7683507881204744E-2</v>
      </c>
      <c r="AB66" s="444">
        <f>Model!AB394</f>
        <v>5.1904843072548001E-3</v>
      </c>
      <c r="AC66" s="445">
        <f>Model!AC394</f>
        <v>-4.1243708877167218E-4</v>
      </c>
      <c r="AD66" s="444">
        <f>Model!AD394</f>
        <v>-2.2724301448257322E-2</v>
      </c>
      <c r="AE66" s="444">
        <f>Model!AE394</f>
        <v>-4.2340496559755969E-2</v>
      </c>
      <c r="AF66" s="671">
        <f>Model!AF394</f>
        <v>-9.7853136490538839E-3</v>
      </c>
      <c r="AG66" s="905">
        <v>0</v>
      </c>
      <c r="AH66" s="905">
        <v>0</v>
      </c>
      <c r="AI66" s="905">
        <v>0</v>
      </c>
      <c r="AJ66" s="905">
        <v>0</v>
      </c>
      <c r="AK66" s="905">
        <v>0</v>
      </c>
      <c r="AL66" s="905">
        <v>0</v>
      </c>
      <c r="AM66" s="905"/>
      <c r="AN66" s="443"/>
      <c r="AO66" s="443">
        <f>Model!AO394</f>
        <v>1.8757687680221902E-2</v>
      </c>
      <c r="AP66" s="443">
        <f>Model!AP394</f>
        <v>1.7817009383002957E-3</v>
      </c>
      <c r="AQ66" s="443">
        <f>Model!AQ394</f>
        <v>-9.3855940401551402E-3</v>
      </c>
      <c r="AR66" s="443">
        <f>Model!AR394</f>
        <v>8.5459928212929109E-3</v>
      </c>
      <c r="AS66" s="443">
        <f>Model!AS394</f>
        <v>-9.1271598438270041E-3</v>
      </c>
      <c r="AT66" s="443">
        <f>Model!AT394</f>
        <v>6.9666215254906155E-3</v>
      </c>
      <c r="AU66" s="443">
        <f>Model!AU394</f>
        <v>7.1148358900588043E-3</v>
      </c>
      <c r="AV66" s="443">
        <f>Model!AV394</f>
        <v>2.2050577444494041E-2</v>
      </c>
      <c r="AW66" s="443">
        <f>Model!AW394</f>
        <v>2.7290561029936211E-2</v>
      </c>
      <c r="AX66" s="962">
        <f>Model!AX394</f>
        <v>-2.272430144825735E-2</v>
      </c>
      <c r="AY66" s="443">
        <f>Model!AY394</f>
        <v>0</v>
      </c>
      <c r="AZ66" s="443">
        <f>Model!AZ394</f>
        <v>0</v>
      </c>
      <c r="BA66" s="906">
        <v>0</v>
      </c>
      <c r="BB66" s="906">
        <v>0</v>
      </c>
      <c r="BC66" s="906">
        <v>0</v>
      </c>
      <c r="BD66" s="285"/>
    </row>
    <row r="67" spans="1:56" x14ac:dyDescent="0.25">
      <c r="A67" s="903"/>
      <c r="B67" s="904"/>
      <c r="C67" s="444"/>
      <c r="D67" s="444"/>
      <c r="E67" s="444"/>
      <c r="F67" s="444"/>
      <c r="G67" s="444"/>
      <c r="H67" s="444"/>
      <c r="I67" s="444"/>
      <c r="J67" s="444"/>
      <c r="K67" s="444"/>
      <c r="L67" s="444"/>
      <c r="M67" s="444"/>
      <c r="N67" s="444"/>
      <c r="O67" s="444"/>
      <c r="P67" s="444"/>
      <c r="Q67" s="445"/>
      <c r="R67" s="444"/>
      <c r="S67" s="444"/>
      <c r="T67" s="444"/>
      <c r="U67" s="445"/>
      <c r="V67" s="444"/>
      <c r="W67" s="444"/>
      <c r="X67" s="444"/>
      <c r="Y67" s="445"/>
      <c r="Z67" s="444"/>
      <c r="AA67" s="444"/>
      <c r="AB67" s="444"/>
      <c r="AC67" s="445"/>
      <c r="AD67" s="444"/>
      <c r="AE67" s="444"/>
      <c r="AF67" s="671"/>
      <c r="AG67" s="905"/>
      <c r="AH67" s="905"/>
      <c r="AI67" s="905"/>
      <c r="AJ67" s="905"/>
      <c r="AK67" s="905"/>
      <c r="AL67" s="905"/>
      <c r="AM67" s="905"/>
      <c r="AN67" s="443"/>
      <c r="AO67" s="443"/>
      <c r="AP67" s="443"/>
      <c r="AQ67" s="443"/>
      <c r="AR67" s="443"/>
      <c r="AS67" s="443"/>
      <c r="AT67" s="443"/>
      <c r="AU67" s="443"/>
      <c r="AV67" s="443"/>
      <c r="AW67" s="443"/>
      <c r="AX67" s="962"/>
      <c r="AY67" s="443"/>
      <c r="AZ67" s="443"/>
      <c r="BA67" s="906"/>
      <c r="BB67" s="906"/>
      <c r="BC67" s="906"/>
      <c r="BD67" s="285"/>
    </row>
    <row r="68" spans="1:56" x14ac:dyDescent="0.25">
      <c r="A68" s="297" t="s">
        <v>387</v>
      </c>
      <c r="B68" s="297"/>
      <c r="C68" s="461"/>
      <c r="D68" s="461"/>
      <c r="E68" s="461"/>
      <c r="F68" s="461"/>
      <c r="G68" s="461"/>
      <c r="H68" s="461"/>
      <c r="I68" s="461"/>
      <c r="J68" s="461"/>
      <c r="K68" s="461"/>
      <c r="L68" s="461"/>
      <c r="M68" s="461"/>
      <c r="N68" s="461"/>
      <c r="O68" s="461"/>
      <c r="P68" s="461"/>
      <c r="Q68" s="461"/>
      <c r="R68" s="461"/>
      <c r="S68" s="461"/>
      <c r="T68" s="461"/>
      <c r="U68" s="461"/>
      <c r="V68" s="461"/>
      <c r="W68" s="461"/>
      <c r="X68" s="461"/>
      <c r="Y68" s="461"/>
      <c r="Z68" s="461"/>
      <c r="AA68" s="461"/>
      <c r="AB68" s="461"/>
      <c r="AC68" s="461"/>
      <c r="AD68" s="461"/>
      <c r="AE68" s="461"/>
      <c r="AF68" s="915"/>
      <c r="AG68" s="461"/>
      <c r="AH68" s="297"/>
      <c r="AI68" s="297"/>
      <c r="AJ68" s="297"/>
      <c r="AK68" s="297"/>
      <c r="AL68" s="297"/>
      <c r="AM68" s="297"/>
      <c r="AN68" s="461"/>
      <c r="AO68" s="461"/>
      <c r="AP68" s="461"/>
      <c r="AQ68" s="461"/>
      <c r="AR68" s="461"/>
      <c r="AS68" s="461"/>
      <c r="AT68" s="461"/>
      <c r="AU68" s="461"/>
      <c r="AV68" s="461"/>
      <c r="AW68" s="461"/>
      <c r="AX68" s="915"/>
      <c r="AY68" s="297"/>
      <c r="AZ68" s="297"/>
      <c r="BA68" s="297"/>
      <c r="BB68" s="297"/>
      <c r="BC68" s="297"/>
      <c r="BD68" s="285"/>
    </row>
    <row r="69" spans="1:56" x14ac:dyDescent="0.25">
      <c r="A69" s="285"/>
      <c r="B69" s="285"/>
      <c r="C69" s="285"/>
      <c r="D69" s="285"/>
      <c r="E69" s="285"/>
      <c r="F69" s="285"/>
      <c r="G69" s="285"/>
      <c r="H69" s="285"/>
      <c r="I69" s="285"/>
      <c r="J69" s="285"/>
      <c r="K69" s="285"/>
      <c r="L69" s="285"/>
      <c r="M69" s="285"/>
      <c r="N69" s="285"/>
      <c r="O69" s="285"/>
      <c r="P69" s="285"/>
      <c r="Q69" s="285"/>
      <c r="R69" s="285"/>
      <c r="S69" s="285"/>
      <c r="T69" s="285"/>
      <c r="U69" s="285"/>
      <c r="V69" s="285"/>
      <c r="W69" s="285"/>
      <c r="X69" s="285"/>
      <c r="Y69" s="285"/>
      <c r="Z69" s="285"/>
      <c r="AA69" s="285"/>
      <c r="AB69" s="285"/>
      <c r="AC69" s="285"/>
      <c r="AD69" s="285"/>
      <c r="AE69" s="285"/>
      <c r="AF69" s="285"/>
      <c r="AG69" s="285"/>
      <c r="AH69" s="285"/>
      <c r="AI69" s="285"/>
      <c r="AJ69" s="285"/>
      <c r="AK69" s="285"/>
      <c r="AL69" s="285"/>
      <c r="AM69" s="285"/>
      <c r="AN69" s="285"/>
      <c r="AO69" s="285"/>
      <c r="AP69" s="285"/>
      <c r="AQ69" s="285"/>
      <c r="AR69" s="285"/>
      <c r="AS69" s="285"/>
      <c r="AT69" s="285"/>
      <c r="AU69" s="285"/>
      <c r="AV69" s="285"/>
      <c r="AW69" s="285"/>
      <c r="AX69" s="285"/>
      <c r="AY69" s="285"/>
      <c r="AZ69" s="285"/>
      <c r="BA69" s="285"/>
      <c r="BB69" s="285"/>
      <c r="BC69" s="285"/>
      <c r="BD69" s="285"/>
    </row>
  </sheetData>
  <pageMargins left="0.75" right="0.75" top="1" bottom="1" header="0.5" footer="0.5"/>
  <pageSetup orientation="portrait"/>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34AA38-57AD-4EC4-9C25-3D3DA60B971D}">
  <sheetPr codeName="Sheet2">
    <pageSetUpPr fitToPage="1"/>
  </sheetPr>
  <dimension ref="A1:BD552"/>
  <sheetViews>
    <sheetView tabSelected="1" zoomScale="85" zoomScaleNormal="85" workbookViewId="0">
      <pane xSplit="2" ySplit="5" topLeftCell="C6" activePane="bottomRight" state="frozen"/>
      <selection pane="topRight" activeCell="C1" sqref="C1"/>
      <selection pane="bottomLeft" activeCell="A6" sqref="A6"/>
      <selection pane="bottomRight"/>
    </sheetView>
  </sheetViews>
  <sheetFormatPr defaultColWidth="9.140625" defaultRowHeight="15" outlineLevelRow="1" outlineLevelCol="1" x14ac:dyDescent="0.25"/>
  <cols>
    <col min="1" max="1" width="50.5703125" customWidth="1"/>
    <col min="2" max="2" width="9.7109375" customWidth="1"/>
    <col min="3" max="10" width="9.7109375" hidden="1" customWidth="1" outlineLevel="1"/>
    <col min="11" max="11" width="9.7109375" hidden="1" customWidth="1" outlineLevel="1" collapsed="1"/>
    <col min="12" max="15" width="9.7109375" hidden="1" customWidth="1" outlineLevel="1"/>
    <col min="16" max="16" width="9.7109375" hidden="1" customWidth="1" outlineLevel="1" collapsed="1"/>
    <col min="17" max="20" width="9.7109375" hidden="1" customWidth="1" outlineLevel="1"/>
    <col min="21" max="21" width="9.7109375" hidden="1" customWidth="1" outlineLevel="1" collapsed="1"/>
    <col min="22" max="23" width="9.7109375" hidden="1" customWidth="1" outlineLevel="1"/>
    <col min="24" max="24" width="9.7109375" style="196" hidden="1" customWidth="1" outlineLevel="1"/>
    <col min="25" max="25" width="9.7109375" hidden="1" customWidth="1" outlineLevel="1"/>
    <col min="26" max="26" width="9.7109375" hidden="1" customWidth="1" outlineLevel="1" collapsed="1"/>
    <col min="27" max="27" width="9.7109375" customWidth="1" collapsed="1"/>
    <col min="28" max="30" width="9.7109375" customWidth="1"/>
    <col min="31" max="31" width="9.7109375" customWidth="1" collapsed="1"/>
    <col min="32" max="35" width="9.7109375" customWidth="1"/>
    <col min="36" max="36" width="9.7109375" customWidth="1" collapsed="1"/>
    <col min="37" max="38" width="9.7109375" customWidth="1"/>
    <col min="39" max="39" width="9.7109375"/>
    <col min="40" max="47" width="9.7109375" hidden="1" customWidth="1" outlineLevel="1"/>
    <col min="48" max="48" width="9.7109375" customWidth="1" collapsed="1"/>
    <col min="49" max="56" width="9.7109375" customWidth="1"/>
  </cols>
  <sheetData>
    <row r="1" spans="1:56" s="39" customFormat="1" ht="28.5" customHeight="1" x14ac:dyDescent="0.45">
      <c r="A1" s="95" t="s">
        <v>10</v>
      </c>
      <c r="B1" s="631"/>
      <c r="C1" s="627"/>
      <c r="D1" s="627"/>
      <c r="E1" s="627"/>
      <c r="F1" s="627"/>
      <c r="G1" s="627"/>
      <c r="H1" s="627"/>
      <c r="I1" s="627"/>
      <c r="J1" s="627"/>
      <c r="K1" s="627"/>
      <c r="L1" s="627"/>
      <c r="M1" s="627"/>
      <c r="N1" s="627"/>
      <c r="O1" s="627"/>
      <c r="P1" s="627"/>
      <c r="Q1" s="628"/>
      <c r="R1" s="627"/>
      <c r="S1" s="627"/>
      <c r="T1" s="627"/>
      <c r="U1" s="627"/>
      <c r="V1" s="627"/>
      <c r="W1" s="627"/>
      <c r="X1" s="627"/>
      <c r="Y1" s="627"/>
      <c r="Z1" s="627"/>
      <c r="AA1" s="627"/>
      <c r="AB1" s="627"/>
      <c r="AC1" s="627"/>
      <c r="AD1" s="627"/>
      <c r="AE1" s="627"/>
      <c r="AF1" s="646"/>
      <c r="AG1" s="631"/>
      <c r="AH1" s="631"/>
      <c r="AI1" s="631"/>
      <c r="AJ1" s="631"/>
      <c r="AK1" s="631"/>
      <c r="AL1" s="631"/>
      <c r="AM1" s="631"/>
      <c r="AN1" s="627"/>
      <c r="AO1" s="627"/>
      <c r="AP1" s="627"/>
      <c r="AQ1" s="627"/>
      <c r="AR1" s="627"/>
      <c r="AS1" s="627"/>
      <c r="AT1" s="627"/>
      <c r="AU1" s="627"/>
      <c r="AV1" s="627"/>
      <c r="AW1" s="627"/>
      <c r="AX1" s="727"/>
      <c r="AY1" s="631"/>
      <c r="AZ1" s="631"/>
      <c r="BA1" s="631"/>
      <c r="BB1" s="631"/>
      <c r="BC1" s="631"/>
      <c r="BD1" s="28"/>
    </row>
    <row r="2" spans="1:56" s="26" customFormat="1" x14ac:dyDescent="0.25">
      <c r="A2" s="525" t="str">
        <f>CHOOSE(MO.DataSourceIndex,MO.Ticker.Bloomberg,MO.Ticker.CapIQ,MO.Ticker.FactSet,MO.Ticker.Thomson)</f>
        <v>GPX US</v>
      </c>
      <c r="B2" s="241"/>
      <c r="C2" s="375"/>
      <c r="D2" s="375"/>
      <c r="E2" s="375"/>
      <c r="F2" s="375"/>
      <c r="G2" s="375"/>
      <c r="H2" s="375"/>
      <c r="I2" s="375"/>
      <c r="J2" s="375"/>
      <c r="K2" s="375"/>
      <c r="L2" s="375"/>
      <c r="M2" s="375"/>
      <c r="N2" s="375"/>
      <c r="O2" s="375"/>
      <c r="P2" s="375"/>
      <c r="Q2" s="376"/>
      <c r="R2" s="375"/>
      <c r="S2" s="377" t="s">
        <v>11</v>
      </c>
      <c r="T2" s="377" t="s">
        <v>11</v>
      </c>
      <c r="U2" s="377" t="s">
        <v>11</v>
      </c>
      <c r="V2" s="377" t="s">
        <v>11</v>
      </c>
      <c r="W2" s="377"/>
      <c r="X2" s="377"/>
      <c r="Y2" s="377"/>
      <c r="Z2" s="377"/>
      <c r="AA2" s="375"/>
      <c r="AB2" s="377"/>
      <c r="AC2" s="377"/>
      <c r="AD2" s="377"/>
      <c r="AE2" s="375"/>
      <c r="AF2" s="638" t="s">
        <v>472</v>
      </c>
      <c r="AG2" s="76"/>
      <c r="AH2" s="76"/>
      <c r="AI2" s="76"/>
      <c r="AJ2" s="76"/>
      <c r="AK2" s="76"/>
      <c r="AL2" s="76"/>
      <c r="AM2" s="76"/>
      <c r="AN2" s="374">
        <f>EOMONTH(AN4,-12)</f>
        <v>39813</v>
      </c>
      <c r="AO2" s="375"/>
      <c r="AP2" s="375"/>
      <c r="AQ2" s="375"/>
      <c r="AR2" s="375"/>
      <c r="AS2" s="375"/>
      <c r="AT2" s="375"/>
      <c r="AU2" s="375"/>
      <c r="AV2" s="377" t="s">
        <v>11</v>
      </c>
      <c r="AW2" s="377"/>
      <c r="AX2" s="638"/>
      <c r="AY2" s="76"/>
      <c r="AZ2" s="76"/>
      <c r="BA2" s="76"/>
      <c r="BB2" s="76"/>
      <c r="BC2" s="76"/>
      <c r="BD2" s="25"/>
    </row>
    <row r="3" spans="1:56" s="29" customFormat="1" x14ac:dyDescent="0.25">
      <c r="A3" s="278" t="str">
        <f ca="1">HP.TradeCurrency</f>
        <v>USD</v>
      </c>
      <c r="B3" s="228">
        <f ca="1">Drivers!B3</f>
        <v>8.1999999999999993</v>
      </c>
      <c r="C3" s="378">
        <f>C4-AQ4</f>
        <v>90</v>
      </c>
      <c r="D3" s="378">
        <f>D4-C4</f>
        <v>91</v>
      </c>
      <c r="E3" s="378">
        <f>E4-D4</f>
        <v>92</v>
      </c>
      <c r="F3" s="378">
        <f>F4-E4</f>
        <v>92</v>
      </c>
      <c r="G3" s="378">
        <f>G4-AR4</f>
        <v>90</v>
      </c>
      <c r="H3" s="378">
        <f>H4-G4</f>
        <v>91</v>
      </c>
      <c r="I3" s="378">
        <f>I4-H4</f>
        <v>92</v>
      </c>
      <c r="J3" s="378">
        <f>J4-I4</f>
        <v>92</v>
      </c>
      <c r="K3" s="378">
        <f>K4-AS4</f>
        <v>90</v>
      </c>
      <c r="L3" s="378">
        <f>L4-K4</f>
        <v>91</v>
      </c>
      <c r="M3" s="378">
        <f>M4-L4</f>
        <v>92</v>
      </c>
      <c r="N3" s="378">
        <f>N4-M4</f>
        <v>92</v>
      </c>
      <c r="O3" s="378">
        <f>O4-AT4</f>
        <v>91</v>
      </c>
      <c r="P3" s="378">
        <f>P4-O4</f>
        <v>91</v>
      </c>
      <c r="Q3" s="379">
        <f>Q4-P4</f>
        <v>92</v>
      </c>
      <c r="R3" s="378">
        <f>R4-Q4</f>
        <v>92</v>
      </c>
      <c r="S3" s="378">
        <f>S4-AU4</f>
        <v>90</v>
      </c>
      <c r="T3" s="378">
        <f>T4-S4</f>
        <v>91</v>
      </c>
      <c r="U3" s="379">
        <f>U4-T4</f>
        <v>92</v>
      </c>
      <c r="V3" s="380">
        <f>V4-U4</f>
        <v>92</v>
      </c>
      <c r="W3" s="378">
        <f>W4-AV4</f>
        <v>90</v>
      </c>
      <c r="X3" s="378">
        <f>X4-W4</f>
        <v>91</v>
      </c>
      <c r="Y3" s="379">
        <f>Y4-X4</f>
        <v>92</v>
      </c>
      <c r="Z3" s="380">
        <f>Z4-Y4</f>
        <v>92</v>
      </c>
      <c r="AA3" s="378">
        <f>AA4-AW4</f>
        <v>90</v>
      </c>
      <c r="AB3" s="378">
        <f>AB4-AA4</f>
        <v>91</v>
      </c>
      <c r="AC3" s="379">
        <f>AC4-AB4</f>
        <v>92</v>
      </c>
      <c r="AD3" s="380">
        <f>AD4-AC4</f>
        <v>92</v>
      </c>
      <c r="AE3" s="378">
        <f>AE4-AX4</f>
        <v>91</v>
      </c>
      <c r="AF3" s="639">
        <f>AF4-AE4</f>
        <v>91</v>
      </c>
      <c r="AG3" s="197">
        <f>AG4-AF4</f>
        <v>92</v>
      </c>
      <c r="AH3" s="197">
        <f>AH4-AG4</f>
        <v>92</v>
      </c>
      <c r="AI3" s="197">
        <f>AI4-AY4</f>
        <v>90</v>
      </c>
      <c r="AJ3" s="197">
        <f>AJ4-AI4</f>
        <v>91</v>
      </c>
      <c r="AK3" s="197">
        <f>AK4-AJ4</f>
        <v>92</v>
      </c>
      <c r="AL3" s="197">
        <f>AL4-AK4</f>
        <v>92</v>
      </c>
      <c r="AM3" s="197"/>
      <c r="AN3" s="378">
        <f>AN4-AN2</f>
        <v>365</v>
      </c>
      <c r="AO3" s="378">
        <f t="shared" ref="AO3:BC3" si="0">AO4-AN4</f>
        <v>365</v>
      </c>
      <c r="AP3" s="378">
        <f t="shared" si="0"/>
        <v>365</v>
      </c>
      <c r="AQ3" s="378">
        <f t="shared" si="0"/>
        <v>366</v>
      </c>
      <c r="AR3" s="378">
        <f t="shared" si="0"/>
        <v>365</v>
      </c>
      <c r="AS3" s="378">
        <f t="shared" si="0"/>
        <v>365</v>
      </c>
      <c r="AT3" s="378">
        <f t="shared" si="0"/>
        <v>365</v>
      </c>
      <c r="AU3" s="378">
        <f t="shared" si="0"/>
        <v>366</v>
      </c>
      <c r="AV3" s="380">
        <f t="shared" si="0"/>
        <v>365</v>
      </c>
      <c r="AW3" s="380">
        <f t="shared" si="0"/>
        <v>365</v>
      </c>
      <c r="AX3" s="916">
        <f t="shared" si="0"/>
        <v>365</v>
      </c>
      <c r="AY3" s="197">
        <f t="shared" si="0"/>
        <v>366</v>
      </c>
      <c r="AZ3" s="197">
        <f t="shared" si="0"/>
        <v>365</v>
      </c>
      <c r="BA3" s="197">
        <f t="shared" si="0"/>
        <v>365</v>
      </c>
      <c r="BB3" s="197">
        <f t="shared" si="0"/>
        <v>365</v>
      </c>
      <c r="BC3" s="197">
        <f t="shared" si="0"/>
        <v>366</v>
      </c>
      <c r="BD3" s="30"/>
    </row>
    <row r="4" spans="1:56" s="27" customFormat="1" x14ac:dyDescent="0.25">
      <c r="A4" s="279" t="str">
        <f>FP.DataSourceName</f>
        <v>Bloomberg</v>
      </c>
      <c r="B4" s="280" t="str">
        <f ca="1">IF(AND(MO.RealTimeStockPriceToggle,MO.LastPriceFormula&lt;&gt;"N/A"),"ON","OFF")</f>
        <v>OFF</v>
      </c>
      <c r="C4" s="382">
        <f>EOMONTH(AQ4,3)</f>
        <v>41364</v>
      </c>
      <c r="D4" s="382">
        <f>EOMONTH(C4,3)</f>
        <v>41455</v>
      </c>
      <c r="E4" s="382">
        <f>EOMONTH(D4,3)</f>
        <v>41547</v>
      </c>
      <c r="F4" s="382">
        <f>EOMONTH(E4,3)</f>
        <v>41639</v>
      </c>
      <c r="G4" s="382">
        <f>EOMONTH(AR4,3)</f>
        <v>41729</v>
      </c>
      <c r="H4" s="382">
        <f>EOMONTH(G4,3)</f>
        <v>41820</v>
      </c>
      <c r="I4" s="382">
        <f>EOMONTH(H4,3)</f>
        <v>41912</v>
      </c>
      <c r="J4" s="382">
        <f>EOMONTH(I4,3)</f>
        <v>42004</v>
      </c>
      <c r="K4" s="382">
        <f>EOMONTH(AS4,3)</f>
        <v>42094</v>
      </c>
      <c r="L4" s="382">
        <f>EOMONTH(K4,3)</f>
        <v>42185</v>
      </c>
      <c r="M4" s="382">
        <f>EOMONTH(L4,3)</f>
        <v>42277</v>
      </c>
      <c r="N4" s="382">
        <f>EOMONTH(M4,3)</f>
        <v>42369</v>
      </c>
      <c r="O4" s="382">
        <f>EOMONTH(AT4,3)</f>
        <v>42460</v>
      </c>
      <c r="P4" s="382">
        <f>EOMONTH(O4,3)</f>
        <v>42551</v>
      </c>
      <c r="Q4" s="382">
        <f>EOMONTH(P4,3)</f>
        <v>42643</v>
      </c>
      <c r="R4" s="382">
        <f>EOMONTH(Q4,3)</f>
        <v>42735</v>
      </c>
      <c r="S4" s="382">
        <f>EOMONTH(AU4,3)</f>
        <v>42825</v>
      </c>
      <c r="T4" s="382">
        <f>EOMONTH(S4,3)</f>
        <v>42916</v>
      </c>
      <c r="U4" s="382">
        <f>EOMONTH(T4,3)</f>
        <v>43008</v>
      </c>
      <c r="V4" s="383">
        <f>EOMONTH(U4,3)</f>
        <v>43100</v>
      </c>
      <c r="W4" s="382">
        <f>EOMONTH(AV4,3)</f>
        <v>43190</v>
      </c>
      <c r="X4" s="382">
        <f>EOMONTH(W4,3)</f>
        <v>43281</v>
      </c>
      <c r="Y4" s="382">
        <f>EOMONTH(X4,3)</f>
        <v>43373</v>
      </c>
      <c r="Z4" s="383">
        <f>EOMONTH(Y4,3)</f>
        <v>43465</v>
      </c>
      <c r="AA4" s="382">
        <f>EOMONTH(AW4,3)</f>
        <v>43555</v>
      </c>
      <c r="AB4" s="382">
        <f>EOMONTH(AA4,3)</f>
        <v>43646</v>
      </c>
      <c r="AC4" s="382">
        <f>EOMONTH(AB4,3)</f>
        <v>43738</v>
      </c>
      <c r="AD4" s="383">
        <f>EOMONTH(AC4,3)</f>
        <v>43830</v>
      </c>
      <c r="AE4" s="382">
        <f>EOMONTH(AX4,3)</f>
        <v>43921</v>
      </c>
      <c r="AF4" s="640">
        <f>EOMONTH(AE4,3)</f>
        <v>44012</v>
      </c>
      <c r="AG4" s="198">
        <f>EOMONTH(AF4,3)</f>
        <v>44104</v>
      </c>
      <c r="AH4" s="198">
        <f>EOMONTH(AG4,3)</f>
        <v>44196</v>
      </c>
      <c r="AI4" s="198">
        <f>EOMONTH(AY4,3)</f>
        <v>44286</v>
      </c>
      <c r="AJ4" s="198">
        <f>EOMONTH(AI4,3)</f>
        <v>44377</v>
      </c>
      <c r="AK4" s="198">
        <f>EOMONTH(AJ4,3)</f>
        <v>44469</v>
      </c>
      <c r="AL4" s="198">
        <f>EOMONTH(AK4,3)</f>
        <v>44561</v>
      </c>
      <c r="AM4" s="198"/>
      <c r="AN4" s="381">
        <v>40178</v>
      </c>
      <c r="AO4" s="382">
        <f>EOMONTH(AN4,12)</f>
        <v>40543</v>
      </c>
      <c r="AP4" s="382">
        <f>EOMONTH(AO4,12)</f>
        <v>40908</v>
      </c>
      <c r="AQ4" s="382">
        <f>EOMONTH(AP4,12)</f>
        <v>41274</v>
      </c>
      <c r="AR4" s="382">
        <f>F4</f>
        <v>41639</v>
      </c>
      <c r="AS4" s="382">
        <f>J4</f>
        <v>42004</v>
      </c>
      <c r="AT4" s="382">
        <f>N4</f>
        <v>42369</v>
      </c>
      <c r="AU4" s="382">
        <f>R4</f>
        <v>42735</v>
      </c>
      <c r="AV4" s="383">
        <f>V4</f>
        <v>43100</v>
      </c>
      <c r="AW4" s="383">
        <f>Z4</f>
        <v>43465</v>
      </c>
      <c r="AX4" s="917">
        <f>AD4</f>
        <v>43830</v>
      </c>
      <c r="AY4" s="198">
        <f>AH4</f>
        <v>44196</v>
      </c>
      <c r="AZ4" s="198">
        <f>AL4</f>
        <v>44561</v>
      </c>
      <c r="BA4" s="198">
        <f>EOMONTH(AZ4,12)</f>
        <v>44926</v>
      </c>
      <c r="BB4" s="198">
        <f>EOMONTH(BA4,12)</f>
        <v>45291</v>
      </c>
      <c r="BC4" s="198">
        <f>EOMONTH(BB4,12)</f>
        <v>45657</v>
      </c>
      <c r="BD4" s="23"/>
    </row>
    <row r="5" spans="1:56" s="26" customFormat="1" x14ac:dyDescent="0.25">
      <c r="A5" s="103" t="str">
        <f>MO.ReportCurrency</f>
        <v>USD</v>
      </c>
      <c r="B5" s="229"/>
      <c r="C5" s="384" t="str">
        <f>CONCATENATE("Q1","-",RIGHT(AQ5,4)+1)</f>
        <v>Q1-2013</v>
      </c>
      <c r="D5" s="384" t="str">
        <f>CONCATENATE("Q2","-",RIGHT(C5,4))</f>
        <v>Q2-2013</v>
      </c>
      <c r="E5" s="384" t="str">
        <f>CONCATENATE("Q3","-",RIGHT(D5,4))</f>
        <v>Q3-2013</v>
      </c>
      <c r="F5" s="384" t="str">
        <f>CONCATENATE("Q4","-",RIGHT(E5,4))</f>
        <v>Q4-2013</v>
      </c>
      <c r="G5" s="384" t="str">
        <f>CONCATENATE("Q1","-",RIGHT(AR5,4)+1)</f>
        <v>Q1-2014</v>
      </c>
      <c r="H5" s="384" t="str">
        <f>CONCATENATE("Q2","-",RIGHT(G5,4))</f>
        <v>Q2-2014</v>
      </c>
      <c r="I5" s="384" t="str">
        <f>CONCATENATE("Q3","-",RIGHT(H5,4))</f>
        <v>Q3-2014</v>
      </c>
      <c r="J5" s="384" t="str">
        <f>CONCATENATE("Q4","-",RIGHT(I5,4))</f>
        <v>Q4-2014</v>
      </c>
      <c r="K5" s="384" t="str">
        <f>CONCATENATE("Q1","-",RIGHT(AS5,4)+1)</f>
        <v>Q1-2015</v>
      </c>
      <c r="L5" s="384" t="str">
        <f>CONCATENATE("Q2","-",RIGHT(K5,4))</f>
        <v>Q2-2015</v>
      </c>
      <c r="M5" s="384" t="str">
        <f>CONCATENATE("Q3","-",RIGHT(L5,4))</f>
        <v>Q3-2015</v>
      </c>
      <c r="N5" s="384" t="str">
        <f>CONCATENATE("Q4","-",RIGHT(M5,4))</f>
        <v>Q4-2015</v>
      </c>
      <c r="O5" s="384" t="str">
        <f>CONCATENATE("Q1","-",RIGHT(AT5,4)+1)</f>
        <v>Q1-2016</v>
      </c>
      <c r="P5" s="384" t="str">
        <f>CONCATENATE("Q2","-",RIGHT(O5,4))</f>
        <v>Q2-2016</v>
      </c>
      <c r="Q5" s="384" t="str">
        <f>CONCATENATE("Q3","-",RIGHT(P5,4))</f>
        <v>Q3-2016</v>
      </c>
      <c r="R5" s="384" t="str">
        <f>CONCATENATE("Q4","-",RIGHT(Q5,4))</f>
        <v>Q4-2016</v>
      </c>
      <c r="S5" s="384" t="str">
        <f>CONCATENATE("Q1","-",RIGHT(AU5,4)+1)</f>
        <v>Q1-2017</v>
      </c>
      <c r="T5" s="384" t="str">
        <f>CONCATENATE("Q2","-",RIGHT(S5,4))</f>
        <v>Q2-2017</v>
      </c>
      <c r="U5" s="384" t="str">
        <f>CONCATENATE("Q3","-",RIGHT(T5,4))</f>
        <v>Q3-2017</v>
      </c>
      <c r="V5" s="385" t="str">
        <f>CONCATENATE("Q4","-",RIGHT(U5,4))</f>
        <v>Q4-2017</v>
      </c>
      <c r="W5" s="384" t="str">
        <f>CONCATENATE("Q1","-",RIGHT(AV5,4)+1)</f>
        <v>Q1-2018</v>
      </c>
      <c r="X5" s="384" t="str">
        <f>CONCATENATE("Q2","-",RIGHT(W5,4))</f>
        <v>Q2-2018</v>
      </c>
      <c r="Y5" s="384" t="str">
        <f>CONCATENATE("Q3","-",RIGHT(X5,4))</f>
        <v>Q3-2018</v>
      </c>
      <c r="Z5" s="385" t="str">
        <f>CONCATENATE("Q4","-",RIGHT(Y5,4))</f>
        <v>Q4-2018</v>
      </c>
      <c r="AA5" s="384" t="str">
        <f>CONCATENATE("Q1","-",RIGHT(AW5,4)+1)</f>
        <v>Q1-2019</v>
      </c>
      <c r="AB5" s="384" t="str">
        <f>CONCATENATE("Q2","-",RIGHT(AA5,4))</f>
        <v>Q2-2019</v>
      </c>
      <c r="AC5" s="384" t="str">
        <f>CONCATENATE("Q3","-",RIGHT(AB5,4))</f>
        <v>Q3-2019</v>
      </c>
      <c r="AD5" s="385" t="str">
        <f>CONCATENATE("Q4","-",RIGHT(AC5,4))</f>
        <v>Q4-2019</v>
      </c>
      <c r="AE5" s="384" t="str">
        <f>CONCATENATE("Q1","-",RIGHT(AX5,4)+1)</f>
        <v>Q1-2020</v>
      </c>
      <c r="AF5" s="641" t="str">
        <f>CONCATENATE("Q2","-",RIGHT(AE5,4))</f>
        <v>Q2-2020</v>
      </c>
      <c r="AG5" s="199" t="str">
        <f>CONCATENATE("Q3","-",RIGHT(AF5,4))</f>
        <v>Q3-2020</v>
      </c>
      <c r="AH5" s="199" t="str">
        <f>CONCATENATE("Q4","-",RIGHT(AG5,4))</f>
        <v>Q4-2020</v>
      </c>
      <c r="AI5" s="199" t="str">
        <f>CONCATENATE("Q1","-",RIGHT(AY5,4)+1)</f>
        <v>Q1-2021</v>
      </c>
      <c r="AJ5" s="199" t="str">
        <f>CONCATENATE("Q2","-",RIGHT(AI5,4))</f>
        <v>Q2-2021</v>
      </c>
      <c r="AK5" s="199" t="str">
        <f>CONCATENATE("Q3","-",RIGHT(AJ5,4))</f>
        <v>Q3-2021</v>
      </c>
      <c r="AL5" s="199" t="str">
        <f>CONCATENATE("Q4","-",RIGHT(AK5,4))</f>
        <v>Q4-2021</v>
      </c>
      <c r="AM5" s="199"/>
      <c r="AN5" s="523" t="s">
        <v>13</v>
      </c>
      <c r="AO5" s="384" t="str">
        <f t="shared" ref="AO5:BC5" si="1">CONCATENATE("FY",RIGHT(AN5,4)+1)</f>
        <v>FY2010</v>
      </c>
      <c r="AP5" s="384" t="str">
        <f t="shared" si="1"/>
        <v>FY2011</v>
      </c>
      <c r="AQ5" s="384" t="str">
        <f t="shared" si="1"/>
        <v>FY2012</v>
      </c>
      <c r="AR5" s="384" t="str">
        <f t="shared" si="1"/>
        <v>FY2013</v>
      </c>
      <c r="AS5" s="384" t="str">
        <f t="shared" si="1"/>
        <v>FY2014</v>
      </c>
      <c r="AT5" s="384" t="str">
        <f t="shared" si="1"/>
        <v>FY2015</v>
      </c>
      <c r="AU5" s="384" t="str">
        <f t="shared" si="1"/>
        <v>FY2016</v>
      </c>
      <c r="AV5" s="385" t="str">
        <f t="shared" si="1"/>
        <v>FY2017</v>
      </c>
      <c r="AW5" s="385" t="str">
        <f t="shared" si="1"/>
        <v>FY2018</v>
      </c>
      <c r="AX5" s="918" t="str">
        <f t="shared" si="1"/>
        <v>FY2019</v>
      </c>
      <c r="AY5" s="199" t="str">
        <f t="shared" si="1"/>
        <v>FY2020</v>
      </c>
      <c r="AZ5" s="199" t="str">
        <f t="shared" si="1"/>
        <v>FY2021</v>
      </c>
      <c r="BA5" s="199" t="str">
        <f t="shared" si="1"/>
        <v>FY2022</v>
      </c>
      <c r="BB5" s="199" t="str">
        <f t="shared" si="1"/>
        <v>FY2023</v>
      </c>
      <c r="BC5" s="199" t="str">
        <f t="shared" si="1"/>
        <v>FY2024</v>
      </c>
      <c r="BD5" s="128"/>
    </row>
    <row r="6" spans="1:56" s="31" customFormat="1" x14ac:dyDescent="0.25">
      <c r="A6" s="69" t="s">
        <v>14</v>
      </c>
      <c r="B6" s="69"/>
      <c r="C6" s="386"/>
      <c r="D6" s="386"/>
      <c r="E6" s="386"/>
      <c r="F6" s="386"/>
      <c r="G6" s="386"/>
      <c r="H6" s="386"/>
      <c r="I6" s="386"/>
      <c r="J6" s="386"/>
      <c r="K6" s="386"/>
      <c r="L6" s="386"/>
      <c r="M6" s="386"/>
      <c r="N6" s="386"/>
      <c r="O6" s="386"/>
      <c r="P6" s="386"/>
      <c r="Q6" s="386"/>
      <c r="R6" s="386"/>
      <c r="S6" s="386"/>
      <c r="T6" s="386"/>
      <c r="U6" s="386"/>
      <c r="V6" s="386"/>
      <c r="W6" s="386"/>
      <c r="X6" s="386"/>
      <c r="Y6" s="386"/>
      <c r="Z6" s="386"/>
      <c r="AA6" s="386"/>
      <c r="AB6" s="386"/>
      <c r="AC6" s="386"/>
      <c r="AD6" s="386"/>
      <c r="AE6" s="386"/>
      <c r="AF6" s="642"/>
      <c r="AG6" s="69"/>
      <c r="AH6" s="69"/>
      <c r="AI6" s="69"/>
      <c r="AJ6" s="69"/>
      <c r="AK6" s="69"/>
      <c r="AL6" s="69"/>
      <c r="AM6" s="69"/>
      <c r="AN6" s="386"/>
      <c r="AO6" s="386"/>
      <c r="AP6" s="386"/>
      <c r="AQ6" s="386"/>
      <c r="AR6" s="386"/>
      <c r="AS6" s="386"/>
      <c r="AT6" s="386"/>
      <c r="AU6" s="386"/>
      <c r="AV6" s="386"/>
      <c r="AW6" s="386"/>
      <c r="AX6" s="642"/>
      <c r="AY6" s="69"/>
      <c r="AZ6" s="69"/>
      <c r="BA6" s="69"/>
      <c r="BB6" s="69"/>
      <c r="BC6" s="69"/>
      <c r="BD6" s="72"/>
    </row>
    <row r="7" spans="1:56" s="32" customFormat="1" x14ac:dyDescent="0.25">
      <c r="A7" s="96" t="s">
        <v>15</v>
      </c>
      <c r="B7" s="156"/>
      <c r="C7" s="388"/>
      <c r="D7" s="388"/>
      <c r="E7" s="388"/>
      <c r="F7" s="388"/>
      <c r="G7" s="388"/>
      <c r="H7" s="388"/>
      <c r="I7" s="388"/>
      <c r="J7" s="388"/>
      <c r="K7" s="388"/>
      <c r="L7" s="388"/>
      <c r="M7" s="388"/>
      <c r="N7" s="388"/>
      <c r="O7" s="388"/>
      <c r="P7" s="388"/>
      <c r="Q7" s="389"/>
      <c r="R7" s="388"/>
      <c r="S7" s="388"/>
      <c r="T7" s="388"/>
      <c r="U7" s="389"/>
      <c r="V7" s="388"/>
      <c r="W7" s="388">
        <f t="shared" ref="W7:AD8" si="2">W27/S27-1</f>
        <v>4.0367331534880924E-2</v>
      </c>
      <c r="X7" s="388">
        <f t="shared" si="2"/>
        <v>5.555555555555558E-2</v>
      </c>
      <c r="Y7" s="389">
        <f t="shared" si="2"/>
        <v>4.5363662330243359E-2</v>
      </c>
      <c r="Z7" s="388">
        <f t="shared" si="2"/>
        <v>-2.4515311611006729E-2</v>
      </c>
      <c r="AA7" s="388">
        <f t="shared" si="2"/>
        <v>6.7431580927301837E-2</v>
      </c>
      <c r="AB7" s="388">
        <f t="shared" si="2"/>
        <v>1.0005482456140413E-2</v>
      </c>
      <c r="AC7" s="389">
        <f t="shared" si="2"/>
        <v>2.451686621292648E-2</v>
      </c>
      <c r="AD7" s="388">
        <f t="shared" si="2"/>
        <v>6.3533102155346688E-2</v>
      </c>
      <c r="AE7" s="388">
        <f>AE27/81.478-1</f>
        <v>-8.7140086894621827E-2</v>
      </c>
      <c r="AF7" s="643">
        <f>AF27/83.903-1</f>
        <v>-0.21562995363693782</v>
      </c>
      <c r="AG7" s="200"/>
      <c r="AH7" s="200"/>
      <c r="AI7" s="877">
        <f>Drivers!AI30</f>
        <v>7.0000000000000007E-2</v>
      </c>
      <c r="AJ7" s="877">
        <f>Drivers!AJ30</f>
        <v>0.12</v>
      </c>
      <c r="AK7" s="877">
        <f>Drivers!AK30</f>
        <v>0.01</v>
      </c>
      <c r="AL7" s="877">
        <f>Drivers!AL30</f>
        <v>0.01</v>
      </c>
      <c r="AM7" s="877"/>
      <c r="AN7" s="387"/>
      <c r="AO7" s="387"/>
      <c r="AP7" s="387"/>
      <c r="AQ7" s="387"/>
      <c r="AR7" s="387"/>
      <c r="AS7" s="387"/>
      <c r="AT7" s="387"/>
      <c r="AU7" s="387"/>
      <c r="AV7" s="387"/>
      <c r="AW7" s="387">
        <f>AW27/AV27-1</f>
        <v>2.7752636581575896E-2</v>
      </c>
      <c r="AX7" s="919">
        <f>AX27/AW27-1</f>
        <v>4.097356808726893E-2</v>
      </c>
      <c r="AY7" s="136"/>
      <c r="AZ7" s="136">
        <f>AZ27/AY27-1</f>
        <v>4.8343092313287706E-2</v>
      </c>
      <c r="BA7" s="877">
        <f>Drivers!BA30</f>
        <v>0.1</v>
      </c>
      <c r="BB7" s="877">
        <f>Drivers!BB30</f>
        <v>0.1</v>
      </c>
      <c r="BC7" s="877">
        <f>Drivers!BC30</f>
        <v>0.05</v>
      </c>
      <c r="BD7" s="168"/>
    </row>
    <row r="8" spans="1:56" s="32" customFormat="1" x14ac:dyDescent="0.25">
      <c r="A8" s="96" t="s">
        <v>16</v>
      </c>
      <c r="B8" s="156"/>
      <c r="C8" s="388"/>
      <c r="D8" s="388"/>
      <c r="E8" s="388"/>
      <c r="F8" s="388"/>
      <c r="G8" s="388"/>
      <c r="H8" s="388"/>
      <c r="I8" s="388"/>
      <c r="J8" s="388"/>
      <c r="K8" s="388"/>
      <c r="L8" s="388"/>
      <c r="M8" s="388"/>
      <c r="N8" s="388"/>
      <c r="O8" s="388"/>
      <c r="P8" s="388"/>
      <c r="Q8" s="389"/>
      <c r="R8" s="388"/>
      <c r="S8" s="388"/>
      <c r="T8" s="388"/>
      <c r="U8" s="389"/>
      <c r="V8" s="388"/>
      <c r="W8" s="388">
        <f t="shared" si="2"/>
        <v>-5.9523809523810423E-3</v>
      </c>
      <c r="X8" s="388">
        <f t="shared" si="2"/>
        <v>-3.072792903916266E-2</v>
      </c>
      <c r="Y8" s="389">
        <f t="shared" si="2"/>
        <v>-8.5501858736059644E-2</v>
      </c>
      <c r="Z8" s="388">
        <f t="shared" si="2"/>
        <v>7.1465897451975957E-2</v>
      </c>
      <c r="AA8" s="388">
        <f t="shared" si="2"/>
        <v>0.18620185371830611</v>
      </c>
      <c r="AB8" s="388">
        <f t="shared" si="2"/>
        <v>0.27919902685505749</v>
      </c>
      <c r="AC8" s="389">
        <f t="shared" si="2"/>
        <v>0.31277584204413489</v>
      </c>
      <c r="AD8" s="388">
        <f t="shared" si="2"/>
        <v>0.33833398361295397</v>
      </c>
      <c r="AE8" s="388">
        <f>AE28/57.995-1</f>
        <v>-7.0557806707474802E-2</v>
      </c>
      <c r="AF8" s="643">
        <f>AF28/65.51-1</f>
        <v>-0.38432300412150822</v>
      </c>
      <c r="AG8" s="200"/>
      <c r="AH8" s="200"/>
      <c r="AI8" s="877">
        <f>Drivers!AI31</f>
        <v>7.0000000000000007E-2</v>
      </c>
      <c r="AJ8" s="877">
        <f>Drivers!AJ31</f>
        <v>0.33</v>
      </c>
      <c r="AK8" s="877">
        <f>Drivers!AK31</f>
        <v>0.03</v>
      </c>
      <c r="AL8" s="877">
        <f>Drivers!AL31</f>
        <v>0.03</v>
      </c>
      <c r="AM8" s="877"/>
      <c r="AN8" s="387"/>
      <c r="AO8" s="387"/>
      <c r="AP8" s="387"/>
      <c r="AQ8" s="387"/>
      <c r="AR8" s="387"/>
      <c r="AS8" s="387"/>
      <c r="AT8" s="387"/>
      <c r="AU8" s="387"/>
      <c r="AV8" s="387"/>
      <c r="AW8" s="387">
        <f>AW28/AV28-1</f>
        <v>-1.2953535474175104E-2</v>
      </c>
      <c r="AX8" s="919">
        <f>AX28/AW28-1</f>
        <v>0.2780444274147198</v>
      </c>
      <c r="AY8" s="136"/>
      <c r="AZ8" s="136">
        <f>AZ28/AY28-1</f>
        <v>9.9124789076591835E-2</v>
      </c>
      <c r="BA8" s="877">
        <f>Drivers!BA31</f>
        <v>0.1</v>
      </c>
      <c r="BB8" s="877">
        <f>Drivers!BB31</f>
        <v>0.1</v>
      </c>
      <c r="BC8" s="877">
        <f>Drivers!BC31</f>
        <v>0.05</v>
      </c>
      <c r="BD8" s="168"/>
    </row>
    <row r="9" spans="1:56" s="32" customFormat="1" hidden="1" outlineLevel="1" x14ac:dyDescent="0.25">
      <c r="A9" s="96" t="s">
        <v>17</v>
      </c>
      <c r="B9" s="156"/>
      <c r="C9" s="388"/>
      <c r="D9" s="388"/>
      <c r="E9" s="388"/>
      <c r="F9" s="388"/>
      <c r="G9" s="388"/>
      <c r="H9" s="388"/>
      <c r="I9" s="388"/>
      <c r="J9" s="388"/>
      <c r="K9" s="388">
        <f t="shared" ref="K9:V12" si="3">K43/G43-1</f>
        <v>0.18496079014152134</v>
      </c>
      <c r="L9" s="388">
        <f t="shared" si="3"/>
        <v>1.1035636740303945E-2</v>
      </c>
      <c r="M9" s="388">
        <f t="shared" si="3"/>
        <v>4.5146863290221217E-2</v>
      </c>
      <c r="N9" s="388">
        <f t="shared" si="3"/>
        <v>-3.8196985218791224E-2</v>
      </c>
      <c r="O9" s="388">
        <f t="shared" si="3"/>
        <v>-3.7102780296745075E-2</v>
      </c>
      <c r="P9" s="388">
        <f t="shared" si="3"/>
        <v>3.8439562604669408E-2</v>
      </c>
      <c r="Q9" s="389">
        <f t="shared" si="3"/>
        <v>-9.6378110603519973E-3</v>
      </c>
      <c r="R9" s="388">
        <f t="shared" si="3"/>
        <v>4.6237827145465538E-2</v>
      </c>
      <c r="S9" s="388">
        <f t="shared" si="3"/>
        <v>-3.2060273313829768E-3</v>
      </c>
      <c r="T9" s="388">
        <f t="shared" si="3"/>
        <v>1.3224300838614145E-2</v>
      </c>
      <c r="U9" s="389">
        <f t="shared" si="3"/>
        <v>6.6603086864283068E-2</v>
      </c>
      <c r="V9" s="388">
        <f t="shared" si="3"/>
        <v>3.3868416746959396E-2</v>
      </c>
      <c r="W9" s="388"/>
      <c r="X9" s="388"/>
      <c r="Y9" s="389"/>
      <c r="Z9" s="388"/>
      <c r="AA9" s="388"/>
      <c r="AB9" s="388"/>
      <c r="AC9" s="389"/>
      <c r="AD9" s="388"/>
      <c r="AE9" s="388"/>
      <c r="AF9" s="643"/>
      <c r="AG9" s="200"/>
      <c r="AH9" s="200"/>
      <c r="AI9" s="200"/>
      <c r="AJ9" s="200"/>
      <c r="AK9" s="200"/>
      <c r="AL9" s="200"/>
      <c r="AM9" s="200"/>
      <c r="AN9" s="387"/>
      <c r="AO9" s="387"/>
      <c r="AP9" s="387"/>
      <c r="AQ9" s="387"/>
      <c r="AR9" s="387"/>
      <c r="AS9" s="387">
        <f t="shared" ref="AS9:AV12" si="4">AS43/AR43-1</f>
        <v>0.29481075079194019</v>
      </c>
      <c r="AT9" s="387">
        <f t="shared" si="4"/>
        <v>4.4375056748822139E-2</v>
      </c>
      <c r="AU9" s="387">
        <f t="shared" si="4"/>
        <v>9.4619854230362233E-3</v>
      </c>
      <c r="AV9" s="387">
        <f t="shared" si="4"/>
        <v>2.785672590168331E-2</v>
      </c>
      <c r="AW9" s="387"/>
      <c r="AX9" s="919"/>
      <c r="AY9" s="136"/>
      <c r="AZ9" s="136"/>
      <c r="BA9" s="217"/>
      <c r="BB9" s="217"/>
      <c r="BC9" s="217"/>
      <c r="BD9" s="168"/>
    </row>
    <row r="10" spans="1:56" s="32" customFormat="1" hidden="1" outlineLevel="1" x14ac:dyDescent="0.25">
      <c r="A10" s="96" t="s">
        <v>18</v>
      </c>
      <c r="B10" s="156"/>
      <c r="C10" s="388"/>
      <c r="D10" s="388"/>
      <c r="E10" s="388"/>
      <c r="F10" s="388"/>
      <c r="G10" s="388"/>
      <c r="H10" s="388"/>
      <c r="I10" s="388"/>
      <c r="J10" s="388"/>
      <c r="K10" s="388">
        <f t="shared" si="3"/>
        <v>-0.25756785616727507</v>
      </c>
      <c r="L10" s="388">
        <f t="shared" si="3"/>
        <v>-0.28340920466191577</v>
      </c>
      <c r="M10" s="388">
        <f t="shared" si="3"/>
        <v>-0.16005312966959984</v>
      </c>
      <c r="N10" s="388">
        <f t="shared" si="3"/>
        <v>-0.13315258322036461</v>
      </c>
      <c r="O10" s="388">
        <f t="shared" si="3"/>
        <v>-0.13606716392949114</v>
      </c>
      <c r="P10" s="388">
        <f t="shared" si="3"/>
        <v>-0.13443757067784201</v>
      </c>
      <c r="Q10" s="389">
        <f t="shared" si="3"/>
        <v>-0.17272847071226194</v>
      </c>
      <c r="R10" s="388">
        <f t="shared" si="3"/>
        <v>-0.1331711555169417</v>
      </c>
      <c r="S10" s="388">
        <f t="shared" si="3"/>
        <v>-2.0132409307367705E-2</v>
      </c>
      <c r="T10" s="388">
        <f t="shared" si="3"/>
        <v>-1.4294497387027372E-2</v>
      </c>
      <c r="U10" s="389">
        <f t="shared" si="3"/>
        <v>-2.6601887618971753E-2</v>
      </c>
      <c r="V10" s="388">
        <f t="shared" si="3"/>
        <v>2.8224351521468849E-2</v>
      </c>
      <c r="W10" s="388"/>
      <c r="X10" s="388"/>
      <c r="Y10" s="389"/>
      <c r="Z10" s="388"/>
      <c r="AA10" s="388"/>
      <c r="AB10" s="388"/>
      <c r="AC10" s="389"/>
      <c r="AD10" s="388"/>
      <c r="AE10" s="388"/>
      <c r="AF10" s="643"/>
      <c r="AG10" s="200"/>
      <c r="AH10" s="200"/>
      <c r="AI10" s="200"/>
      <c r="AJ10" s="200"/>
      <c r="AK10" s="200"/>
      <c r="AL10" s="200"/>
      <c r="AM10" s="200"/>
      <c r="AN10" s="387"/>
      <c r="AO10" s="387"/>
      <c r="AP10" s="387"/>
      <c r="AQ10" s="387"/>
      <c r="AR10" s="387"/>
      <c r="AS10" s="387">
        <f t="shared" si="4"/>
        <v>0.17435706703239662</v>
      </c>
      <c r="AT10" s="387">
        <f t="shared" si="4"/>
        <v>-0.2142202046727677</v>
      </c>
      <c r="AU10" s="387">
        <f t="shared" si="4"/>
        <v>-0.14430020488361939</v>
      </c>
      <c r="AV10" s="387">
        <f t="shared" si="4"/>
        <v>-8.3998155180704526E-3</v>
      </c>
      <c r="AW10" s="387"/>
      <c r="AX10" s="919"/>
      <c r="AY10" s="136"/>
      <c r="AZ10" s="136"/>
      <c r="BA10" s="217"/>
      <c r="BB10" s="217"/>
      <c r="BC10" s="217"/>
      <c r="BD10" s="168"/>
    </row>
    <row r="11" spans="1:56" s="32" customFormat="1" hidden="1" outlineLevel="1" x14ac:dyDescent="0.25">
      <c r="A11" s="96" t="s">
        <v>19</v>
      </c>
      <c r="B11" s="156"/>
      <c r="C11" s="388"/>
      <c r="D11" s="388"/>
      <c r="E11" s="388"/>
      <c r="F11" s="388"/>
      <c r="G11" s="388"/>
      <c r="H11" s="388"/>
      <c r="I11" s="388"/>
      <c r="J11" s="388"/>
      <c r="K11" s="388">
        <f t="shared" si="3"/>
        <v>3.3034086127086582E-2</v>
      </c>
      <c r="L11" s="388">
        <f t="shared" si="3"/>
        <v>0.24605647035553591</v>
      </c>
      <c r="M11" s="388">
        <f t="shared" si="3"/>
        <v>0.3923691997733425</v>
      </c>
      <c r="N11" s="388">
        <f t="shared" si="3"/>
        <v>0.47282169648009242</v>
      </c>
      <c r="O11" s="388">
        <f t="shared" si="3"/>
        <v>0.48170276325616146</v>
      </c>
      <c r="P11" s="388">
        <f t="shared" si="3"/>
        <v>8.6312948926544619E-2</v>
      </c>
      <c r="Q11" s="389">
        <f t="shared" si="3"/>
        <v>0.20334614515035043</v>
      </c>
      <c r="R11" s="388">
        <f t="shared" si="3"/>
        <v>1.7003604450712917E-2</v>
      </c>
      <c r="S11" s="388">
        <f t="shared" si="3"/>
        <v>0.12724523460410553</v>
      </c>
      <c r="T11" s="388">
        <f t="shared" si="3"/>
        <v>3.6129173668444592E-2</v>
      </c>
      <c r="U11" s="389">
        <f t="shared" si="3"/>
        <v>-0.14587404178566055</v>
      </c>
      <c r="V11" s="388">
        <f t="shared" si="3"/>
        <v>-2.1111025502735137E-2</v>
      </c>
      <c r="W11" s="388"/>
      <c r="X11" s="388"/>
      <c r="Y11" s="389"/>
      <c r="Z11" s="388"/>
      <c r="AA11" s="388"/>
      <c r="AB11" s="388"/>
      <c r="AC11" s="389"/>
      <c r="AD11" s="388"/>
      <c r="AE11" s="388"/>
      <c r="AF11" s="643"/>
      <c r="AG11" s="200"/>
      <c r="AH11" s="200"/>
      <c r="AI11" s="200"/>
      <c r="AJ11" s="200"/>
      <c r="AK11" s="200"/>
      <c r="AL11" s="200"/>
      <c r="AM11" s="200"/>
      <c r="AN11" s="387"/>
      <c r="AO11" s="387"/>
      <c r="AP11" s="387"/>
      <c r="AQ11" s="387"/>
      <c r="AR11" s="387"/>
      <c r="AS11" s="387">
        <f t="shared" si="4"/>
        <v>-4.2504137257952657E-2</v>
      </c>
      <c r="AT11" s="387">
        <f t="shared" si="4"/>
        <v>0.29357106981416359</v>
      </c>
      <c r="AU11" s="387">
        <f t="shared" si="4"/>
        <v>0.16217296470131459</v>
      </c>
      <c r="AV11" s="387">
        <f t="shared" si="4"/>
        <v>-6.5246442889710377E-3</v>
      </c>
      <c r="AW11" s="387"/>
      <c r="AX11" s="919"/>
      <c r="AY11" s="136"/>
      <c r="AZ11" s="136"/>
      <c r="BA11" s="217"/>
      <c r="BB11" s="217"/>
      <c r="BC11" s="217"/>
      <c r="BD11" s="168"/>
    </row>
    <row r="12" spans="1:56" s="32" customFormat="1" hidden="1" outlineLevel="1" x14ac:dyDescent="0.25">
      <c r="A12" s="96" t="s">
        <v>20</v>
      </c>
      <c r="B12" s="156"/>
      <c r="C12" s="388"/>
      <c r="D12" s="388"/>
      <c r="E12" s="388"/>
      <c r="F12" s="388"/>
      <c r="G12" s="388"/>
      <c r="H12" s="388"/>
      <c r="I12" s="388"/>
      <c r="J12" s="388"/>
      <c r="K12" s="388">
        <f t="shared" si="3"/>
        <v>-4.1602936677883284E-2</v>
      </c>
      <c r="L12" s="388">
        <f t="shared" si="3"/>
        <v>-0.12832231441629316</v>
      </c>
      <c r="M12" s="388">
        <f t="shared" si="3"/>
        <v>-0.16330481764970739</v>
      </c>
      <c r="N12" s="388">
        <f t="shared" si="3"/>
        <v>-2.2737494378091916E-2</v>
      </c>
      <c r="O12" s="388">
        <f t="shared" si="3"/>
        <v>-3.1971486328332799E-2</v>
      </c>
      <c r="P12" s="388">
        <f t="shared" si="3"/>
        <v>-1.0537032323746587E-2</v>
      </c>
      <c r="Q12" s="389">
        <f t="shared" si="3"/>
        <v>1.5767098961416481E-2</v>
      </c>
      <c r="R12" s="388">
        <f t="shared" si="3"/>
        <v>9.3014931478829999E-2</v>
      </c>
      <c r="S12" s="388">
        <f t="shared" si="3"/>
        <v>0.25245919657086335</v>
      </c>
      <c r="T12" s="388">
        <f t="shared" si="3"/>
        <v>0.22147340261343751</v>
      </c>
      <c r="U12" s="389">
        <f t="shared" si="3"/>
        <v>0.172017376562831</v>
      </c>
      <c r="V12" s="388">
        <f t="shared" si="3"/>
        <v>0.10297076023391805</v>
      </c>
      <c r="W12" s="388"/>
      <c r="X12" s="388"/>
      <c r="Y12" s="389"/>
      <c r="Z12" s="388"/>
      <c r="AA12" s="388"/>
      <c r="AB12" s="388"/>
      <c r="AC12" s="389"/>
      <c r="AD12" s="388"/>
      <c r="AE12" s="388"/>
      <c r="AF12" s="643"/>
      <c r="AG12" s="200"/>
      <c r="AH12" s="200"/>
      <c r="AI12" s="200"/>
      <c r="AJ12" s="200"/>
      <c r="AK12" s="200"/>
      <c r="AL12" s="200"/>
      <c r="AM12" s="200"/>
      <c r="AN12" s="387"/>
      <c r="AO12" s="387"/>
      <c r="AP12" s="387"/>
      <c r="AQ12" s="387"/>
      <c r="AR12" s="387"/>
      <c r="AS12" s="387">
        <f t="shared" si="4"/>
        <v>6.4894784558857666E-3</v>
      </c>
      <c r="AT12" s="387">
        <f t="shared" si="4"/>
        <v>-9.2329208742236824E-2</v>
      </c>
      <c r="AU12" s="387">
        <f t="shared" si="4"/>
        <v>1.7027499934710644E-2</v>
      </c>
      <c r="AV12" s="387">
        <f t="shared" si="4"/>
        <v>0.18420512030403424</v>
      </c>
      <c r="AW12" s="387"/>
      <c r="AX12" s="919"/>
      <c r="AY12" s="136"/>
      <c r="AZ12" s="136"/>
      <c r="BA12" s="217"/>
      <c r="BB12" s="217"/>
      <c r="BC12" s="217"/>
      <c r="BD12" s="168"/>
    </row>
    <row r="13" spans="1:56" s="31" customFormat="1" collapsed="1" x14ac:dyDescent="0.25">
      <c r="A13" s="33" t="s">
        <v>21</v>
      </c>
      <c r="B13" s="115"/>
      <c r="C13" s="35"/>
      <c r="D13" s="35"/>
      <c r="E13" s="35"/>
      <c r="F13" s="35"/>
      <c r="G13" s="35">
        <f t="shared" ref="G13:AL13" si="5">G160/C160-1</f>
        <v>0.16283428526333421</v>
      </c>
      <c r="H13" s="35">
        <f t="shared" si="5"/>
        <v>0.28617050686851164</v>
      </c>
      <c r="I13" s="35">
        <f t="shared" si="5"/>
        <v>9.4278116911225451E-2</v>
      </c>
      <c r="J13" s="35">
        <f t="shared" si="5"/>
        <v>6.8077119945401776E-2</v>
      </c>
      <c r="K13" s="35">
        <f t="shared" si="5"/>
        <v>-2.2285374957583981E-2</v>
      </c>
      <c r="L13" s="35">
        <f t="shared" si="5"/>
        <v>-6.8582398197423622E-2</v>
      </c>
      <c r="M13" s="35">
        <f t="shared" si="5"/>
        <v>-7.5725161259072582E-3</v>
      </c>
      <c r="N13" s="35">
        <f t="shared" si="5"/>
        <v>9.8322683706066893E-3</v>
      </c>
      <c r="O13" s="35">
        <f t="shared" si="5"/>
        <v>4.3643115580505043E-3</v>
      </c>
      <c r="P13" s="35">
        <f t="shared" si="5"/>
        <v>-9.7879282218604757E-4</v>
      </c>
      <c r="Q13" s="99">
        <f t="shared" si="5"/>
        <v>-7.7523163400606832E-3</v>
      </c>
      <c r="R13" s="35">
        <f t="shared" si="5"/>
        <v>6.7388536039423297E-3</v>
      </c>
      <c r="S13" s="35">
        <f t="shared" si="5"/>
        <v>5.7802619302671054E-2</v>
      </c>
      <c r="T13" s="35">
        <f t="shared" si="5"/>
        <v>4.4757929617179837E-2</v>
      </c>
      <c r="U13" s="99">
        <f t="shared" si="5"/>
        <v>1.7371985112069499E-2</v>
      </c>
      <c r="V13" s="35">
        <f t="shared" si="5"/>
        <v>3.3154466818035688E-2</v>
      </c>
      <c r="W13" s="35">
        <f t="shared" si="5"/>
        <v>2.1111174630656482E-2</v>
      </c>
      <c r="X13" s="35">
        <f t="shared" si="5"/>
        <v>1.9289270438621164E-2</v>
      </c>
      <c r="Y13" s="99">
        <f t="shared" si="5"/>
        <v>-4.2789108519947217E-3</v>
      </c>
      <c r="Z13" s="35">
        <f t="shared" si="5"/>
        <v>1.0402804498756302E-2</v>
      </c>
      <c r="AA13" s="35">
        <f t="shared" si="5"/>
        <v>0.11549843240130531</v>
      </c>
      <c r="AB13" s="35">
        <f t="shared" si="5"/>
        <v>0.11759953923599942</v>
      </c>
      <c r="AC13" s="99">
        <f t="shared" si="5"/>
        <v>0.12494537332275857</v>
      </c>
      <c r="AD13" s="35">
        <f t="shared" si="5"/>
        <v>0.1695479073688011</v>
      </c>
      <c r="AE13" s="35">
        <f t="shared" si="5"/>
        <v>-8.0244921956221016E-2</v>
      </c>
      <c r="AF13" s="644">
        <f t="shared" si="5"/>
        <v>-0.28959327501623022</v>
      </c>
      <c r="AG13" s="36">
        <f t="shared" si="5"/>
        <v>-6.4781842379770471E-2</v>
      </c>
      <c r="AH13" s="36">
        <f t="shared" si="5"/>
        <v>-5.4047966846633155E-2</v>
      </c>
      <c r="AI13" s="36">
        <f t="shared" si="5"/>
        <v>7.0000000000000062E-2</v>
      </c>
      <c r="AJ13" s="36">
        <f t="shared" si="5"/>
        <v>0.19979659707567077</v>
      </c>
      <c r="AK13" s="36">
        <f t="shared" si="5"/>
        <v>1.7692307692307674E-2</v>
      </c>
      <c r="AL13" s="36">
        <f t="shared" si="5"/>
        <v>1.8435374149659678E-2</v>
      </c>
      <c r="AM13" s="36"/>
      <c r="AN13" s="34"/>
      <c r="AO13" s="34">
        <f t="shared" ref="AO13:BC13" si="6">AO160/AN160-1</f>
        <v>0.18557744937055265</v>
      </c>
      <c r="AP13" s="34">
        <f t="shared" si="6"/>
        <v>0.28177635173087712</v>
      </c>
      <c r="AQ13" s="34">
        <f t="shared" si="6"/>
        <v>0.20531745340925123</v>
      </c>
      <c r="AR13" s="34">
        <f t="shared" si="6"/>
        <v>8.7448826113374567E-2</v>
      </c>
      <c r="AS13" s="34">
        <f t="shared" si="6"/>
        <v>0.14925496176913078</v>
      </c>
      <c r="AT13" s="34">
        <f t="shared" si="6"/>
        <v>-2.3087790191425261E-2</v>
      </c>
      <c r="AU13" s="34">
        <f t="shared" si="6"/>
        <v>5.6906257648692282E-4</v>
      </c>
      <c r="AV13" s="34">
        <f t="shared" si="6"/>
        <v>3.801581461149417E-2</v>
      </c>
      <c r="AW13" s="34">
        <f t="shared" si="6"/>
        <v>1.1688740161191369E-2</v>
      </c>
      <c r="AX13" s="920">
        <f t="shared" si="6"/>
        <v>0.13225017470300493</v>
      </c>
      <c r="AY13" s="37">
        <f t="shared" si="6"/>
        <v>-0.12320629532479543</v>
      </c>
      <c r="AZ13" s="37">
        <f t="shared" si="6"/>
        <v>6.8821195678740787E-2</v>
      </c>
      <c r="BA13" s="37">
        <f t="shared" si="6"/>
        <v>0.10000000000000009</v>
      </c>
      <c r="BB13" s="37">
        <f t="shared" si="6"/>
        <v>0.10000000000000009</v>
      </c>
      <c r="BC13" s="37">
        <f t="shared" si="6"/>
        <v>5.0000000000000044E-2</v>
      </c>
      <c r="BD13" s="72"/>
    </row>
    <row r="14" spans="1:56" s="31" customFormat="1" x14ac:dyDescent="0.25">
      <c r="A14" s="161"/>
      <c r="B14" s="182"/>
      <c r="C14" s="391"/>
      <c r="D14" s="391"/>
      <c r="E14" s="391"/>
      <c r="F14" s="391"/>
      <c r="G14" s="391"/>
      <c r="H14" s="391"/>
      <c r="I14" s="391"/>
      <c r="J14" s="391"/>
      <c r="K14" s="391"/>
      <c r="L14" s="391"/>
      <c r="M14" s="391"/>
      <c r="N14" s="391"/>
      <c r="O14" s="391"/>
      <c r="P14" s="391"/>
      <c r="Q14" s="392"/>
      <c r="R14" s="391"/>
      <c r="S14" s="391"/>
      <c r="T14" s="391"/>
      <c r="U14" s="392"/>
      <c r="V14" s="391"/>
      <c r="W14" s="391"/>
      <c r="X14" s="391"/>
      <c r="Y14" s="392"/>
      <c r="Z14" s="391"/>
      <c r="AA14" s="391"/>
      <c r="AB14" s="391"/>
      <c r="AC14" s="392"/>
      <c r="AD14" s="391"/>
      <c r="AE14" s="391"/>
      <c r="AF14" s="645"/>
      <c r="AG14" s="68"/>
      <c r="AH14" s="68"/>
      <c r="AI14" s="68"/>
      <c r="AJ14" s="68"/>
      <c r="AK14" s="68"/>
      <c r="AL14" s="68"/>
      <c r="AM14" s="68"/>
      <c r="AN14" s="390"/>
      <c r="AO14" s="390"/>
      <c r="AP14" s="390"/>
      <c r="AQ14" s="390"/>
      <c r="AR14" s="390"/>
      <c r="AS14" s="390"/>
      <c r="AT14" s="390"/>
      <c r="AU14" s="390"/>
      <c r="AV14" s="390"/>
      <c r="AW14" s="390"/>
      <c r="AX14" s="921"/>
      <c r="AY14" s="106"/>
      <c r="AZ14" s="106"/>
      <c r="BA14" s="106"/>
      <c r="BB14" s="106"/>
      <c r="BC14" s="106"/>
      <c r="BD14" s="72"/>
    </row>
    <row r="15" spans="1:56" s="31" customFormat="1" x14ac:dyDescent="0.25">
      <c r="A15" s="96" t="s">
        <v>438</v>
      </c>
      <c r="B15" s="156"/>
      <c r="C15" s="388"/>
      <c r="D15" s="388"/>
      <c r="E15" s="388"/>
      <c r="F15" s="388"/>
      <c r="G15" s="388"/>
      <c r="H15" s="388"/>
      <c r="I15" s="388"/>
      <c r="J15" s="388"/>
      <c r="K15" s="388"/>
      <c r="L15" s="388"/>
      <c r="M15" s="388"/>
      <c r="N15" s="388"/>
      <c r="O15" s="388"/>
      <c r="P15" s="388"/>
      <c r="Q15" s="389"/>
      <c r="R15" s="388"/>
      <c r="S15" s="388"/>
      <c r="T15" s="388"/>
      <c r="U15" s="389"/>
      <c r="V15" s="388"/>
      <c r="W15" s="388"/>
      <c r="X15" s="388"/>
      <c r="Y15" s="389"/>
      <c r="Z15" s="388"/>
      <c r="AA15" s="388"/>
      <c r="AB15" s="388"/>
      <c r="AC15" s="389"/>
      <c r="AD15" s="388"/>
      <c r="AE15" s="388"/>
      <c r="AF15" s="643"/>
      <c r="AG15" s="67"/>
      <c r="AH15" s="67"/>
      <c r="AI15" s="67"/>
      <c r="AJ15" s="67"/>
      <c r="AK15" s="67"/>
      <c r="AL15" s="67"/>
      <c r="AM15" s="67"/>
      <c r="AN15" s="387"/>
      <c r="AO15" s="387"/>
      <c r="AP15" s="387"/>
      <c r="AQ15" s="387"/>
      <c r="AR15" s="387"/>
      <c r="AS15" s="387"/>
      <c r="AT15" s="387"/>
      <c r="AU15" s="387"/>
      <c r="AV15" s="387"/>
      <c r="AW15" s="387"/>
      <c r="AX15" s="919">
        <f>AX21/AX$20</f>
        <v>5.3604705334264868E-2</v>
      </c>
      <c r="AY15" s="600"/>
      <c r="AZ15" s="600"/>
      <c r="BA15" s="600"/>
      <c r="BB15" s="600"/>
      <c r="BC15" s="600"/>
      <c r="BD15" s="72"/>
    </row>
    <row r="16" spans="1:56" s="31" customFormat="1" x14ac:dyDescent="0.25">
      <c r="A16" s="96" t="s">
        <v>439</v>
      </c>
      <c r="B16" s="156"/>
      <c r="C16" s="388"/>
      <c r="D16" s="388"/>
      <c r="E16" s="388"/>
      <c r="F16" s="388"/>
      <c r="G16" s="388"/>
      <c r="H16" s="388"/>
      <c r="I16" s="388"/>
      <c r="J16" s="388"/>
      <c r="K16" s="388"/>
      <c r="L16" s="388"/>
      <c r="M16" s="388"/>
      <c r="N16" s="388"/>
      <c r="O16" s="388"/>
      <c r="P16" s="388"/>
      <c r="Q16" s="389"/>
      <c r="R16" s="388"/>
      <c r="S16" s="388"/>
      <c r="T16" s="388"/>
      <c r="U16" s="389"/>
      <c r="V16" s="388"/>
      <c r="W16" s="388"/>
      <c r="X16" s="388"/>
      <c r="Y16" s="389"/>
      <c r="Z16" s="388"/>
      <c r="AA16" s="388"/>
      <c r="AB16" s="388"/>
      <c r="AC16" s="389"/>
      <c r="AD16" s="388"/>
      <c r="AE16" s="388"/>
      <c r="AF16" s="643"/>
      <c r="AG16" s="67"/>
      <c r="AH16" s="67"/>
      <c r="AI16" s="67"/>
      <c r="AJ16" s="67"/>
      <c r="AK16" s="67"/>
      <c r="AL16" s="67"/>
      <c r="AM16" s="67"/>
      <c r="AN16" s="387"/>
      <c r="AO16" s="387"/>
      <c r="AP16" s="387"/>
      <c r="AQ16" s="387"/>
      <c r="AR16" s="387"/>
      <c r="AS16" s="387"/>
      <c r="AT16" s="387"/>
      <c r="AU16" s="387"/>
      <c r="AV16" s="387"/>
      <c r="AW16" s="387"/>
      <c r="AX16" s="919">
        <f>AX22/AX$20</f>
        <v>9.3213758832207463E-2</v>
      </c>
      <c r="AY16" s="600"/>
      <c r="AZ16" s="600"/>
      <c r="BA16" s="600"/>
      <c r="BB16" s="600"/>
      <c r="BC16" s="600"/>
      <c r="BD16" s="72"/>
    </row>
    <row r="17" spans="1:56" s="31" customFormat="1" x14ac:dyDescent="0.25">
      <c r="A17" s="96" t="s">
        <v>440</v>
      </c>
      <c r="B17" s="156"/>
      <c r="C17" s="388"/>
      <c r="D17" s="388"/>
      <c r="E17" s="388"/>
      <c r="F17" s="388"/>
      <c r="G17" s="388"/>
      <c r="H17" s="388"/>
      <c r="I17" s="388"/>
      <c r="J17" s="388"/>
      <c r="K17" s="388"/>
      <c r="L17" s="388"/>
      <c r="M17" s="388"/>
      <c r="N17" s="388"/>
      <c r="O17" s="388"/>
      <c r="P17" s="388"/>
      <c r="Q17" s="389"/>
      <c r="R17" s="388"/>
      <c r="S17" s="388"/>
      <c r="T17" s="388"/>
      <c r="U17" s="389"/>
      <c r="V17" s="388"/>
      <c r="W17" s="388"/>
      <c r="X17" s="388"/>
      <c r="Y17" s="389"/>
      <c r="Z17" s="388"/>
      <c r="AA17" s="388"/>
      <c r="AB17" s="388"/>
      <c r="AC17" s="389"/>
      <c r="AD17" s="388"/>
      <c r="AE17" s="388"/>
      <c r="AF17" s="643"/>
      <c r="AG17" s="67"/>
      <c r="AH17" s="67"/>
      <c r="AI17" s="67"/>
      <c r="AJ17" s="67"/>
      <c r="AK17" s="67"/>
      <c r="AL17" s="67"/>
      <c r="AM17" s="67"/>
      <c r="AN17" s="387"/>
      <c r="AO17" s="387"/>
      <c r="AP17" s="387"/>
      <c r="AQ17" s="387"/>
      <c r="AR17" s="387"/>
      <c r="AS17" s="387"/>
      <c r="AT17" s="387"/>
      <c r="AU17" s="387"/>
      <c r="AV17" s="387"/>
      <c r="AW17" s="387"/>
      <c r="AX17" s="919">
        <f>AX23/AX$20</f>
        <v>-1.4568289463467658E-2</v>
      </c>
      <c r="AY17" s="600"/>
      <c r="AZ17" s="600"/>
      <c r="BA17" s="600"/>
      <c r="BB17" s="600"/>
      <c r="BC17" s="600"/>
      <c r="BD17" s="72"/>
    </row>
    <row r="18" spans="1:56" s="31" customFormat="1" x14ac:dyDescent="0.25">
      <c r="A18" s="33" t="s">
        <v>21</v>
      </c>
      <c r="B18" s="115"/>
      <c r="C18" s="35"/>
      <c r="D18" s="35"/>
      <c r="E18" s="35"/>
      <c r="F18" s="35"/>
      <c r="G18" s="35"/>
      <c r="H18" s="35"/>
      <c r="I18" s="35"/>
      <c r="J18" s="35"/>
      <c r="K18" s="35"/>
      <c r="L18" s="35"/>
      <c r="M18" s="35"/>
      <c r="N18" s="35"/>
      <c r="O18" s="35"/>
      <c r="P18" s="35"/>
      <c r="Q18" s="99"/>
      <c r="R18" s="35"/>
      <c r="S18" s="35"/>
      <c r="T18" s="35"/>
      <c r="U18" s="99"/>
      <c r="V18" s="35"/>
      <c r="W18" s="35"/>
      <c r="X18" s="35"/>
      <c r="Y18" s="99"/>
      <c r="Z18" s="35"/>
      <c r="AA18" s="35"/>
      <c r="AB18" s="35"/>
      <c r="AC18" s="99"/>
      <c r="AD18" s="35"/>
      <c r="AE18" s="35"/>
      <c r="AF18" s="644"/>
      <c r="AG18" s="35"/>
      <c r="AH18" s="35"/>
      <c r="AI18" s="35"/>
      <c r="AJ18" s="35"/>
      <c r="AK18" s="35"/>
      <c r="AL18" s="35"/>
      <c r="AM18" s="35"/>
      <c r="AN18" s="34"/>
      <c r="AO18" s="34"/>
      <c r="AP18" s="34"/>
      <c r="AQ18" s="34"/>
      <c r="AR18" s="34"/>
      <c r="AS18" s="34"/>
      <c r="AT18" s="34"/>
      <c r="AU18" s="34"/>
      <c r="AV18" s="34"/>
      <c r="AW18" s="34"/>
      <c r="AX18" s="920">
        <f>AX160/AW160-1</f>
        <v>0.13225017470300493</v>
      </c>
      <c r="AY18" s="34"/>
      <c r="AZ18" s="34"/>
      <c r="BA18" s="34"/>
      <c r="BB18" s="34"/>
      <c r="BC18" s="34"/>
      <c r="BD18" s="72"/>
    </row>
    <row r="19" spans="1:56" s="31" customFormat="1" hidden="1" outlineLevel="1" x14ac:dyDescent="0.25">
      <c r="A19" s="161"/>
      <c r="B19" s="182"/>
      <c r="C19" s="391"/>
      <c r="D19" s="391"/>
      <c r="E19" s="391"/>
      <c r="F19" s="391"/>
      <c r="G19" s="391"/>
      <c r="H19" s="391"/>
      <c r="I19" s="391"/>
      <c r="J19" s="391"/>
      <c r="K19" s="391"/>
      <c r="L19" s="391"/>
      <c r="M19" s="391"/>
      <c r="N19" s="391"/>
      <c r="O19" s="391"/>
      <c r="P19" s="391"/>
      <c r="Q19" s="392"/>
      <c r="R19" s="391"/>
      <c r="S19" s="391"/>
      <c r="T19" s="391"/>
      <c r="U19" s="392"/>
      <c r="V19" s="391"/>
      <c r="W19" s="391"/>
      <c r="X19" s="391"/>
      <c r="Y19" s="392"/>
      <c r="Z19" s="391"/>
      <c r="AA19" s="391"/>
      <c r="AB19" s="391"/>
      <c r="AC19" s="392"/>
      <c r="AD19" s="391"/>
      <c r="AE19" s="391"/>
      <c r="AF19" s="645"/>
      <c r="AG19" s="68"/>
      <c r="AH19" s="68"/>
      <c r="AI19" s="68"/>
      <c r="AJ19" s="68"/>
      <c r="AK19" s="68"/>
      <c r="AL19" s="68"/>
      <c r="AM19" s="68"/>
      <c r="AN19" s="390"/>
      <c r="AO19" s="390"/>
      <c r="AP19" s="390"/>
      <c r="AQ19" s="390"/>
      <c r="AR19" s="390"/>
      <c r="AS19" s="390"/>
      <c r="AT19" s="390"/>
      <c r="AU19" s="390"/>
      <c r="AV19" s="390"/>
      <c r="AW19" s="390"/>
      <c r="AX19" s="921"/>
      <c r="AY19" s="106"/>
      <c r="AZ19" s="106"/>
      <c r="BA19" s="106"/>
      <c r="BB19" s="106"/>
      <c r="BC19" s="106"/>
      <c r="BD19" s="72"/>
    </row>
    <row r="20" spans="1:56" s="31" customFormat="1" hidden="1" outlineLevel="1" x14ac:dyDescent="0.25">
      <c r="A20" s="162" t="s">
        <v>445</v>
      </c>
      <c r="B20" s="234"/>
      <c r="C20" s="704"/>
      <c r="D20" s="704"/>
      <c r="E20" s="704"/>
      <c r="F20" s="704"/>
      <c r="G20" s="704"/>
      <c r="H20" s="704"/>
      <c r="I20" s="704"/>
      <c r="J20" s="704"/>
      <c r="K20" s="704"/>
      <c r="L20" s="704"/>
      <c r="M20" s="704"/>
      <c r="N20" s="704"/>
      <c r="O20" s="704"/>
      <c r="P20" s="704"/>
      <c r="Q20" s="705"/>
      <c r="R20" s="704"/>
      <c r="S20" s="704"/>
      <c r="T20" s="704"/>
      <c r="U20" s="705"/>
      <c r="V20" s="704"/>
      <c r="W20" s="704"/>
      <c r="X20" s="704"/>
      <c r="Y20" s="705"/>
      <c r="Z20" s="704"/>
      <c r="AA20" s="704"/>
      <c r="AB20" s="704"/>
      <c r="AC20" s="705"/>
      <c r="AD20" s="704"/>
      <c r="AE20" s="704"/>
      <c r="AF20" s="706"/>
      <c r="AG20" s="707"/>
      <c r="AH20" s="707"/>
      <c r="AI20" s="707"/>
      <c r="AJ20" s="707"/>
      <c r="AK20" s="707"/>
      <c r="AL20" s="707"/>
      <c r="AM20" s="707"/>
      <c r="AN20" s="703"/>
      <c r="AO20" s="703"/>
      <c r="AP20" s="703"/>
      <c r="AQ20" s="703"/>
      <c r="AR20" s="703"/>
      <c r="AS20" s="703"/>
      <c r="AT20" s="703"/>
      <c r="AU20" s="703"/>
      <c r="AV20" s="703"/>
      <c r="AW20" s="703"/>
      <c r="AX20" s="922">
        <f>AW29</f>
        <v>515.16000000000008</v>
      </c>
      <c r="AY20" s="708"/>
      <c r="AZ20" s="708"/>
      <c r="BA20" s="708"/>
      <c r="BB20" s="708"/>
      <c r="BC20" s="708"/>
      <c r="BD20" s="72"/>
    </row>
    <row r="21" spans="1:56" s="31" customFormat="1" hidden="1" outlineLevel="1" x14ac:dyDescent="0.25">
      <c r="A21" s="75" t="s">
        <v>441</v>
      </c>
      <c r="B21" s="601"/>
      <c r="C21" s="710"/>
      <c r="D21" s="710"/>
      <c r="E21" s="710"/>
      <c r="F21" s="710"/>
      <c r="G21" s="710"/>
      <c r="H21" s="710"/>
      <c r="I21" s="710"/>
      <c r="J21" s="710"/>
      <c r="K21" s="710"/>
      <c r="L21" s="710"/>
      <c r="M21" s="710"/>
      <c r="N21" s="710"/>
      <c r="O21" s="710"/>
      <c r="P21" s="710"/>
      <c r="Q21" s="711"/>
      <c r="R21" s="710"/>
      <c r="S21" s="710"/>
      <c r="T21" s="710"/>
      <c r="U21" s="711"/>
      <c r="V21" s="710"/>
      <c r="W21" s="710"/>
      <c r="X21" s="710"/>
      <c r="Y21" s="711"/>
      <c r="Z21" s="710"/>
      <c r="AA21" s="710"/>
      <c r="AB21" s="710"/>
      <c r="AC21" s="711"/>
      <c r="AD21" s="710"/>
      <c r="AE21" s="710"/>
      <c r="AF21" s="712"/>
      <c r="AG21" s="713"/>
      <c r="AH21" s="713"/>
      <c r="AI21" s="713"/>
      <c r="AJ21" s="713"/>
      <c r="AK21" s="713"/>
      <c r="AL21" s="713"/>
      <c r="AM21" s="713"/>
      <c r="AN21" s="709"/>
      <c r="AO21" s="709"/>
      <c r="AP21" s="709"/>
      <c r="AQ21" s="709"/>
      <c r="AR21" s="709"/>
      <c r="AS21" s="709"/>
      <c r="AT21" s="709"/>
      <c r="AU21" s="709"/>
      <c r="AV21" s="709"/>
      <c r="AW21" s="709"/>
      <c r="AX21" s="923">
        <f>AX24-AX23-AX22-AX20</f>
        <v>27.614999999999895</v>
      </c>
      <c r="AY21" s="714"/>
      <c r="AZ21" s="714"/>
      <c r="BA21" s="714"/>
      <c r="BB21" s="714"/>
      <c r="BC21" s="714"/>
      <c r="BD21" s="72"/>
    </row>
    <row r="22" spans="1:56" s="31" customFormat="1" hidden="1" outlineLevel="1" x14ac:dyDescent="0.25">
      <c r="A22" s="75" t="s">
        <v>442</v>
      </c>
      <c r="B22" s="601"/>
      <c r="C22" s="710"/>
      <c r="D22" s="710"/>
      <c r="E22" s="710"/>
      <c r="F22" s="710"/>
      <c r="G22" s="710"/>
      <c r="H22" s="710"/>
      <c r="I22" s="710"/>
      <c r="J22" s="710"/>
      <c r="K22" s="710"/>
      <c r="L22" s="710"/>
      <c r="M22" s="710"/>
      <c r="N22" s="710"/>
      <c r="O22" s="710"/>
      <c r="P22" s="710"/>
      <c r="Q22" s="711"/>
      <c r="R22" s="710"/>
      <c r="S22" s="710"/>
      <c r="T22" s="710"/>
      <c r="U22" s="711"/>
      <c r="V22" s="710"/>
      <c r="W22" s="710"/>
      <c r="X22" s="710"/>
      <c r="Y22" s="711"/>
      <c r="Z22" s="710"/>
      <c r="AA22" s="710"/>
      <c r="AB22" s="710"/>
      <c r="AC22" s="711"/>
      <c r="AD22" s="710"/>
      <c r="AE22" s="710"/>
      <c r="AF22" s="712"/>
      <c r="AG22" s="713"/>
      <c r="AH22" s="713"/>
      <c r="AI22" s="713"/>
      <c r="AJ22" s="713"/>
      <c r="AK22" s="713"/>
      <c r="AL22" s="713"/>
      <c r="AM22" s="713"/>
      <c r="AN22" s="709"/>
      <c r="AO22" s="709"/>
      <c r="AP22" s="709"/>
      <c r="AQ22" s="709"/>
      <c r="AR22" s="709"/>
      <c r="AS22" s="709"/>
      <c r="AT22" s="709"/>
      <c r="AU22" s="709"/>
      <c r="AV22" s="709"/>
      <c r="AW22" s="709"/>
      <c r="AX22" s="923">
        <v>48.02</v>
      </c>
      <c r="AY22" s="714"/>
      <c r="AZ22" s="714"/>
      <c r="BA22" s="714"/>
      <c r="BB22" s="714"/>
      <c r="BC22" s="714"/>
      <c r="BD22" s="72"/>
    </row>
    <row r="23" spans="1:56" s="31" customFormat="1" hidden="1" outlineLevel="1" x14ac:dyDescent="0.25">
      <c r="A23" s="75" t="s">
        <v>443</v>
      </c>
      <c r="B23" s="601"/>
      <c r="C23" s="710"/>
      <c r="D23" s="710"/>
      <c r="E23" s="710"/>
      <c r="F23" s="710"/>
      <c r="G23" s="710"/>
      <c r="H23" s="710"/>
      <c r="I23" s="710"/>
      <c r="J23" s="710"/>
      <c r="K23" s="710"/>
      <c r="L23" s="710"/>
      <c r="M23" s="710"/>
      <c r="N23" s="710"/>
      <c r="O23" s="710"/>
      <c r="P23" s="710"/>
      <c r="Q23" s="711"/>
      <c r="R23" s="710"/>
      <c r="S23" s="710"/>
      <c r="T23" s="710"/>
      <c r="U23" s="711"/>
      <c r="V23" s="710"/>
      <c r="W23" s="710"/>
      <c r="X23" s="710"/>
      <c r="Y23" s="711"/>
      <c r="Z23" s="710"/>
      <c r="AA23" s="710"/>
      <c r="AB23" s="710"/>
      <c r="AC23" s="711"/>
      <c r="AD23" s="710"/>
      <c r="AE23" s="710"/>
      <c r="AF23" s="712"/>
      <c r="AG23" s="713"/>
      <c r="AH23" s="713"/>
      <c r="AI23" s="713"/>
      <c r="AJ23" s="713"/>
      <c r="AK23" s="713"/>
      <c r="AL23" s="713"/>
      <c r="AM23" s="713"/>
      <c r="AN23" s="709"/>
      <c r="AO23" s="709"/>
      <c r="AP23" s="709"/>
      <c r="AQ23" s="709"/>
      <c r="AR23" s="709"/>
      <c r="AS23" s="709"/>
      <c r="AT23" s="709"/>
      <c r="AU23" s="709"/>
      <c r="AV23" s="709"/>
      <c r="AW23" s="709"/>
      <c r="AX23" s="923">
        <v>-7.5049999999999999</v>
      </c>
      <c r="AY23" s="714"/>
      <c r="AZ23" s="714"/>
      <c r="BA23" s="714"/>
      <c r="BB23" s="714"/>
      <c r="BC23" s="714"/>
      <c r="BD23" s="72"/>
    </row>
    <row r="24" spans="1:56" s="31" customFormat="1" hidden="1" outlineLevel="1" x14ac:dyDescent="0.25">
      <c r="A24" s="40" t="s">
        <v>444</v>
      </c>
      <c r="B24" s="590"/>
      <c r="C24" s="716"/>
      <c r="D24" s="716"/>
      <c r="E24" s="716"/>
      <c r="F24" s="716"/>
      <c r="G24" s="716"/>
      <c r="H24" s="716"/>
      <c r="I24" s="716"/>
      <c r="J24" s="716"/>
      <c r="K24" s="716"/>
      <c r="L24" s="716"/>
      <c r="M24" s="716"/>
      <c r="N24" s="716"/>
      <c r="O24" s="716"/>
      <c r="P24" s="716"/>
      <c r="Q24" s="717"/>
      <c r="R24" s="716"/>
      <c r="S24" s="716"/>
      <c r="T24" s="716"/>
      <c r="U24" s="717"/>
      <c r="V24" s="716"/>
      <c r="W24" s="716"/>
      <c r="X24" s="716"/>
      <c r="Y24" s="717"/>
      <c r="Z24" s="716"/>
      <c r="AA24" s="716"/>
      <c r="AB24" s="716"/>
      <c r="AC24" s="717"/>
      <c r="AD24" s="716"/>
      <c r="AE24" s="716"/>
      <c r="AF24" s="718"/>
      <c r="AG24" s="716"/>
      <c r="AH24" s="716"/>
      <c r="AI24" s="716"/>
      <c r="AJ24" s="716"/>
      <c r="AK24" s="716"/>
      <c r="AL24" s="716"/>
      <c r="AM24" s="716"/>
      <c r="AN24" s="715"/>
      <c r="AO24" s="715"/>
      <c r="AP24" s="715"/>
      <c r="AQ24" s="715"/>
      <c r="AR24" s="715"/>
      <c r="AS24" s="715"/>
      <c r="AT24" s="715"/>
      <c r="AU24" s="715"/>
      <c r="AV24" s="715"/>
      <c r="AW24" s="715"/>
      <c r="AX24" s="924">
        <f>AX29</f>
        <v>583.29</v>
      </c>
      <c r="AY24" s="715"/>
      <c r="AZ24" s="715"/>
      <c r="BA24" s="715"/>
      <c r="BB24" s="715"/>
      <c r="BC24" s="715"/>
      <c r="BD24" s="72"/>
    </row>
    <row r="25" spans="1:56" s="31" customFormat="1" collapsed="1" x14ac:dyDescent="0.25">
      <c r="A25" s="161"/>
      <c r="B25" s="182"/>
      <c r="C25" s="391"/>
      <c r="D25" s="391"/>
      <c r="E25" s="391"/>
      <c r="F25" s="391"/>
      <c r="G25" s="391"/>
      <c r="H25" s="391"/>
      <c r="I25" s="391"/>
      <c r="J25" s="391"/>
      <c r="K25" s="391"/>
      <c r="L25" s="391"/>
      <c r="M25" s="391"/>
      <c r="N25" s="391"/>
      <c r="O25" s="391"/>
      <c r="P25" s="391"/>
      <c r="Q25" s="392"/>
      <c r="R25" s="391"/>
      <c r="S25" s="391"/>
      <c r="T25" s="391"/>
      <c r="U25" s="392"/>
      <c r="V25" s="391"/>
      <c r="W25" s="391"/>
      <c r="X25" s="391"/>
      <c r="Y25" s="392"/>
      <c r="Z25" s="391"/>
      <c r="AA25" s="391"/>
      <c r="AB25" s="391"/>
      <c r="AC25" s="392"/>
      <c r="AD25" s="391"/>
      <c r="AE25" s="391"/>
      <c r="AF25" s="645"/>
      <c r="AG25" s="68"/>
      <c r="AH25" s="68"/>
      <c r="AI25" s="68"/>
      <c r="AJ25" s="68"/>
      <c r="AK25" s="68"/>
      <c r="AL25" s="68"/>
      <c r="AM25" s="68"/>
      <c r="AN25" s="390"/>
      <c r="AO25" s="390"/>
      <c r="AP25" s="390"/>
      <c r="AQ25" s="390"/>
      <c r="AR25" s="390"/>
      <c r="AS25" s="390"/>
      <c r="AT25" s="390"/>
      <c r="AU25" s="390"/>
      <c r="AV25" s="390"/>
      <c r="AW25" s="390"/>
      <c r="AX25" s="921"/>
      <c r="AY25" s="106"/>
      <c r="AZ25" s="106"/>
      <c r="BA25" s="106"/>
      <c r="BB25" s="106"/>
      <c r="BC25" s="106"/>
      <c r="BD25" s="72"/>
    </row>
    <row r="26" spans="1:56" s="38" customFormat="1" x14ac:dyDescent="0.25">
      <c r="A26" s="626" t="s">
        <v>22</v>
      </c>
      <c r="B26" s="626"/>
      <c r="C26" s="719"/>
      <c r="D26" s="719"/>
      <c r="E26" s="719"/>
      <c r="F26" s="719"/>
      <c r="G26" s="719"/>
      <c r="H26" s="719"/>
      <c r="I26" s="719"/>
      <c r="J26" s="719"/>
      <c r="K26" s="719"/>
      <c r="L26" s="719"/>
      <c r="M26" s="719"/>
      <c r="N26" s="719"/>
      <c r="O26" s="719"/>
      <c r="P26" s="719"/>
      <c r="Q26" s="719"/>
      <c r="R26" s="719"/>
      <c r="S26" s="719"/>
      <c r="T26" s="719"/>
      <c r="U26" s="719"/>
      <c r="V26" s="719"/>
      <c r="W26" s="719"/>
      <c r="X26" s="719"/>
      <c r="Y26" s="719"/>
      <c r="Z26" s="719"/>
      <c r="AA26" s="719"/>
      <c r="AB26" s="719"/>
      <c r="AC26" s="719"/>
      <c r="AD26" s="719"/>
      <c r="AE26" s="719"/>
      <c r="AF26" s="720"/>
      <c r="AG26" s="721"/>
      <c r="AH26" s="721"/>
      <c r="AI26" s="721"/>
      <c r="AJ26" s="721"/>
      <c r="AK26" s="721"/>
      <c r="AL26" s="721"/>
      <c r="AM26" s="721"/>
      <c r="AN26" s="719"/>
      <c r="AO26" s="719"/>
      <c r="AP26" s="719"/>
      <c r="AQ26" s="719"/>
      <c r="AR26" s="719"/>
      <c r="AS26" s="719"/>
      <c r="AT26" s="719"/>
      <c r="AU26" s="719"/>
      <c r="AV26" s="719"/>
      <c r="AW26" s="719"/>
      <c r="AX26" s="720"/>
      <c r="AY26" s="721"/>
      <c r="AZ26" s="721"/>
      <c r="BA26" s="721"/>
      <c r="BB26" s="721"/>
      <c r="BC26" s="721"/>
      <c r="BD26" s="632"/>
    </row>
    <row r="27" spans="1:56" s="39" customFormat="1" x14ac:dyDescent="0.25">
      <c r="A27" s="75" t="s">
        <v>23</v>
      </c>
      <c r="B27" s="183"/>
      <c r="C27" s="723"/>
      <c r="D27" s="723"/>
      <c r="E27" s="723"/>
      <c r="F27" s="723"/>
      <c r="G27" s="723"/>
      <c r="H27" s="723"/>
      <c r="I27" s="723"/>
      <c r="J27" s="723"/>
      <c r="K27" s="723"/>
      <c r="L27" s="723"/>
      <c r="M27" s="723"/>
      <c r="N27" s="723"/>
      <c r="O27" s="723"/>
      <c r="P27" s="723"/>
      <c r="Q27" s="724"/>
      <c r="R27" s="723"/>
      <c r="S27" s="723">
        <v>71.543000000000006</v>
      </c>
      <c r="T27" s="723">
        <v>76.031999999999996</v>
      </c>
      <c r="U27" s="724">
        <v>77.022000000000006</v>
      </c>
      <c r="V27" s="725">
        <f>AV27-SUM(S27,T27,U27)</f>
        <v>83.662000000000035</v>
      </c>
      <c r="W27" s="723">
        <v>74.430999999999997</v>
      </c>
      <c r="X27" s="723">
        <v>80.256</v>
      </c>
      <c r="Y27" s="724">
        <v>80.516000000000005</v>
      </c>
      <c r="Z27" s="725">
        <f>AW27-SUM(W27,X27,Y27)</f>
        <v>81.61099999999999</v>
      </c>
      <c r="AA27" s="723">
        <v>79.45</v>
      </c>
      <c r="AB27" s="723">
        <v>81.058999999999997</v>
      </c>
      <c r="AC27" s="724">
        <v>82.49</v>
      </c>
      <c r="AD27" s="725">
        <f>AX27-SUM(AA27,AB27,AC27)</f>
        <v>86.795999999999992</v>
      </c>
      <c r="AE27" s="723">
        <v>74.378</v>
      </c>
      <c r="AF27" s="727">
        <v>65.811000000000007</v>
      </c>
      <c r="AG27" s="878">
        <f>Drivers!AG34</f>
        <v>80</v>
      </c>
      <c r="AH27" s="878">
        <f>Drivers!AH34</f>
        <v>85</v>
      </c>
      <c r="AI27" s="730">
        <f t="shared" ref="AI27:AL28" si="7">AE27*(1+AI7)</f>
        <v>79.584460000000007</v>
      </c>
      <c r="AJ27" s="730">
        <f t="shared" si="7"/>
        <v>73.708320000000015</v>
      </c>
      <c r="AK27" s="730">
        <f t="shared" si="7"/>
        <v>80.8</v>
      </c>
      <c r="AL27" s="730">
        <f t="shared" si="7"/>
        <v>85.85</v>
      </c>
      <c r="AM27" s="730"/>
      <c r="AN27" s="722"/>
      <c r="AO27" s="722"/>
      <c r="AP27" s="722"/>
      <c r="AQ27" s="722"/>
      <c r="AR27" s="722"/>
      <c r="AS27" s="722"/>
      <c r="AT27" s="722"/>
      <c r="AU27" s="722"/>
      <c r="AV27" s="726">
        <v>308.25900000000001</v>
      </c>
      <c r="AW27" s="726">
        <v>316.81400000000002</v>
      </c>
      <c r="AX27" s="925">
        <v>329.79500000000002</v>
      </c>
      <c r="AY27" s="729">
        <f>SUM(AE27,AF27,AG27,AH27)</f>
        <v>305.18900000000002</v>
      </c>
      <c r="AZ27" s="729">
        <f>SUM(AI27,AJ27,AK27,AL27)</f>
        <v>319.94277999999997</v>
      </c>
      <c r="BA27" s="729">
        <f t="shared" ref="BA27:BC28" si="8">AZ27*(1+BA7)</f>
        <v>351.93705799999998</v>
      </c>
      <c r="BB27" s="729">
        <f t="shared" si="8"/>
        <v>387.13076380000001</v>
      </c>
      <c r="BC27" s="729">
        <f t="shared" si="8"/>
        <v>406.48730199000005</v>
      </c>
      <c r="BD27" s="631"/>
    </row>
    <row r="28" spans="1:56" s="39" customFormat="1" x14ac:dyDescent="0.25">
      <c r="A28" s="227" t="s">
        <v>24</v>
      </c>
      <c r="B28" s="233"/>
      <c r="C28" s="732"/>
      <c r="D28" s="732"/>
      <c r="E28" s="732"/>
      <c r="F28" s="732"/>
      <c r="G28" s="732"/>
      <c r="H28" s="732"/>
      <c r="I28" s="732"/>
      <c r="J28" s="732"/>
      <c r="K28" s="732"/>
      <c r="L28" s="732"/>
      <c r="M28" s="732"/>
      <c r="N28" s="732"/>
      <c r="O28" s="732"/>
      <c r="P28" s="732"/>
      <c r="Q28" s="733"/>
      <c r="R28" s="732"/>
      <c r="S28" s="732">
        <v>50.904000000000003</v>
      </c>
      <c r="T28" s="732">
        <v>55.128999999999998</v>
      </c>
      <c r="U28" s="733">
        <v>47.075000000000003</v>
      </c>
      <c r="V28" s="734">
        <f>AV28-SUM(S28,T28,U28)</f>
        <v>47.841000000000008</v>
      </c>
      <c r="W28" s="732">
        <v>50.600999999999999</v>
      </c>
      <c r="X28" s="732">
        <v>53.435000000000002</v>
      </c>
      <c r="Y28" s="733">
        <v>43.05</v>
      </c>
      <c r="Z28" s="734">
        <f>AW28-SUM(W28,X28,Y28)</f>
        <v>51.259999999999991</v>
      </c>
      <c r="AA28" s="732">
        <v>60.023000000000003</v>
      </c>
      <c r="AB28" s="732">
        <v>68.353999999999999</v>
      </c>
      <c r="AC28" s="733">
        <v>56.515000000000001</v>
      </c>
      <c r="AD28" s="734">
        <f>AX28-SUM(AA28,AB28,AC28)</f>
        <v>68.603000000000009</v>
      </c>
      <c r="AE28" s="732">
        <v>53.902999999999999</v>
      </c>
      <c r="AF28" s="736">
        <v>40.332999999999998</v>
      </c>
      <c r="AG28" s="879">
        <f>Drivers!AG35</f>
        <v>50</v>
      </c>
      <c r="AH28" s="879">
        <f>Drivers!AH35</f>
        <v>62</v>
      </c>
      <c r="AI28" s="734">
        <f t="shared" si="7"/>
        <v>57.676210000000005</v>
      </c>
      <c r="AJ28" s="734">
        <f t="shared" si="7"/>
        <v>53.642890000000001</v>
      </c>
      <c r="AK28" s="734">
        <f t="shared" si="7"/>
        <v>51.5</v>
      </c>
      <c r="AL28" s="734">
        <f t="shared" si="7"/>
        <v>63.86</v>
      </c>
      <c r="AM28" s="734"/>
      <c r="AN28" s="731"/>
      <c r="AO28" s="731"/>
      <c r="AP28" s="731"/>
      <c r="AQ28" s="731"/>
      <c r="AR28" s="731"/>
      <c r="AS28" s="731"/>
      <c r="AT28" s="731"/>
      <c r="AU28" s="731"/>
      <c r="AV28" s="735">
        <v>200.94900000000001</v>
      </c>
      <c r="AW28" s="735">
        <v>198.346</v>
      </c>
      <c r="AX28" s="926">
        <v>253.495</v>
      </c>
      <c r="AY28" s="735">
        <f>SUM(AE28,AF28,AG28,AH28)</f>
        <v>206.23599999999999</v>
      </c>
      <c r="AZ28" s="735">
        <f>SUM(AI28,AJ28,AK28,AL28)</f>
        <v>226.67910000000001</v>
      </c>
      <c r="BA28" s="735">
        <f t="shared" si="8"/>
        <v>249.34701000000004</v>
      </c>
      <c r="BB28" s="735">
        <f t="shared" si="8"/>
        <v>274.28171100000009</v>
      </c>
      <c r="BC28" s="735">
        <f t="shared" si="8"/>
        <v>287.99579655000008</v>
      </c>
      <c r="BD28" s="631"/>
    </row>
    <row r="29" spans="1:56" s="38" customFormat="1" x14ac:dyDescent="0.25">
      <c r="A29" s="162" t="s">
        <v>25</v>
      </c>
      <c r="B29" s="234"/>
      <c r="C29" s="704">
        <f t="shared" ref="C29:R29" si="9">C47</f>
        <v>101.373</v>
      </c>
      <c r="D29" s="704">
        <f t="shared" si="9"/>
        <v>104.899</v>
      </c>
      <c r="E29" s="704">
        <f t="shared" si="9"/>
        <v>113.197</v>
      </c>
      <c r="F29" s="704">
        <f t="shared" si="9"/>
        <v>117.21999999999997</v>
      </c>
      <c r="G29" s="704">
        <f t="shared" si="9"/>
        <v>117.88</v>
      </c>
      <c r="H29" s="704">
        <f t="shared" si="9"/>
        <v>134.91800000000001</v>
      </c>
      <c r="I29" s="704">
        <f t="shared" si="9"/>
        <v>123.869</v>
      </c>
      <c r="J29" s="704">
        <f t="shared" si="9"/>
        <v>125.2</v>
      </c>
      <c r="K29" s="704">
        <f t="shared" si="9"/>
        <v>115.253</v>
      </c>
      <c r="L29" s="704">
        <f t="shared" si="9"/>
        <v>125.66499999999999</v>
      </c>
      <c r="M29" s="704">
        <f t="shared" si="9"/>
        <v>122.931</v>
      </c>
      <c r="N29" s="704">
        <f t="shared" si="9"/>
        <v>126.431</v>
      </c>
      <c r="O29" s="704">
        <f t="shared" si="9"/>
        <v>115.756</v>
      </c>
      <c r="P29" s="704">
        <f t="shared" si="9"/>
        <v>125.542</v>
      </c>
      <c r="Q29" s="705">
        <f t="shared" si="9"/>
        <v>121.97799999999999</v>
      </c>
      <c r="R29" s="704">
        <f t="shared" si="9"/>
        <v>127.283</v>
      </c>
      <c r="S29" s="704">
        <f t="shared" ref="S29:AL29" si="10">SUM(S27:S28)</f>
        <v>122.447</v>
      </c>
      <c r="T29" s="704">
        <f t="shared" si="10"/>
        <v>131.161</v>
      </c>
      <c r="U29" s="704">
        <f t="shared" si="10"/>
        <v>124.09700000000001</v>
      </c>
      <c r="V29" s="704">
        <f t="shared" si="10"/>
        <v>131.50300000000004</v>
      </c>
      <c r="W29" s="704">
        <f t="shared" si="10"/>
        <v>125.032</v>
      </c>
      <c r="X29" s="704">
        <f t="shared" si="10"/>
        <v>133.691</v>
      </c>
      <c r="Y29" s="705">
        <f t="shared" si="10"/>
        <v>123.566</v>
      </c>
      <c r="Z29" s="704">
        <f t="shared" si="10"/>
        <v>132.87099999999998</v>
      </c>
      <c r="AA29" s="704">
        <f t="shared" si="10"/>
        <v>139.47300000000001</v>
      </c>
      <c r="AB29" s="704">
        <f t="shared" si="10"/>
        <v>149.41300000000001</v>
      </c>
      <c r="AC29" s="705">
        <f t="shared" si="10"/>
        <v>139.005</v>
      </c>
      <c r="AD29" s="704">
        <f t="shared" si="10"/>
        <v>155.399</v>
      </c>
      <c r="AE29" s="704">
        <f t="shared" si="10"/>
        <v>128.28100000000001</v>
      </c>
      <c r="AF29" s="706">
        <f t="shared" si="10"/>
        <v>106.14400000000001</v>
      </c>
      <c r="AG29" s="707">
        <f t="shared" si="10"/>
        <v>130</v>
      </c>
      <c r="AH29" s="707">
        <f t="shared" si="10"/>
        <v>147</v>
      </c>
      <c r="AI29" s="707">
        <f t="shared" si="10"/>
        <v>137.26067</v>
      </c>
      <c r="AJ29" s="707">
        <f t="shared" si="10"/>
        <v>127.35121000000001</v>
      </c>
      <c r="AK29" s="707">
        <f t="shared" si="10"/>
        <v>132.30000000000001</v>
      </c>
      <c r="AL29" s="707">
        <f t="shared" si="10"/>
        <v>149.70999999999998</v>
      </c>
      <c r="AM29" s="707"/>
      <c r="AN29" s="703"/>
      <c r="AO29" s="703">
        <f t="shared" ref="AO29:AU29" si="11">AO47</f>
        <v>259.92599999999999</v>
      </c>
      <c r="AP29" s="703">
        <f t="shared" si="11"/>
        <v>333.16700000000003</v>
      </c>
      <c r="AQ29" s="703">
        <f t="shared" si="11"/>
        <v>401.572</v>
      </c>
      <c r="AR29" s="703">
        <f t="shared" si="11"/>
        <v>436.68899999999996</v>
      </c>
      <c r="AS29" s="703">
        <f t="shared" si="11"/>
        <v>501.86700000000002</v>
      </c>
      <c r="AT29" s="703">
        <f t="shared" si="11"/>
        <v>490.28</v>
      </c>
      <c r="AU29" s="703">
        <f t="shared" si="11"/>
        <v>490.55899999999997</v>
      </c>
      <c r="AV29" s="703">
        <f t="shared" ref="AV29:BC29" si="12">SUM(AV27:AV28)</f>
        <v>509.20800000000003</v>
      </c>
      <c r="AW29" s="703">
        <f t="shared" si="12"/>
        <v>515.16000000000008</v>
      </c>
      <c r="AX29" s="922">
        <f t="shared" si="12"/>
        <v>583.29</v>
      </c>
      <c r="AY29" s="708">
        <f t="shared" si="12"/>
        <v>511.42500000000001</v>
      </c>
      <c r="AZ29" s="708">
        <f t="shared" si="12"/>
        <v>546.62187999999992</v>
      </c>
      <c r="BA29" s="708">
        <f t="shared" si="12"/>
        <v>601.28406800000005</v>
      </c>
      <c r="BB29" s="708">
        <f t="shared" si="12"/>
        <v>661.41247480000015</v>
      </c>
      <c r="BC29" s="708">
        <f t="shared" si="12"/>
        <v>694.48309854000013</v>
      </c>
      <c r="BD29" s="632"/>
    </row>
    <row r="30" spans="1:56" s="38" customFormat="1" x14ac:dyDescent="0.25">
      <c r="A30" s="162"/>
      <c r="B30" s="234"/>
      <c r="C30" s="704"/>
      <c r="D30" s="704"/>
      <c r="E30" s="704"/>
      <c r="F30" s="704"/>
      <c r="G30" s="704"/>
      <c r="H30" s="704"/>
      <c r="I30" s="704"/>
      <c r="J30" s="704"/>
      <c r="K30" s="704"/>
      <c r="L30" s="704"/>
      <c r="M30" s="704"/>
      <c r="N30" s="704"/>
      <c r="O30" s="704"/>
      <c r="P30" s="704"/>
      <c r="Q30" s="705"/>
      <c r="R30" s="704"/>
      <c r="S30" s="704"/>
      <c r="T30" s="704"/>
      <c r="U30" s="705"/>
      <c r="V30" s="704"/>
      <c r="W30" s="704"/>
      <c r="X30" s="704"/>
      <c r="Y30" s="705"/>
      <c r="Z30" s="704"/>
      <c r="AA30" s="704"/>
      <c r="AB30" s="704"/>
      <c r="AC30" s="705"/>
      <c r="AD30" s="704"/>
      <c r="AE30" s="704"/>
      <c r="AF30" s="706"/>
      <c r="AG30" s="707"/>
      <c r="AH30" s="707"/>
      <c r="AI30" s="707"/>
      <c r="AJ30" s="707"/>
      <c r="AK30" s="707"/>
      <c r="AL30" s="707"/>
      <c r="AM30" s="707"/>
      <c r="AN30" s="703"/>
      <c r="AO30" s="703"/>
      <c r="AP30" s="703"/>
      <c r="AQ30" s="703"/>
      <c r="AR30" s="703"/>
      <c r="AS30" s="703"/>
      <c r="AT30" s="703"/>
      <c r="AU30" s="703"/>
      <c r="AV30" s="703"/>
      <c r="AW30" s="703"/>
      <c r="AX30" s="922"/>
      <c r="AY30" s="708"/>
      <c r="AZ30" s="708"/>
      <c r="BA30" s="708"/>
      <c r="BB30" s="708"/>
      <c r="BC30" s="708"/>
      <c r="BD30" s="632"/>
    </row>
    <row r="31" spans="1:56" s="39" customFormat="1" x14ac:dyDescent="0.25">
      <c r="A31" s="75" t="s">
        <v>26</v>
      </c>
      <c r="B31" s="183"/>
      <c r="C31" s="723"/>
      <c r="D31" s="723"/>
      <c r="E31" s="723"/>
      <c r="F31" s="723"/>
      <c r="G31" s="723"/>
      <c r="H31" s="723"/>
      <c r="I31" s="723"/>
      <c r="J31" s="723"/>
      <c r="K31" s="723"/>
      <c r="L31" s="723"/>
      <c r="M31" s="723"/>
      <c r="N31" s="723"/>
      <c r="O31" s="723"/>
      <c r="P31" s="723"/>
      <c r="Q31" s="724"/>
      <c r="R31" s="723"/>
      <c r="S31" s="723">
        <f t="shared" ref="S31:AF31" si="13">S27-S35</f>
        <v>58.536000000000008</v>
      </c>
      <c r="T31" s="723">
        <f t="shared" si="13"/>
        <v>61.997</v>
      </c>
      <c r="U31" s="723">
        <f t="shared" si="13"/>
        <v>65.13000000000001</v>
      </c>
      <c r="V31" s="724">
        <f t="shared" si="13"/>
        <v>69.638000000000034</v>
      </c>
      <c r="W31" s="723">
        <f t="shared" si="13"/>
        <v>63.321999999999996</v>
      </c>
      <c r="X31" s="723">
        <f t="shared" si="13"/>
        <v>65.247</v>
      </c>
      <c r="Y31" s="724">
        <f t="shared" si="13"/>
        <v>67.116</v>
      </c>
      <c r="Z31" s="724">
        <f t="shared" si="13"/>
        <v>70.253999999999991</v>
      </c>
      <c r="AA31" s="723">
        <f t="shared" si="13"/>
        <v>66.040999999999997</v>
      </c>
      <c r="AB31" s="723">
        <f t="shared" si="13"/>
        <v>67.665999999999997</v>
      </c>
      <c r="AC31" s="724">
        <f t="shared" si="13"/>
        <v>68.199999999999989</v>
      </c>
      <c r="AD31" s="724">
        <f t="shared" si="13"/>
        <v>72.032999999999987</v>
      </c>
      <c r="AE31" s="723">
        <f t="shared" si="13"/>
        <v>62.884999999999998</v>
      </c>
      <c r="AF31" s="727">
        <f t="shared" si="13"/>
        <v>54.409000000000006</v>
      </c>
      <c r="AG31" s="730">
        <f t="shared" ref="AG31:AL32" si="14">AG27*AG83</f>
        <v>66.16</v>
      </c>
      <c r="AH31" s="730">
        <f t="shared" si="14"/>
        <v>69.7</v>
      </c>
      <c r="AI31" s="730">
        <f t="shared" si="14"/>
        <v>65.657179499999998</v>
      </c>
      <c r="AJ31" s="730">
        <f t="shared" si="14"/>
        <v>60.440822400000009</v>
      </c>
      <c r="AK31" s="730">
        <f t="shared" si="14"/>
        <v>66.256</v>
      </c>
      <c r="AL31" s="730">
        <f t="shared" si="14"/>
        <v>70.396999999999991</v>
      </c>
      <c r="AM31" s="730"/>
      <c r="AN31" s="722"/>
      <c r="AO31" s="722"/>
      <c r="AP31" s="722"/>
      <c r="AQ31" s="722"/>
      <c r="AR31" s="722"/>
      <c r="AS31" s="722"/>
      <c r="AT31" s="722"/>
      <c r="AU31" s="722"/>
      <c r="AV31" s="726">
        <f t="shared" ref="AV31:AX32" si="15">AV27-AV35</f>
        <v>255.30100000000002</v>
      </c>
      <c r="AW31" s="726">
        <f t="shared" si="15"/>
        <v>265.93900000000002</v>
      </c>
      <c r="AX31" s="925">
        <f t="shared" si="15"/>
        <v>273.94</v>
      </c>
      <c r="AY31" s="729">
        <f>SUM(AE31,AF31,AG31,AH31)</f>
        <v>253.154</v>
      </c>
      <c r="AZ31" s="729">
        <f>SUM(AI31,AJ31,AK31,AL31)</f>
        <v>262.75100190000001</v>
      </c>
      <c r="BA31" s="729">
        <f t="shared" ref="BA31:BC32" si="16">BA27*BA83</f>
        <v>286.82870226999995</v>
      </c>
      <c r="BB31" s="729">
        <f t="shared" si="16"/>
        <v>315.51157249699997</v>
      </c>
      <c r="BC31" s="729">
        <f t="shared" si="16"/>
        <v>331.28715112185</v>
      </c>
      <c r="BD31" s="631"/>
    </row>
    <row r="32" spans="1:56" s="39" customFormat="1" x14ac:dyDescent="0.25">
      <c r="A32" s="227" t="s">
        <v>27</v>
      </c>
      <c r="B32" s="233"/>
      <c r="C32" s="732"/>
      <c r="D32" s="732"/>
      <c r="E32" s="732"/>
      <c r="F32" s="732"/>
      <c r="G32" s="732"/>
      <c r="H32" s="732"/>
      <c r="I32" s="732"/>
      <c r="J32" s="732"/>
      <c r="K32" s="732"/>
      <c r="L32" s="732"/>
      <c r="M32" s="732"/>
      <c r="N32" s="732"/>
      <c r="O32" s="732"/>
      <c r="P32" s="732"/>
      <c r="Q32" s="733"/>
      <c r="R32" s="732"/>
      <c r="S32" s="732">
        <f t="shared" ref="S32:AF32" si="17">S28-S36</f>
        <v>44.523000000000003</v>
      </c>
      <c r="T32" s="732">
        <f t="shared" si="17"/>
        <v>46.728999999999999</v>
      </c>
      <c r="U32" s="732">
        <f t="shared" si="17"/>
        <v>40.321000000000005</v>
      </c>
      <c r="V32" s="733">
        <f t="shared" si="17"/>
        <v>40.307000000000009</v>
      </c>
      <c r="W32" s="732">
        <f t="shared" si="17"/>
        <v>44.030999999999999</v>
      </c>
      <c r="X32" s="732">
        <f t="shared" si="17"/>
        <v>45.871000000000002</v>
      </c>
      <c r="Y32" s="733">
        <f t="shared" si="17"/>
        <v>37.250999999999998</v>
      </c>
      <c r="Z32" s="733">
        <f t="shared" si="17"/>
        <v>44.324999999999989</v>
      </c>
      <c r="AA32" s="732">
        <f t="shared" si="17"/>
        <v>52.154000000000003</v>
      </c>
      <c r="AB32" s="732">
        <f t="shared" si="17"/>
        <v>58.787999999999997</v>
      </c>
      <c r="AC32" s="733">
        <f t="shared" si="17"/>
        <v>49.137999999999998</v>
      </c>
      <c r="AD32" s="733">
        <f t="shared" si="17"/>
        <v>60.057000000000016</v>
      </c>
      <c r="AE32" s="732">
        <f t="shared" si="17"/>
        <v>47.781999999999996</v>
      </c>
      <c r="AF32" s="736">
        <f t="shared" si="17"/>
        <v>35.838000000000001</v>
      </c>
      <c r="AG32" s="734">
        <f t="shared" si="14"/>
        <v>43.5</v>
      </c>
      <c r="AH32" s="734">
        <f t="shared" si="14"/>
        <v>53.32</v>
      </c>
      <c r="AI32" s="734">
        <f t="shared" si="14"/>
        <v>49.6015406</v>
      </c>
      <c r="AJ32" s="734">
        <f t="shared" si="14"/>
        <v>45.864670949999997</v>
      </c>
      <c r="AK32" s="734">
        <f t="shared" si="14"/>
        <v>44.29</v>
      </c>
      <c r="AL32" s="734">
        <f t="shared" si="14"/>
        <v>52.365199999999994</v>
      </c>
      <c r="AM32" s="734"/>
      <c r="AN32" s="731"/>
      <c r="AO32" s="731"/>
      <c r="AP32" s="731"/>
      <c r="AQ32" s="731"/>
      <c r="AR32" s="731"/>
      <c r="AS32" s="731"/>
      <c r="AT32" s="731"/>
      <c r="AU32" s="731"/>
      <c r="AV32" s="735">
        <f t="shared" si="15"/>
        <v>171.88000000000002</v>
      </c>
      <c r="AW32" s="735">
        <f t="shared" si="15"/>
        <v>171.47800000000001</v>
      </c>
      <c r="AX32" s="926">
        <f t="shared" si="15"/>
        <v>220.137</v>
      </c>
      <c r="AY32" s="735">
        <f>SUM(AE32,AF32,AG32,AH32)</f>
        <v>180.44</v>
      </c>
      <c r="AZ32" s="735">
        <f>SUM(AI32,AJ32,AK32,AL32)</f>
        <v>192.12141154999998</v>
      </c>
      <c r="BA32" s="735">
        <f t="shared" si="16"/>
        <v>210.69822345000003</v>
      </c>
      <c r="BB32" s="735">
        <f t="shared" si="16"/>
        <v>231.76804579500006</v>
      </c>
      <c r="BC32" s="735">
        <f t="shared" si="16"/>
        <v>243.35644808475007</v>
      </c>
      <c r="BD32" s="631"/>
    </row>
    <row r="33" spans="1:56" s="38" customFormat="1" x14ac:dyDescent="0.25">
      <c r="A33" s="162" t="s">
        <v>28</v>
      </c>
      <c r="B33" s="234"/>
      <c r="C33" s="704">
        <f t="shared" ref="C33:R33" si="18">C53</f>
        <v>85.192000000000007</v>
      </c>
      <c r="D33" s="704">
        <f t="shared" si="18"/>
        <v>86.504000000000005</v>
      </c>
      <c r="E33" s="704">
        <f t="shared" si="18"/>
        <v>93.135999999999996</v>
      </c>
      <c r="F33" s="704">
        <f t="shared" si="18"/>
        <v>95.59199999999997</v>
      </c>
      <c r="G33" s="704">
        <f t="shared" si="18"/>
        <v>99.525000000000006</v>
      </c>
      <c r="H33" s="704">
        <f t="shared" si="18"/>
        <v>110.151</v>
      </c>
      <c r="I33" s="704">
        <f t="shared" si="18"/>
        <v>101.351</v>
      </c>
      <c r="J33" s="704">
        <f t="shared" si="18"/>
        <v>101.265</v>
      </c>
      <c r="K33" s="704">
        <f t="shared" si="18"/>
        <v>96.117999999999995</v>
      </c>
      <c r="L33" s="704">
        <f t="shared" si="18"/>
        <v>105.58900000000001</v>
      </c>
      <c r="M33" s="704">
        <f t="shared" si="18"/>
        <v>102.56199999999998</v>
      </c>
      <c r="N33" s="704">
        <f t="shared" si="18"/>
        <v>104.01900000000001</v>
      </c>
      <c r="O33" s="704">
        <f t="shared" si="18"/>
        <v>97.828999999999994</v>
      </c>
      <c r="P33" s="704">
        <f t="shared" si="18"/>
        <v>105.19799999999999</v>
      </c>
      <c r="Q33" s="705">
        <f t="shared" si="18"/>
        <v>101.97399999999999</v>
      </c>
      <c r="R33" s="704">
        <f t="shared" si="18"/>
        <v>105.401</v>
      </c>
      <c r="S33" s="704">
        <f t="shared" ref="S33:AL33" si="19">SUM(S31:S32)</f>
        <v>103.05900000000001</v>
      </c>
      <c r="T33" s="704">
        <f t="shared" si="19"/>
        <v>108.726</v>
      </c>
      <c r="U33" s="704">
        <f t="shared" si="19"/>
        <v>105.45100000000002</v>
      </c>
      <c r="V33" s="704">
        <f t="shared" si="19"/>
        <v>109.94500000000005</v>
      </c>
      <c r="W33" s="704">
        <f t="shared" si="19"/>
        <v>107.35299999999999</v>
      </c>
      <c r="X33" s="704">
        <f t="shared" si="19"/>
        <v>111.11799999999999</v>
      </c>
      <c r="Y33" s="705">
        <f t="shared" si="19"/>
        <v>104.36699999999999</v>
      </c>
      <c r="Z33" s="704">
        <f t="shared" si="19"/>
        <v>114.57899999999998</v>
      </c>
      <c r="AA33" s="704">
        <f t="shared" si="19"/>
        <v>118.19499999999999</v>
      </c>
      <c r="AB33" s="704">
        <f t="shared" si="19"/>
        <v>126.45399999999999</v>
      </c>
      <c r="AC33" s="705">
        <f t="shared" si="19"/>
        <v>117.33799999999999</v>
      </c>
      <c r="AD33" s="704">
        <f t="shared" si="19"/>
        <v>132.09</v>
      </c>
      <c r="AE33" s="704">
        <f t="shared" si="19"/>
        <v>110.667</v>
      </c>
      <c r="AF33" s="706">
        <f t="shared" si="19"/>
        <v>90.247000000000014</v>
      </c>
      <c r="AG33" s="707">
        <f t="shared" si="19"/>
        <v>109.66</v>
      </c>
      <c r="AH33" s="707">
        <f t="shared" si="19"/>
        <v>123.02000000000001</v>
      </c>
      <c r="AI33" s="707">
        <f t="shared" si="19"/>
        <v>115.25872010000001</v>
      </c>
      <c r="AJ33" s="707">
        <f t="shared" si="19"/>
        <v>106.30549335000001</v>
      </c>
      <c r="AK33" s="707">
        <f t="shared" si="19"/>
        <v>110.54599999999999</v>
      </c>
      <c r="AL33" s="707">
        <f t="shared" si="19"/>
        <v>122.76219999999998</v>
      </c>
      <c r="AM33" s="707"/>
      <c r="AN33" s="703"/>
      <c r="AO33" s="703">
        <f t="shared" ref="AO33:AU33" si="20">AO53</f>
        <v>217.23599999999999</v>
      </c>
      <c r="AP33" s="703">
        <f t="shared" si="20"/>
        <v>276.53299999999996</v>
      </c>
      <c r="AQ33" s="703">
        <f t="shared" si="20"/>
        <v>329.601</v>
      </c>
      <c r="AR33" s="703">
        <f t="shared" si="20"/>
        <v>360.42399999999998</v>
      </c>
      <c r="AS33" s="703">
        <f t="shared" si="20"/>
        <v>412.29200000000003</v>
      </c>
      <c r="AT33" s="703">
        <f t="shared" si="20"/>
        <v>408.28799999999995</v>
      </c>
      <c r="AU33" s="703">
        <f t="shared" si="20"/>
        <v>410.40199999999993</v>
      </c>
      <c r="AV33" s="703">
        <f t="shared" ref="AV33:BC33" si="21">SUM(AV31:AV32)</f>
        <v>427.18100000000004</v>
      </c>
      <c r="AW33" s="703">
        <f t="shared" si="21"/>
        <v>437.41700000000003</v>
      </c>
      <c r="AX33" s="922">
        <f t="shared" si="21"/>
        <v>494.077</v>
      </c>
      <c r="AY33" s="708">
        <f t="shared" si="21"/>
        <v>433.59399999999999</v>
      </c>
      <c r="AZ33" s="708">
        <f t="shared" si="21"/>
        <v>454.87241344999995</v>
      </c>
      <c r="BA33" s="708">
        <f t="shared" si="21"/>
        <v>497.52692572000001</v>
      </c>
      <c r="BB33" s="708">
        <f t="shared" si="21"/>
        <v>547.27961829200001</v>
      </c>
      <c r="BC33" s="708">
        <f t="shared" si="21"/>
        <v>574.64359920660013</v>
      </c>
      <c r="BD33" s="632"/>
    </row>
    <row r="34" spans="1:56" s="38" customFormat="1" x14ac:dyDescent="0.25">
      <c r="A34" s="162"/>
      <c r="B34" s="234"/>
      <c r="C34" s="704"/>
      <c r="D34" s="704"/>
      <c r="E34" s="704"/>
      <c r="F34" s="704"/>
      <c r="G34" s="704"/>
      <c r="H34" s="704"/>
      <c r="I34" s="704"/>
      <c r="J34" s="704"/>
      <c r="K34" s="704"/>
      <c r="L34" s="704"/>
      <c r="M34" s="704"/>
      <c r="N34" s="704"/>
      <c r="O34" s="704"/>
      <c r="P34" s="704"/>
      <c r="Q34" s="705"/>
      <c r="R34" s="704"/>
      <c r="S34" s="704"/>
      <c r="T34" s="704"/>
      <c r="U34" s="705"/>
      <c r="V34" s="704"/>
      <c r="W34" s="704"/>
      <c r="X34" s="704"/>
      <c r="Y34" s="705"/>
      <c r="Z34" s="704"/>
      <c r="AA34" s="704"/>
      <c r="AB34" s="704"/>
      <c r="AC34" s="705"/>
      <c r="AD34" s="704"/>
      <c r="AE34" s="704"/>
      <c r="AF34" s="706"/>
      <c r="AG34" s="707"/>
      <c r="AH34" s="707"/>
      <c r="AI34" s="707"/>
      <c r="AJ34" s="707"/>
      <c r="AK34" s="707"/>
      <c r="AL34" s="707"/>
      <c r="AM34" s="707"/>
      <c r="AN34" s="703"/>
      <c r="AO34" s="703"/>
      <c r="AP34" s="703"/>
      <c r="AQ34" s="703"/>
      <c r="AR34" s="703"/>
      <c r="AS34" s="703"/>
      <c r="AT34" s="703"/>
      <c r="AU34" s="703"/>
      <c r="AV34" s="703"/>
      <c r="AW34" s="703"/>
      <c r="AX34" s="922"/>
      <c r="AY34" s="708"/>
      <c r="AZ34" s="708"/>
      <c r="BA34" s="708"/>
      <c r="BB34" s="708"/>
      <c r="BC34" s="708"/>
      <c r="BD34" s="632"/>
    </row>
    <row r="35" spans="1:56" s="39" customFormat="1" x14ac:dyDescent="0.25">
      <c r="A35" s="75" t="s">
        <v>29</v>
      </c>
      <c r="B35" s="183"/>
      <c r="C35" s="723"/>
      <c r="D35" s="723"/>
      <c r="E35" s="723"/>
      <c r="F35" s="723"/>
      <c r="G35" s="723"/>
      <c r="H35" s="723"/>
      <c r="I35" s="723"/>
      <c r="J35" s="723"/>
      <c r="K35" s="723"/>
      <c r="L35" s="723"/>
      <c r="M35" s="723"/>
      <c r="N35" s="723"/>
      <c r="O35" s="723"/>
      <c r="P35" s="723"/>
      <c r="Q35" s="724"/>
      <c r="R35" s="723"/>
      <c r="S35" s="723">
        <v>13.007</v>
      </c>
      <c r="T35" s="723">
        <v>14.035</v>
      </c>
      <c r="U35" s="724">
        <v>11.891999999999999</v>
      </c>
      <c r="V35" s="724">
        <f>AV35-SUM(S35,T35,U35)</f>
        <v>14.024000000000001</v>
      </c>
      <c r="W35" s="723">
        <v>11.109</v>
      </c>
      <c r="X35" s="723">
        <v>15.009</v>
      </c>
      <c r="Y35" s="724">
        <v>13.4</v>
      </c>
      <c r="Z35" s="724">
        <f>AW35-SUM(W35,X35,Y35)</f>
        <v>11.356999999999999</v>
      </c>
      <c r="AA35" s="723">
        <v>13.409000000000001</v>
      </c>
      <c r="AB35" s="723">
        <v>13.393000000000001</v>
      </c>
      <c r="AC35" s="724">
        <v>14.29</v>
      </c>
      <c r="AD35" s="724">
        <f>AX35-SUM(AA35,AB35,AC35)</f>
        <v>14.762999999999998</v>
      </c>
      <c r="AE35" s="723">
        <v>11.493</v>
      </c>
      <c r="AF35" s="727">
        <v>11.401999999999999</v>
      </c>
      <c r="AG35" s="730">
        <f t="shared" ref="AG35:AL36" si="22">AG27-AG31</f>
        <v>13.840000000000003</v>
      </c>
      <c r="AH35" s="730">
        <f t="shared" si="22"/>
        <v>15.299999999999997</v>
      </c>
      <c r="AI35" s="730">
        <f t="shared" si="22"/>
        <v>13.927280500000009</v>
      </c>
      <c r="AJ35" s="730">
        <f t="shared" si="22"/>
        <v>13.267497600000006</v>
      </c>
      <c r="AK35" s="730">
        <f t="shared" si="22"/>
        <v>14.543999999999997</v>
      </c>
      <c r="AL35" s="730">
        <f t="shared" si="22"/>
        <v>15.453000000000003</v>
      </c>
      <c r="AM35" s="730"/>
      <c r="AN35" s="722"/>
      <c r="AO35" s="722"/>
      <c r="AP35" s="722"/>
      <c r="AQ35" s="722"/>
      <c r="AR35" s="722"/>
      <c r="AS35" s="722"/>
      <c r="AT35" s="722"/>
      <c r="AU35" s="722"/>
      <c r="AV35" s="726">
        <v>52.957999999999998</v>
      </c>
      <c r="AW35" s="726">
        <v>50.875</v>
      </c>
      <c r="AX35" s="925">
        <v>55.854999999999997</v>
      </c>
      <c r="AY35" s="729">
        <f>SUM(AE35,AF35,AG35,AH35)</f>
        <v>52.034999999999997</v>
      </c>
      <c r="AZ35" s="729">
        <f>SUM(AI35,AJ35,AK35,AL35)</f>
        <v>57.191778100000015</v>
      </c>
      <c r="BA35" s="729">
        <f t="shared" ref="BA35:BC36" si="23">BA27-BA31</f>
        <v>65.108355730000028</v>
      </c>
      <c r="BB35" s="729">
        <f t="shared" si="23"/>
        <v>71.619191303000036</v>
      </c>
      <c r="BC35" s="729">
        <f t="shared" si="23"/>
        <v>75.200150868150047</v>
      </c>
      <c r="BD35" s="631"/>
    </row>
    <row r="36" spans="1:56" s="39" customFormat="1" x14ac:dyDescent="0.25">
      <c r="A36" s="227" t="s">
        <v>30</v>
      </c>
      <c r="B36" s="233"/>
      <c r="C36" s="732"/>
      <c r="D36" s="732"/>
      <c r="E36" s="732"/>
      <c r="F36" s="732"/>
      <c r="G36" s="732"/>
      <c r="H36" s="732"/>
      <c r="I36" s="732"/>
      <c r="J36" s="732"/>
      <c r="K36" s="732"/>
      <c r="L36" s="732"/>
      <c r="M36" s="732"/>
      <c r="N36" s="732"/>
      <c r="O36" s="732"/>
      <c r="P36" s="732"/>
      <c r="Q36" s="733"/>
      <c r="R36" s="732"/>
      <c r="S36" s="732">
        <v>6.3810000000000002</v>
      </c>
      <c r="T36" s="732">
        <v>8.4</v>
      </c>
      <c r="U36" s="733">
        <v>6.7539999999999996</v>
      </c>
      <c r="V36" s="733">
        <f>AV36-SUM(S36,T36,U36)</f>
        <v>7.5339999999999989</v>
      </c>
      <c r="W36" s="732">
        <v>6.57</v>
      </c>
      <c r="X36" s="732">
        <v>7.5640000000000001</v>
      </c>
      <c r="Y36" s="733">
        <v>5.7990000000000004</v>
      </c>
      <c r="Z36" s="733">
        <f>AW36-SUM(W36,X36,Y36)</f>
        <v>6.9349999999999987</v>
      </c>
      <c r="AA36" s="732">
        <v>7.8689999999999998</v>
      </c>
      <c r="AB36" s="732">
        <v>9.5660000000000007</v>
      </c>
      <c r="AC36" s="733">
        <v>7.3769999999999998</v>
      </c>
      <c r="AD36" s="733">
        <f>AX36-SUM(AA36,AB36,AC36)</f>
        <v>8.5459999999999958</v>
      </c>
      <c r="AE36" s="732">
        <v>6.1210000000000004</v>
      </c>
      <c r="AF36" s="736">
        <v>4.4950000000000001</v>
      </c>
      <c r="AG36" s="734">
        <f t="shared" si="22"/>
        <v>6.5</v>
      </c>
      <c r="AH36" s="734">
        <f t="shared" si="22"/>
        <v>8.68</v>
      </c>
      <c r="AI36" s="734">
        <f t="shared" si="22"/>
        <v>8.0746694000000048</v>
      </c>
      <c r="AJ36" s="734">
        <f t="shared" si="22"/>
        <v>7.7782190500000041</v>
      </c>
      <c r="AK36" s="734">
        <f t="shared" si="22"/>
        <v>7.2100000000000009</v>
      </c>
      <c r="AL36" s="734">
        <f t="shared" si="22"/>
        <v>11.494800000000005</v>
      </c>
      <c r="AM36" s="734"/>
      <c r="AN36" s="731"/>
      <c r="AO36" s="731"/>
      <c r="AP36" s="731"/>
      <c r="AQ36" s="731"/>
      <c r="AR36" s="731"/>
      <c r="AS36" s="731"/>
      <c r="AT36" s="731"/>
      <c r="AU36" s="731"/>
      <c r="AV36" s="735">
        <v>29.068999999999999</v>
      </c>
      <c r="AW36" s="735">
        <v>26.867999999999999</v>
      </c>
      <c r="AX36" s="926">
        <v>33.357999999999997</v>
      </c>
      <c r="AY36" s="735">
        <f>SUM(AE36,AF36,AG36,AH36)</f>
        <v>25.795999999999999</v>
      </c>
      <c r="AZ36" s="735">
        <f>SUM(AI36,AJ36,AK36,AL36)</f>
        <v>34.557688450000015</v>
      </c>
      <c r="BA36" s="735">
        <f t="shared" si="23"/>
        <v>38.648786550000011</v>
      </c>
      <c r="BB36" s="735">
        <f t="shared" si="23"/>
        <v>42.513665205000024</v>
      </c>
      <c r="BC36" s="735">
        <f t="shared" si="23"/>
        <v>44.639348465250009</v>
      </c>
      <c r="BD36" s="631"/>
    </row>
    <row r="37" spans="1:56" s="38" customFormat="1" x14ac:dyDescent="0.25">
      <c r="A37" s="162" t="s">
        <v>31</v>
      </c>
      <c r="B37" s="234"/>
      <c r="C37" s="704">
        <f t="shared" ref="C37:R37" si="24">C59</f>
        <v>16.181000000000001</v>
      </c>
      <c r="D37" s="704">
        <f t="shared" si="24"/>
        <v>18.395000000000003</v>
      </c>
      <c r="E37" s="704">
        <f t="shared" si="24"/>
        <v>20.061</v>
      </c>
      <c r="F37" s="704">
        <f t="shared" si="24"/>
        <v>21.628</v>
      </c>
      <c r="G37" s="704">
        <f t="shared" si="24"/>
        <v>18.355</v>
      </c>
      <c r="H37" s="704">
        <f t="shared" si="24"/>
        <v>24.766999999999999</v>
      </c>
      <c r="I37" s="704">
        <f t="shared" si="24"/>
        <v>22.518000000000001</v>
      </c>
      <c r="J37" s="704">
        <f t="shared" si="24"/>
        <v>23.935000000000002</v>
      </c>
      <c r="K37" s="704">
        <f t="shared" si="24"/>
        <v>19.135000000000002</v>
      </c>
      <c r="L37" s="704">
        <f t="shared" si="24"/>
        <v>20.076000000000001</v>
      </c>
      <c r="M37" s="704">
        <f t="shared" si="24"/>
        <v>20.369</v>
      </c>
      <c r="N37" s="704">
        <f t="shared" si="24"/>
        <v>22.411999999999999</v>
      </c>
      <c r="O37" s="704">
        <f t="shared" si="24"/>
        <v>17.927</v>
      </c>
      <c r="P37" s="704">
        <f t="shared" si="24"/>
        <v>20.343999999999998</v>
      </c>
      <c r="Q37" s="705">
        <f t="shared" si="24"/>
        <v>20.003999999999998</v>
      </c>
      <c r="R37" s="704">
        <f t="shared" si="24"/>
        <v>21.881999999999998</v>
      </c>
      <c r="S37" s="704">
        <f t="shared" ref="S37:AL37" si="25">SUM(S35:S36)</f>
        <v>19.387999999999998</v>
      </c>
      <c r="T37" s="704">
        <f t="shared" si="25"/>
        <v>22.435000000000002</v>
      </c>
      <c r="U37" s="704">
        <f t="shared" si="25"/>
        <v>18.646000000000001</v>
      </c>
      <c r="V37" s="704">
        <f t="shared" si="25"/>
        <v>21.558</v>
      </c>
      <c r="W37" s="704">
        <f t="shared" si="25"/>
        <v>17.679000000000002</v>
      </c>
      <c r="X37" s="704">
        <f t="shared" si="25"/>
        <v>22.573</v>
      </c>
      <c r="Y37" s="705">
        <f t="shared" si="25"/>
        <v>19.199000000000002</v>
      </c>
      <c r="Z37" s="704">
        <f t="shared" si="25"/>
        <v>18.291999999999998</v>
      </c>
      <c r="AA37" s="704">
        <f t="shared" si="25"/>
        <v>21.277999999999999</v>
      </c>
      <c r="AB37" s="704">
        <f t="shared" si="25"/>
        <v>22.959000000000003</v>
      </c>
      <c r="AC37" s="705">
        <f t="shared" si="25"/>
        <v>21.666999999999998</v>
      </c>
      <c r="AD37" s="704">
        <f t="shared" si="25"/>
        <v>23.308999999999994</v>
      </c>
      <c r="AE37" s="704">
        <f t="shared" si="25"/>
        <v>17.614000000000001</v>
      </c>
      <c r="AF37" s="706">
        <f t="shared" si="25"/>
        <v>15.896999999999998</v>
      </c>
      <c r="AG37" s="707">
        <f t="shared" si="25"/>
        <v>20.340000000000003</v>
      </c>
      <c r="AH37" s="707">
        <f t="shared" si="25"/>
        <v>23.979999999999997</v>
      </c>
      <c r="AI37" s="707">
        <f t="shared" si="25"/>
        <v>22.001949900000014</v>
      </c>
      <c r="AJ37" s="707">
        <f t="shared" si="25"/>
        <v>21.04571665000001</v>
      </c>
      <c r="AK37" s="707">
        <f t="shared" si="25"/>
        <v>21.753999999999998</v>
      </c>
      <c r="AL37" s="707">
        <f t="shared" si="25"/>
        <v>26.947800000000008</v>
      </c>
      <c r="AM37" s="707"/>
      <c r="AN37" s="703"/>
      <c r="AO37" s="703">
        <f t="shared" ref="AO37:AU37" si="26">AO59</f>
        <v>42.69</v>
      </c>
      <c r="AP37" s="703">
        <f t="shared" si="26"/>
        <v>56.634</v>
      </c>
      <c r="AQ37" s="703">
        <f t="shared" si="26"/>
        <v>71.971000000000004</v>
      </c>
      <c r="AR37" s="703">
        <f t="shared" si="26"/>
        <v>76.265000000000001</v>
      </c>
      <c r="AS37" s="703">
        <f t="shared" si="26"/>
        <v>89.575000000000017</v>
      </c>
      <c r="AT37" s="703">
        <f t="shared" si="26"/>
        <v>81.99199999999999</v>
      </c>
      <c r="AU37" s="703">
        <f t="shared" si="26"/>
        <v>80.156999999999996</v>
      </c>
      <c r="AV37" s="703">
        <f t="shared" ref="AV37:BC37" si="27">SUM(AV35:AV36)</f>
        <v>82.027000000000001</v>
      </c>
      <c r="AW37" s="703">
        <f t="shared" si="27"/>
        <v>77.742999999999995</v>
      </c>
      <c r="AX37" s="922">
        <f t="shared" si="27"/>
        <v>89.212999999999994</v>
      </c>
      <c r="AY37" s="708">
        <f t="shared" si="27"/>
        <v>77.830999999999989</v>
      </c>
      <c r="AZ37" s="708">
        <f t="shared" si="27"/>
        <v>91.749466550000022</v>
      </c>
      <c r="BA37" s="708">
        <f t="shared" si="27"/>
        <v>103.75714228000004</v>
      </c>
      <c r="BB37" s="708">
        <f t="shared" si="27"/>
        <v>114.13285650800006</v>
      </c>
      <c r="BC37" s="708">
        <f t="shared" si="27"/>
        <v>119.83949933340006</v>
      </c>
      <c r="BD37" s="632"/>
    </row>
    <row r="38" spans="1:56" s="31" customFormat="1" x14ac:dyDescent="0.25">
      <c r="A38" s="161"/>
      <c r="B38" s="182"/>
      <c r="C38" s="391"/>
      <c r="D38" s="391"/>
      <c r="E38" s="391"/>
      <c r="F38" s="391"/>
      <c r="G38" s="391"/>
      <c r="H38" s="391"/>
      <c r="I38" s="391"/>
      <c r="J38" s="391"/>
      <c r="K38" s="391"/>
      <c r="L38" s="391"/>
      <c r="M38" s="391"/>
      <c r="N38" s="391"/>
      <c r="O38" s="391"/>
      <c r="P38" s="391"/>
      <c r="Q38" s="392"/>
      <c r="R38" s="391"/>
      <c r="S38" s="391"/>
      <c r="T38" s="391"/>
      <c r="U38" s="392"/>
      <c r="V38" s="391"/>
      <c r="W38" s="391"/>
      <c r="X38" s="391"/>
      <c r="Y38" s="392"/>
      <c r="Z38" s="391"/>
      <c r="AA38" s="391"/>
      <c r="AB38" s="391"/>
      <c r="AC38" s="392"/>
      <c r="AD38" s="391"/>
      <c r="AE38" s="391"/>
      <c r="AF38" s="645"/>
      <c r="AG38" s="68"/>
      <c r="AH38" s="68"/>
      <c r="AI38" s="68"/>
      <c r="AJ38" s="68"/>
      <c r="AK38" s="68"/>
      <c r="AL38" s="68"/>
      <c r="AM38" s="68"/>
      <c r="AN38" s="390"/>
      <c r="AO38" s="390"/>
      <c r="AP38" s="390"/>
      <c r="AQ38" s="390"/>
      <c r="AR38" s="390"/>
      <c r="AS38" s="390"/>
      <c r="AT38" s="390"/>
      <c r="AU38" s="390"/>
      <c r="AV38" s="390"/>
      <c r="AW38" s="390"/>
      <c r="AX38" s="921"/>
      <c r="AY38" s="106"/>
      <c r="AZ38" s="106"/>
      <c r="BA38" s="106"/>
      <c r="BB38" s="106"/>
      <c r="BC38" s="106"/>
      <c r="BD38" s="72"/>
    </row>
    <row r="39" spans="1:56" s="38" customFormat="1" x14ac:dyDescent="0.25">
      <c r="A39" s="626" t="s">
        <v>45</v>
      </c>
      <c r="B39" s="626"/>
      <c r="C39" s="719"/>
      <c r="D39" s="719"/>
      <c r="E39" s="719"/>
      <c r="F39" s="719"/>
      <c r="G39" s="719"/>
      <c r="H39" s="719"/>
      <c r="I39" s="719"/>
      <c r="J39" s="719"/>
      <c r="K39" s="719"/>
      <c r="L39" s="719"/>
      <c r="M39" s="719"/>
      <c r="N39" s="719"/>
      <c r="O39" s="719"/>
      <c r="P39" s="719"/>
      <c r="Q39" s="719"/>
      <c r="R39" s="719"/>
      <c r="S39" s="719"/>
      <c r="T39" s="719"/>
      <c r="U39" s="719"/>
      <c r="V39" s="719"/>
      <c r="W39" s="719"/>
      <c r="X39" s="719"/>
      <c r="Y39" s="719"/>
      <c r="Z39" s="719"/>
      <c r="AA39" s="719"/>
      <c r="AB39" s="719"/>
      <c r="AC39" s="719"/>
      <c r="AD39" s="719"/>
      <c r="AE39" s="719"/>
      <c r="AF39" s="720"/>
      <c r="AG39" s="721"/>
      <c r="AH39" s="721"/>
      <c r="AI39" s="721"/>
      <c r="AJ39" s="721"/>
      <c r="AK39" s="721"/>
      <c r="AL39" s="721"/>
      <c r="AM39" s="721"/>
      <c r="AN39" s="719"/>
      <c r="AO39" s="719"/>
      <c r="AP39" s="719"/>
      <c r="AQ39" s="719"/>
      <c r="AR39" s="719"/>
      <c r="AS39" s="719"/>
      <c r="AT39" s="719"/>
      <c r="AU39" s="719"/>
      <c r="AV39" s="719"/>
      <c r="AW39" s="719"/>
      <c r="AX39" s="720"/>
      <c r="AY39" s="721"/>
      <c r="AZ39" s="721"/>
      <c r="BA39" s="721"/>
      <c r="BB39" s="721"/>
      <c r="BC39" s="721"/>
      <c r="BD39" s="632"/>
    </row>
    <row r="40" spans="1:56" s="39" customFormat="1" hidden="1" outlineLevel="1" x14ac:dyDescent="0.25">
      <c r="A40" s="521" t="s">
        <v>46</v>
      </c>
      <c r="B40" s="183"/>
      <c r="C40" s="723"/>
      <c r="D40" s="723">
        <v>243.8</v>
      </c>
      <c r="E40" s="723"/>
      <c r="F40" s="723">
        <f>AR40</f>
        <v>239.5</v>
      </c>
      <c r="G40" s="723"/>
      <c r="H40" s="723">
        <v>226</v>
      </c>
      <c r="I40" s="723"/>
      <c r="J40" s="723">
        <f>AS40</f>
        <v>234.1</v>
      </c>
      <c r="K40" s="723">
        <v>251</v>
      </c>
      <c r="L40" s="723">
        <v>252</v>
      </c>
      <c r="M40" s="723"/>
      <c r="N40" s="723">
        <f>AT40</f>
        <v>239.1</v>
      </c>
      <c r="O40" s="723">
        <v>254</v>
      </c>
      <c r="P40" s="723">
        <v>251</v>
      </c>
      <c r="Q40" s="724"/>
      <c r="R40" s="723">
        <f>AU40</f>
        <v>284.60000000000002</v>
      </c>
      <c r="S40" s="723"/>
      <c r="T40" s="723"/>
      <c r="U40" s="724">
        <v>239.7</v>
      </c>
      <c r="V40" s="723">
        <f>AV40</f>
        <v>268.60000000000002</v>
      </c>
      <c r="W40" s="723">
        <v>276.5</v>
      </c>
      <c r="X40" s="723">
        <v>268.8</v>
      </c>
      <c r="Y40" s="724">
        <v>264.39999999999998</v>
      </c>
      <c r="Z40" s="723">
        <f>AW40</f>
        <v>318</v>
      </c>
      <c r="AA40" s="723">
        <v>334.7</v>
      </c>
      <c r="AB40" s="723">
        <v>330.5</v>
      </c>
      <c r="AC40" s="724">
        <v>338.1</v>
      </c>
      <c r="AD40" s="723">
        <f>AX40</f>
        <v>349.8</v>
      </c>
      <c r="AE40" s="723">
        <v>341.2</v>
      </c>
      <c r="AF40" s="727">
        <v>327</v>
      </c>
      <c r="AG40" s="737"/>
      <c r="AH40" s="737"/>
      <c r="AI40" s="737"/>
      <c r="AJ40" s="737"/>
      <c r="AK40" s="737"/>
      <c r="AL40" s="737"/>
      <c r="AM40" s="737"/>
      <c r="AN40" s="722">
        <v>125.2</v>
      </c>
      <c r="AO40" s="722">
        <v>136.1</v>
      </c>
      <c r="AP40" s="722">
        <v>203.3</v>
      </c>
      <c r="AQ40" s="722">
        <v>221.3</v>
      </c>
      <c r="AR40" s="722">
        <v>239.5</v>
      </c>
      <c r="AS40" s="722">
        <v>234.1</v>
      </c>
      <c r="AT40" s="722">
        <v>239.1</v>
      </c>
      <c r="AU40" s="722">
        <v>284.60000000000002</v>
      </c>
      <c r="AV40" s="722">
        <v>268.60000000000002</v>
      </c>
      <c r="AW40" s="722">
        <v>318</v>
      </c>
      <c r="AX40" s="927">
        <v>349.8</v>
      </c>
      <c r="AY40" s="738"/>
      <c r="AZ40" s="738"/>
      <c r="BA40" s="738"/>
      <c r="BB40" s="738"/>
      <c r="BC40" s="738"/>
      <c r="BD40" s="631"/>
    </row>
    <row r="41" spans="1:56" s="39" customFormat="1" collapsed="1" x14ac:dyDescent="0.25">
      <c r="A41" s="75"/>
      <c r="B41" s="183"/>
      <c r="C41" s="723"/>
      <c r="D41" s="723"/>
      <c r="E41" s="723"/>
      <c r="F41" s="723"/>
      <c r="G41" s="723"/>
      <c r="H41" s="723"/>
      <c r="I41" s="723"/>
      <c r="J41" s="723"/>
      <c r="K41" s="723"/>
      <c r="L41" s="723"/>
      <c r="M41" s="723"/>
      <c r="N41" s="723"/>
      <c r="O41" s="723"/>
      <c r="P41" s="723"/>
      <c r="Q41" s="724"/>
      <c r="R41" s="723"/>
      <c r="S41" s="723"/>
      <c r="T41" s="723"/>
      <c r="U41" s="724"/>
      <c r="V41" s="723"/>
      <c r="W41" s="723"/>
      <c r="X41" s="723"/>
      <c r="Y41" s="724"/>
      <c r="Z41" s="723"/>
      <c r="AA41" s="723"/>
      <c r="AB41" s="723"/>
      <c r="AC41" s="724"/>
      <c r="AD41" s="723"/>
      <c r="AE41" s="723"/>
      <c r="AF41" s="727"/>
      <c r="AG41" s="737"/>
      <c r="AH41" s="737"/>
      <c r="AI41" s="737"/>
      <c r="AJ41" s="737"/>
      <c r="AK41" s="737"/>
      <c r="AL41" s="737"/>
      <c r="AM41" s="737"/>
      <c r="AN41" s="722"/>
      <c r="AO41" s="722"/>
      <c r="AP41" s="722"/>
      <c r="AQ41" s="722"/>
      <c r="AR41" s="722"/>
      <c r="AS41" s="722"/>
      <c r="AT41" s="722"/>
      <c r="AU41" s="722"/>
      <c r="AV41" s="722"/>
      <c r="AW41" s="722"/>
      <c r="AX41" s="927"/>
      <c r="AY41" s="738"/>
      <c r="AZ41" s="738"/>
      <c r="BA41" s="738"/>
      <c r="BB41" s="738"/>
      <c r="BC41" s="738"/>
      <c r="BD41" s="631"/>
    </row>
    <row r="42" spans="1:56" s="38" customFormat="1" x14ac:dyDescent="0.25">
      <c r="A42" s="626" t="s">
        <v>32</v>
      </c>
      <c r="B42" s="626"/>
      <c r="C42" s="719"/>
      <c r="D42" s="719"/>
      <c r="E42" s="719"/>
      <c r="F42" s="719"/>
      <c r="G42" s="719"/>
      <c r="H42" s="719"/>
      <c r="I42" s="719"/>
      <c r="J42" s="719"/>
      <c r="K42" s="719"/>
      <c r="L42" s="719"/>
      <c r="M42" s="719"/>
      <c r="N42" s="719"/>
      <c r="O42" s="719"/>
      <c r="P42" s="719"/>
      <c r="Q42" s="719"/>
      <c r="R42" s="719"/>
      <c r="S42" s="719"/>
      <c r="T42" s="719"/>
      <c r="U42" s="719"/>
      <c r="V42" s="719"/>
      <c r="W42" s="719"/>
      <c r="X42" s="719"/>
      <c r="Y42" s="719"/>
      <c r="Z42" s="719"/>
      <c r="AA42" s="719"/>
      <c r="AB42" s="719"/>
      <c r="AC42" s="719"/>
      <c r="AD42" s="719"/>
      <c r="AE42" s="719"/>
      <c r="AF42" s="720"/>
      <c r="AG42" s="721"/>
      <c r="AH42" s="721"/>
      <c r="AI42" s="721"/>
      <c r="AJ42" s="721"/>
      <c r="AK42" s="721"/>
      <c r="AL42" s="721"/>
      <c r="AM42" s="721"/>
      <c r="AN42" s="719"/>
      <c r="AO42" s="719"/>
      <c r="AP42" s="719"/>
      <c r="AQ42" s="719"/>
      <c r="AR42" s="719"/>
      <c r="AS42" s="719"/>
      <c r="AT42" s="719"/>
      <c r="AU42" s="719"/>
      <c r="AV42" s="719"/>
      <c r="AW42" s="719"/>
      <c r="AX42" s="720"/>
      <c r="AY42" s="721"/>
      <c r="AZ42" s="721"/>
      <c r="BA42" s="721"/>
      <c r="BB42" s="721"/>
      <c r="BC42" s="721"/>
      <c r="BD42" s="632"/>
    </row>
    <row r="43" spans="1:56" s="39" customFormat="1" hidden="1" outlineLevel="1" x14ac:dyDescent="0.25">
      <c r="A43" s="75" t="s">
        <v>33</v>
      </c>
      <c r="B43" s="183"/>
      <c r="C43" s="723"/>
      <c r="D43" s="723"/>
      <c r="E43" s="723"/>
      <c r="F43" s="723"/>
      <c r="G43" s="723">
        <v>43.738999999999997</v>
      </c>
      <c r="H43" s="723">
        <v>50.201000000000001</v>
      </c>
      <c r="I43" s="723">
        <v>49.637999999999998</v>
      </c>
      <c r="J43" s="723">
        <v>54.664000000000001</v>
      </c>
      <c r="K43" s="723">
        <v>51.829000000000001</v>
      </c>
      <c r="L43" s="723">
        <v>50.755000000000003</v>
      </c>
      <c r="M43" s="723">
        <v>51.878999999999998</v>
      </c>
      <c r="N43" s="723">
        <v>52.576000000000001</v>
      </c>
      <c r="O43" s="723">
        <v>49.905999999999999</v>
      </c>
      <c r="P43" s="723">
        <v>52.706000000000003</v>
      </c>
      <c r="Q43" s="724">
        <v>51.378999999999998</v>
      </c>
      <c r="R43" s="723">
        <v>55.006999999999998</v>
      </c>
      <c r="S43" s="723">
        <v>49.746000000000002</v>
      </c>
      <c r="T43" s="723">
        <v>53.402999999999999</v>
      </c>
      <c r="U43" s="724">
        <v>54.801000000000002</v>
      </c>
      <c r="V43" s="725">
        <v>56.87</v>
      </c>
      <c r="W43" s="723"/>
      <c r="X43" s="723"/>
      <c r="Y43" s="724"/>
      <c r="Z43" s="725"/>
      <c r="AA43" s="723"/>
      <c r="AB43" s="723"/>
      <c r="AC43" s="724"/>
      <c r="AD43" s="725"/>
      <c r="AE43" s="723"/>
      <c r="AF43" s="727"/>
      <c r="AG43" s="730"/>
      <c r="AH43" s="730"/>
      <c r="AI43" s="730"/>
      <c r="AJ43" s="730"/>
      <c r="AK43" s="730"/>
      <c r="AL43" s="730"/>
      <c r="AM43" s="730"/>
      <c r="AN43" s="722"/>
      <c r="AO43" s="722"/>
      <c r="AP43" s="722"/>
      <c r="AQ43" s="722"/>
      <c r="AR43" s="722">
        <v>153.10499999999999</v>
      </c>
      <c r="AS43" s="722">
        <v>198.24199999999999</v>
      </c>
      <c r="AT43" s="722">
        <v>207.03899999999999</v>
      </c>
      <c r="AU43" s="722">
        <v>208.99799999999999</v>
      </c>
      <c r="AV43" s="726">
        <f>SUM(S43,T43,U43,V43)</f>
        <v>214.82</v>
      </c>
      <c r="AW43" s="726"/>
      <c r="AX43" s="925"/>
      <c r="AY43" s="729"/>
      <c r="AZ43" s="729"/>
      <c r="BA43" s="729"/>
      <c r="BB43" s="729"/>
      <c r="BC43" s="729"/>
      <c r="BD43" s="631"/>
    </row>
    <row r="44" spans="1:56" s="39" customFormat="1" hidden="1" outlineLevel="1" x14ac:dyDescent="0.25">
      <c r="A44" s="75" t="s">
        <v>34</v>
      </c>
      <c r="B44" s="183"/>
      <c r="C44" s="723"/>
      <c r="D44" s="723"/>
      <c r="E44" s="723"/>
      <c r="F44" s="723"/>
      <c r="G44" s="723">
        <v>40.268999999999998</v>
      </c>
      <c r="H44" s="723">
        <v>41.957000000000001</v>
      </c>
      <c r="I44" s="723">
        <v>36.137999999999998</v>
      </c>
      <c r="J44" s="723">
        <v>33.195</v>
      </c>
      <c r="K44" s="723">
        <v>29.896999999999998</v>
      </c>
      <c r="L44" s="723">
        <v>30.065999999999999</v>
      </c>
      <c r="M44" s="723">
        <v>30.353999999999999</v>
      </c>
      <c r="N44" s="723">
        <v>28.774999999999999</v>
      </c>
      <c r="O44" s="723">
        <v>25.829000000000001</v>
      </c>
      <c r="P44" s="723">
        <v>26.024000000000001</v>
      </c>
      <c r="Q44" s="724">
        <v>25.111000000000001</v>
      </c>
      <c r="R44" s="723">
        <v>24.943000000000001</v>
      </c>
      <c r="S44" s="723">
        <v>25.309000000000001</v>
      </c>
      <c r="T44" s="723">
        <v>25.652000000000001</v>
      </c>
      <c r="U44" s="724">
        <v>24.443000000000001</v>
      </c>
      <c r="V44" s="725">
        <v>25.646999999999998</v>
      </c>
      <c r="W44" s="723"/>
      <c r="X44" s="723"/>
      <c r="Y44" s="724"/>
      <c r="Z44" s="725"/>
      <c r="AA44" s="723"/>
      <c r="AB44" s="723"/>
      <c r="AC44" s="724"/>
      <c r="AD44" s="725"/>
      <c r="AE44" s="723"/>
      <c r="AF44" s="727"/>
      <c r="AG44" s="730"/>
      <c r="AH44" s="730"/>
      <c r="AI44" s="730"/>
      <c r="AJ44" s="730"/>
      <c r="AK44" s="730"/>
      <c r="AL44" s="730"/>
      <c r="AM44" s="730"/>
      <c r="AN44" s="722"/>
      <c r="AO44" s="722"/>
      <c r="AP44" s="722"/>
      <c r="AQ44" s="722"/>
      <c r="AR44" s="722">
        <v>129.05699999999999</v>
      </c>
      <c r="AS44" s="722">
        <v>151.559</v>
      </c>
      <c r="AT44" s="722">
        <v>119.092</v>
      </c>
      <c r="AU44" s="722">
        <v>101.907</v>
      </c>
      <c r="AV44" s="726">
        <f>SUM(S44,T44,U44,V44)</f>
        <v>101.05099999999999</v>
      </c>
      <c r="AW44" s="726"/>
      <c r="AX44" s="925"/>
      <c r="AY44" s="729"/>
      <c r="AZ44" s="729"/>
      <c r="BA44" s="729"/>
      <c r="BB44" s="729"/>
      <c r="BC44" s="729"/>
      <c r="BD44" s="631"/>
    </row>
    <row r="45" spans="1:56" s="39" customFormat="1" hidden="1" outlineLevel="1" x14ac:dyDescent="0.25">
      <c r="A45" s="75" t="s">
        <v>35</v>
      </c>
      <c r="B45" s="183"/>
      <c r="C45" s="723"/>
      <c r="D45" s="723"/>
      <c r="E45" s="723"/>
      <c r="F45" s="723"/>
      <c r="G45" s="723">
        <v>14.257999999999999</v>
      </c>
      <c r="H45" s="723">
        <v>20.222999999999999</v>
      </c>
      <c r="I45" s="723">
        <v>15.882999999999999</v>
      </c>
      <c r="J45" s="723">
        <v>17.329999999999998</v>
      </c>
      <c r="K45" s="723">
        <v>14.728999999999999</v>
      </c>
      <c r="L45" s="723">
        <v>25.199000000000002</v>
      </c>
      <c r="M45" s="723">
        <v>22.114999999999998</v>
      </c>
      <c r="N45" s="723">
        <v>25.524000000000001</v>
      </c>
      <c r="O45" s="723">
        <v>21.824000000000002</v>
      </c>
      <c r="P45" s="723">
        <v>27.373999999999999</v>
      </c>
      <c r="Q45" s="724">
        <v>26.611999999999998</v>
      </c>
      <c r="R45" s="723">
        <v>25.957999999999998</v>
      </c>
      <c r="S45" s="723">
        <v>24.600999999999999</v>
      </c>
      <c r="T45" s="723">
        <v>28.363</v>
      </c>
      <c r="U45" s="724">
        <v>22.73</v>
      </c>
      <c r="V45" s="725">
        <v>25.41</v>
      </c>
      <c r="W45" s="723"/>
      <c r="X45" s="723"/>
      <c r="Y45" s="724"/>
      <c r="Z45" s="725"/>
      <c r="AA45" s="723"/>
      <c r="AB45" s="723"/>
      <c r="AC45" s="724"/>
      <c r="AD45" s="725"/>
      <c r="AE45" s="723"/>
      <c r="AF45" s="727"/>
      <c r="AG45" s="730"/>
      <c r="AH45" s="730"/>
      <c r="AI45" s="730"/>
      <c r="AJ45" s="730"/>
      <c r="AK45" s="730"/>
      <c r="AL45" s="730"/>
      <c r="AM45" s="730"/>
      <c r="AN45" s="722"/>
      <c r="AO45" s="722"/>
      <c r="AP45" s="722"/>
      <c r="AQ45" s="722"/>
      <c r="AR45" s="722">
        <v>70.698999999999998</v>
      </c>
      <c r="AS45" s="722">
        <v>67.694000000000003</v>
      </c>
      <c r="AT45" s="722">
        <v>87.566999999999993</v>
      </c>
      <c r="AU45" s="722">
        <v>101.768</v>
      </c>
      <c r="AV45" s="726">
        <f>SUM(S45,T45,U45,V45)</f>
        <v>101.104</v>
      </c>
      <c r="AW45" s="726"/>
      <c r="AX45" s="925"/>
      <c r="AY45" s="729"/>
      <c r="AZ45" s="729"/>
      <c r="BA45" s="729"/>
      <c r="BB45" s="729"/>
      <c r="BC45" s="729"/>
      <c r="BD45" s="631"/>
    </row>
    <row r="46" spans="1:56" s="39" customFormat="1" hidden="1" outlineLevel="1" x14ac:dyDescent="0.25">
      <c r="A46" s="227" t="s">
        <v>36</v>
      </c>
      <c r="B46" s="233"/>
      <c r="C46" s="732"/>
      <c r="D46" s="732"/>
      <c r="E46" s="732"/>
      <c r="F46" s="732"/>
      <c r="G46" s="732">
        <v>19.614000000000001</v>
      </c>
      <c r="H46" s="732">
        <v>22.536999999999999</v>
      </c>
      <c r="I46" s="732">
        <v>22.21</v>
      </c>
      <c r="J46" s="732">
        <v>20.010999999999999</v>
      </c>
      <c r="K46" s="732">
        <v>18.797999999999998</v>
      </c>
      <c r="L46" s="732">
        <v>19.645</v>
      </c>
      <c r="M46" s="732">
        <v>18.582999999999998</v>
      </c>
      <c r="N46" s="732">
        <v>19.556000000000001</v>
      </c>
      <c r="O46" s="732">
        <v>18.196999999999999</v>
      </c>
      <c r="P46" s="732">
        <v>19.437999999999999</v>
      </c>
      <c r="Q46" s="733">
        <v>18.876000000000001</v>
      </c>
      <c r="R46" s="732">
        <v>21.375</v>
      </c>
      <c r="S46" s="732">
        <v>22.791</v>
      </c>
      <c r="T46" s="732">
        <v>23.742999999999999</v>
      </c>
      <c r="U46" s="733">
        <v>22.123000000000001</v>
      </c>
      <c r="V46" s="734">
        <v>23.576000000000001</v>
      </c>
      <c r="W46" s="732"/>
      <c r="X46" s="732"/>
      <c r="Y46" s="733"/>
      <c r="Z46" s="734"/>
      <c r="AA46" s="732"/>
      <c r="AB46" s="732"/>
      <c r="AC46" s="733"/>
      <c r="AD46" s="734"/>
      <c r="AE46" s="732"/>
      <c r="AF46" s="736"/>
      <c r="AG46" s="734"/>
      <c r="AH46" s="734"/>
      <c r="AI46" s="734"/>
      <c r="AJ46" s="734"/>
      <c r="AK46" s="734"/>
      <c r="AL46" s="734"/>
      <c r="AM46" s="734"/>
      <c r="AN46" s="731"/>
      <c r="AO46" s="731"/>
      <c r="AP46" s="731"/>
      <c r="AQ46" s="731"/>
      <c r="AR46" s="731">
        <v>83.828000000000003</v>
      </c>
      <c r="AS46" s="731">
        <v>84.372</v>
      </c>
      <c r="AT46" s="731">
        <v>76.581999999999994</v>
      </c>
      <c r="AU46" s="731">
        <v>77.885999999999996</v>
      </c>
      <c r="AV46" s="735">
        <f>SUM(S46,T46,U46,V46)</f>
        <v>92.233000000000004</v>
      </c>
      <c r="AW46" s="735"/>
      <c r="AX46" s="926"/>
      <c r="AY46" s="735"/>
      <c r="AZ46" s="735"/>
      <c r="BA46" s="735"/>
      <c r="BB46" s="735"/>
      <c r="BC46" s="735"/>
      <c r="BD46" s="631"/>
    </row>
    <row r="47" spans="1:56" s="38" customFormat="1" hidden="1" outlineLevel="1" x14ac:dyDescent="0.25">
      <c r="A47" s="162" t="s">
        <v>25</v>
      </c>
      <c r="B47" s="234"/>
      <c r="C47" s="704">
        <f>C66</f>
        <v>101.373</v>
      </c>
      <c r="D47" s="704">
        <f>D66</f>
        <v>104.899</v>
      </c>
      <c r="E47" s="704">
        <f>E66</f>
        <v>113.197</v>
      </c>
      <c r="F47" s="704">
        <f>F66</f>
        <v>117.21999999999997</v>
      </c>
      <c r="G47" s="704">
        <f t="shared" ref="G47:V47" si="28">SUM(G43:G46)</f>
        <v>117.88</v>
      </c>
      <c r="H47" s="704">
        <f t="shared" si="28"/>
        <v>134.91800000000001</v>
      </c>
      <c r="I47" s="704">
        <f t="shared" si="28"/>
        <v>123.869</v>
      </c>
      <c r="J47" s="704">
        <f t="shared" si="28"/>
        <v>125.2</v>
      </c>
      <c r="K47" s="704">
        <f t="shared" si="28"/>
        <v>115.253</v>
      </c>
      <c r="L47" s="704">
        <f t="shared" si="28"/>
        <v>125.66499999999999</v>
      </c>
      <c r="M47" s="704">
        <f t="shared" si="28"/>
        <v>122.931</v>
      </c>
      <c r="N47" s="704">
        <f t="shared" si="28"/>
        <v>126.431</v>
      </c>
      <c r="O47" s="704">
        <f t="shared" si="28"/>
        <v>115.756</v>
      </c>
      <c r="P47" s="704">
        <f t="shared" si="28"/>
        <v>125.542</v>
      </c>
      <c r="Q47" s="705">
        <f t="shared" si="28"/>
        <v>121.97799999999999</v>
      </c>
      <c r="R47" s="704">
        <f t="shared" si="28"/>
        <v>127.283</v>
      </c>
      <c r="S47" s="704">
        <f t="shared" si="28"/>
        <v>122.447</v>
      </c>
      <c r="T47" s="704">
        <f t="shared" si="28"/>
        <v>131.161</v>
      </c>
      <c r="U47" s="705">
        <f t="shared" si="28"/>
        <v>124.09700000000001</v>
      </c>
      <c r="V47" s="704">
        <f t="shared" si="28"/>
        <v>131.50299999999999</v>
      </c>
      <c r="W47" s="704"/>
      <c r="X47" s="704"/>
      <c r="Y47" s="705"/>
      <c r="Z47" s="704"/>
      <c r="AA47" s="704"/>
      <c r="AB47" s="704"/>
      <c r="AC47" s="705"/>
      <c r="AD47" s="704"/>
      <c r="AE47" s="704"/>
      <c r="AF47" s="706"/>
      <c r="AG47" s="707"/>
      <c r="AH47" s="707"/>
      <c r="AI47" s="707"/>
      <c r="AJ47" s="707"/>
      <c r="AK47" s="707"/>
      <c r="AL47" s="707"/>
      <c r="AM47" s="707"/>
      <c r="AN47" s="703"/>
      <c r="AO47" s="703">
        <f>AO66</f>
        <v>259.92599999999999</v>
      </c>
      <c r="AP47" s="703">
        <f>AP66</f>
        <v>333.16700000000003</v>
      </c>
      <c r="AQ47" s="703">
        <f>AQ66</f>
        <v>401.572</v>
      </c>
      <c r="AR47" s="703">
        <f>SUM(AR43:AR46)</f>
        <v>436.68899999999996</v>
      </c>
      <c r="AS47" s="703">
        <f>SUM(AS43:AS46)</f>
        <v>501.86700000000002</v>
      </c>
      <c r="AT47" s="703">
        <f>SUM(AT43:AT46)</f>
        <v>490.28</v>
      </c>
      <c r="AU47" s="703">
        <f>SUM(AU43:AU46)</f>
        <v>490.55899999999997</v>
      </c>
      <c r="AV47" s="703">
        <f>SUM(AV43:AV46)</f>
        <v>509.20799999999997</v>
      </c>
      <c r="AW47" s="703"/>
      <c r="AX47" s="922"/>
      <c r="AY47" s="708"/>
      <c r="AZ47" s="708"/>
      <c r="BA47" s="708"/>
      <c r="BB47" s="708"/>
      <c r="BC47" s="708"/>
      <c r="BD47" s="632"/>
    </row>
    <row r="48" spans="1:56" s="31" customFormat="1" hidden="1" outlineLevel="1" x14ac:dyDescent="0.25">
      <c r="A48" s="161"/>
      <c r="B48" s="182"/>
      <c r="C48" s="391"/>
      <c r="D48" s="391"/>
      <c r="E48" s="391"/>
      <c r="F48" s="391"/>
      <c r="G48" s="391"/>
      <c r="H48" s="391"/>
      <c r="I48" s="391"/>
      <c r="J48" s="391"/>
      <c r="K48" s="391"/>
      <c r="L48" s="391"/>
      <c r="M48" s="391"/>
      <c r="N48" s="391"/>
      <c r="O48" s="391"/>
      <c r="P48" s="391"/>
      <c r="Q48" s="392"/>
      <c r="R48" s="391"/>
      <c r="S48" s="391"/>
      <c r="T48" s="391"/>
      <c r="U48" s="392"/>
      <c r="V48" s="391"/>
      <c r="W48" s="391"/>
      <c r="X48" s="391"/>
      <c r="Y48" s="392"/>
      <c r="Z48" s="391"/>
      <c r="AA48" s="391"/>
      <c r="AB48" s="391"/>
      <c r="AC48" s="392"/>
      <c r="AD48" s="391"/>
      <c r="AE48" s="391"/>
      <c r="AF48" s="645"/>
      <c r="AG48" s="68"/>
      <c r="AH48" s="68"/>
      <c r="AI48" s="68"/>
      <c r="AJ48" s="68"/>
      <c r="AK48" s="68"/>
      <c r="AL48" s="68"/>
      <c r="AM48" s="68"/>
      <c r="AN48" s="390"/>
      <c r="AO48" s="390"/>
      <c r="AP48" s="390"/>
      <c r="AQ48" s="390"/>
      <c r="AR48" s="390"/>
      <c r="AS48" s="390"/>
      <c r="AT48" s="390"/>
      <c r="AU48" s="390"/>
      <c r="AV48" s="390"/>
      <c r="AW48" s="390"/>
      <c r="AX48" s="921"/>
      <c r="AY48" s="106"/>
      <c r="AZ48" s="106"/>
      <c r="BA48" s="106"/>
      <c r="BB48" s="106"/>
      <c r="BC48" s="106"/>
      <c r="BD48" s="72"/>
    </row>
    <row r="49" spans="1:56" s="39" customFormat="1" hidden="1" outlineLevel="1" x14ac:dyDescent="0.25">
      <c r="A49" s="75" t="s">
        <v>37</v>
      </c>
      <c r="B49" s="183"/>
      <c r="C49" s="723"/>
      <c r="D49" s="723"/>
      <c r="E49" s="723"/>
      <c r="F49" s="723"/>
      <c r="G49" s="723">
        <f t="shared" ref="G49:V49" si="29">G43-G55</f>
        <v>37.369999999999997</v>
      </c>
      <c r="H49" s="723">
        <f t="shared" si="29"/>
        <v>42.74</v>
      </c>
      <c r="I49" s="723">
        <f t="shared" si="29"/>
        <v>41.253999999999998</v>
      </c>
      <c r="J49" s="723">
        <f t="shared" si="29"/>
        <v>44.117000000000004</v>
      </c>
      <c r="K49" s="723">
        <f t="shared" si="29"/>
        <v>43.481999999999999</v>
      </c>
      <c r="L49" s="723">
        <f t="shared" si="29"/>
        <v>42.368000000000002</v>
      </c>
      <c r="M49" s="723">
        <f t="shared" si="29"/>
        <v>42.070999999999998</v>
      </c>
      <c r="N49" s="723">
        <f t="shared" si="29"/>
        <v>42.895000000000003</v>
      </c>
      <c r="O49" s="723">
        <f t="shared" si="29"/>
        <v>40.201999999999998</v>
      </c>
      <c r="P49" s="723">
        <f t="shared" si="29"/>
        <v>43.134</v>
      </c>
      <c r="Q49" s="724">
        <f t="shared" si="29"/>
        <v>41.582999999999998</v>
      </c>
      <c r="R49" s="723">
        <f t="shared" si="29"/>
        <v>45.125</v>
      </c>
      <c r="S49" s="723">
        <f t="shared" si="29"/>
        <v>40.99</v>
      </c>
      <c r="T49" s="723">
        <f t="shared" si="29"/>
        <v>43.295000000000002</v>
      </c>
      <c r="U49" s="724">
        <f t="shared" si="29"/>
        <v>44.376000000000005</v>
      </c>
      <c r="V49" s="724">
        <f t="shared" si="29"/>
        <v>47.187999999999995</v>
      </c>
      <c r="W49" s="723"/>
      <c r="X49" s="723"/>
      <c r="Y49" s="724"/>
      <c r="Z49" s="724"/>
      <c r="AA49" s="723"/>
      <c r="AB49" s="723"/>
      <c r="AC49" s="724"/>
      <c r="AD49" s="724"/>
      <c r="AE49" s="723"/>
      <c r="AF49" s="727"/>
      <c r="AG49" s="730"/>
      <c r="AH49" s="730"/>
      <c r="AI49" s="730"/>
      <c r="AJ49" s="730"/>
      <c r="AK49" s="730"/>
      <c r="AL49" s="730"/>
      <c r="AM49" s="730"/>
      <c r="AN49" s="722"/>
      <c r="AO49" s="722"/>
      <c r="AP49" s="722"/>
      <c r="AQ49" s="722"/>
      <c r="AR49" s="722">
        <f t="shared" ref="AR49:AU52" si="30">AR43-AR55</f>
        <v>124.06599999999999</v>
      </c>
      <c r="AS49" s="722">
        <f t="shared" si="30"/>
        <v>165.48099999999999</v>
      </c>
      <c r="AT49" s="722">
        <f t="shared" si="30"/>
        <v>170.81599999999997</v>
      </c>
      <c r="AU49" s="722">
        <f t="shared" si="30"/>
        <v>170.04399999999998</v>
      </c>
      <c r="AV49" s="726">
        <f>SUM(S49,T49,U49,V49)</f>
        <v>175.84899999999999</v>
      </c>
      <c r="AW49" s="726"/>
      <c r="AX49" s="925"/>
      <c r="AY49" s="729"/>
      <c r="AZ49" s="729"/>
      <c r="BA49" s="729"/>
      <c r="BB49" s="729"/>
      <c r="BC49" s="729"/>
      <c r="BD49" s="631"/>
    </row>
    <row r="50" spans="1:56" s="39" customFormat="1" hidden="1" outlineLevel="1" x14ac:dyDescent="0.25">
      <c r="A50" s="75" t="s">
        <v>38</v>
      </c>
      <c r="B50" s="183"/>
      <c r="C50" s="723"/>
      <c r="D50" s="723"/>
      <c r="E50" s="723"/>
      <c r="F50" s="723"/>
      <c r="G50" s="723">
        <f t="shared" ref="G50:V50" si="31">G44-G56</f>
        <v>32.329000000000001</v>
      </c>
      <c r="H50" s="723">
        <f t="shared" si="31"/>
        <v>31.182000000000002</v>
      </c>
      <c r="I50" s="723">
        <f t="shared" si="31"/>
        <v>28.753999999999998</v>
      </c>
      <c r="J50" s="723">
        <f t="shared" si="31"/>
        <v>25.943999999999999</v>
      </c>
      <c r="K50" s="723">
        <f t="shared" si="31"/>
        <v>23.483999999999998</v>
      </c>
      <c r="L50" s="723">
        <f t="shared" si="31"/>
        <v>24.236999999999998</v>
      </c>
      <c r="M50" s="723">
        <f t="shared" si="31"/>
        <v>24.826999999999998</v>
      </c>
      <c r="N50" s="723">
        <f t="shared" si="31"/>
        <v>22.922999999999998</v>
      </c>
      <c r="O50" s="723">
        <f t="shared" si="31"/>
        <v>21.945</v>
      </c>
      <c r="P50" s="723">
        <f t="shared" si="31"/>
        <v>21.917999999999999</v>
      </c>
      <c r="Q50" s="724">
        <f t="shared" si="31"/>
        <v>21.515000000000001</v>
      </c>
      <c r="R50" s="723">
        <f t="shared" si="31"/>
        <v>20.726000000000003</v>
      </c>
      <c r="S50" s="723">
        <f t="shared" si="31"/>
        <v>20.71</v>
      </c>
      <c r="T50" s="723">
        <f t="shared" si="31"/>
        <v>21.515000000000001</v>
      </c>
      <c r="U50" s="724">
        <f t="shared" si="31"/>
        <v>22.722000000000001</v>
      </c>
      <c r="V50" s="724">
        <f t="shared" si="31"/>
        <v>21.677999999999997</v>
      </c>
      <c r="W50" s="723"/>
      <c r="X50" s="723"/>
      <c r="Y50" s="724"/>
      <c r="Z50" s="724"/>
      <c r="AA50" s="723"/>
      <c r="AB50" s="723"/>
      <c r="AC50" s="724"/>
      <c r="AD50" s="724"/>
      <c r="AE50" s="723"/>
      <c r="AF50" s="727"/>
      <c r="AG50" s="730"/>
      <c r="AH50" s="730"/>
      <c r="AI50" s="730"/>
      <c r="AJ50" s="730"/>
      <c r="AK50" s="730"/>
      <c r="AL50" s="730"/>
      <c r="AM50" s="730"/>
      <c r="AN50" s="722"/>
      <c r="AO50" s="722"/>
      <c r="AP50" s="722"/>
      <c r="AQ50" s="722"/>
      <c r="AR50" s="722">
        <f t="shared" si="30"/>
        <v>104.34399999999999</v>
      </c>
      <c r="AS50" s="722">
        <f t="shared" si="30"/>
        <v>118.209</v>
      </c>
      <c r="AT50" s="722">
        <f t="shared" si="30"/>
        <v>95.471000000000004</v>
      </c>
      <c r="AU50" s="722">
        <f t="shared" si="30"/>
        <v>86.103999999999999</v>
      </c>
      <c r="AV50" s="726">
        <f>SUM(S50,T50,U50,V50)</f>
        <v>86.625</v>
      </c>
      <c r="AW50" s="726"/>
      <c r="AX50" s="925"/>
      <c r="AY50" s="729"/>
      <c r="AZ50" s="729"/>
      <c r="BA50" s="729"/>
      <c r="BB50" s="729"/>
      <c r="BC50" s="729"/>
      <c r="BD50" s="631"/>
    </row>
    <row r="51" spans="1:56" s="39" customFormat="1" hidden="1" outlineLevel="1" x14ac:dyDescent="0.25">
      <c r="A51" s="75" t="s">
        <v>39</v>
      </c>
      <c r="B51" s="183"/>
      <c r="C51" s="723"/>
      <c r="D51" s="723"/>
      <c r="E51" s="723"/>
      <c r="F51" s="723"/>
      <c r="G51" s="723">
        <f t="shared" ref="G51:V51" si="32">G45-G57</f>
        <v>12.347999999999999</v>
      </c>
      <c r="H51" s="723">
        <f t="shared" si="32"/>
        <v>16.924999999999997</v>
      </c>
      <c r="I51" s="723">
        <f t="shared" si="32"/>
        <v>13.363999999999999</v>
      </c>
      <c r="J51" s="723">
        <f t="shared" si="32"/>
        <v>14.153999999999998</v>
      </c>
      <c r="K51" s="723">
        <f t="shared" si="32"/>
        <v>12.753</v>
      </c>
      <c r="L51" s="723">
        <f t="shared" si="32"/>
        <v>21.772000000000002</v>
      </c>
      <c r="M51" s="723">
        <f t="shared" si="32"/>
        <v>19.645</v>
      </c>
      <c r="N51" s="723">
        <f t="shared" si="32"/>
        <v>22.076000000000001</v>
      </c>
      <c r="O51" s="723">
        <f t="shared" si="32"/>
        <v>19.373000000000001</v>
      </c>
      <c r="P51" s="723">
        <f t="shared" si="32"/>
        <v>23.543999999999997</v>
      </c>
      <c r="Q51" s="724">
        <f t="shared" si="32"/>
        <v>22.992999999999999</v>
      </c>
      <c r="R51" s="723">
        <f t="shared" si="32"/>
        <v>21.677</v>
      </c>
      <c r="S51" s="723">
        <f t="shared" si="32"/>
        <v>21.724999999999998</v>
      </c>
      <c r="T51" s="723">
        <f t="shared" si="32"/>
        <v>24.288</v>
      </c>
      <c r="U51" s="724">
        <f t="shared" si="32"/>
        <v>19.484999999999999</v>
      </c>
      <c r="V51" s="724">
        <f t="shared" si="32"/>
        <v>21.082000000000001</v>
      </c>
      <c r="W51" s="723"/>
      <c r="X51" s="723"/>
      <c r="Y51" s="724"/>
      <c r="Z51" s="724"/>
      <c r="AA51" s="723"/>
      <c r="AB51" s="723"/>
      <c r="AC51" s="724"/>
      <c r="AD51" s="724"/>
      <c r="AE51" s="723"/>
      <c r="AF51" s="727"/>
      <c r="AG51" s="730"/>
      <c r="AH51" s="730"/>
      <c r="AI51" s="730"/>
      <c r="AJ51" s="730"/>
      <c r="AK51" s="730"/>
      <c r="AL51" s="730"/>
      <c r="AM51" s="730"/>
      <c r="AN51" s="722"/>
      <c r="AO51" s="722"/>
      <c r="AP51" s="722"/>
      <c r="AQ51" s="722"/>
      <c r="AR51" s="722">
        <f t="shared" si="30"/>
        <v>59.951000000000001</v>
      </c>
      <c r="AS51" s="722">
        <f t="shared" si="30"/>
        <v>56.791000000000004</v>
      </c>
      <c r="AT51" s="722">
        <f t="shared" si="30"/>
        <v>76.245999999999995</v>
      </c>
      <c r="AU51" s="722">
        <f t="shared" si="30"/>
        <v>87.587000000000003</v>
      </c>
      <c r="AV51" s="726">
        <f>SUM(S51,T51,U51,V51)</f>
        <v>86.579999999999984</v>
      </c>
      <c r="AW51" s="726"/>
      <c r="AX51" s="925"/>
      <c r="AY51" s="729"/>
      <c r="AZ51" s="729"/>
      <c r="BA51" s="729"/>
      <c r="BB51" s="729"/>
      <c r="BC51" s="729"/>
      <c r="BD51" s="631"/>
    </row>
    <row r="52" spans="1:56" s="39" customFormat="1" hidden="1" outlineLevel="1" x14ac:dyDescent="0.25">
      <c r="A52" s="227" t="s">
        <v>40</v>
      </c>
      <c r="B52" s="233"/>
      <c r="C52" s="732"/>
      <c r="D52" s="732"/>
      <c r="E52" s="732"/>
      <c r="F52" s="732"/>
      <c r="G52" s="732">
        <f t="shared" ref="G52:V52" si="33">G46-G58</f>
        <v>17.478000000000002</v>
      </c>
      <c r="H52" s="732">
        <f t="shared" si="33"/>
        <v>19.303999999999998</v>
      </c>
      <c r="I52" s="732">
        <f t="shared" si="33"/>
        <v>17.978999999999999</v>
      </c>
      <c r="J52" s="732">
        <f t="shared" si="33"/>
        <v>17.05</v>
      </c>
      <c r="K52" s="732">
        <f t="shared" si="33"/>
        <v>16.398999999999997</v>
      </c>
      <c r="L52" s="732">
        <f t="shared" si="33"/>
        <v>17.212</v>
      </c>
      <c r="M52" s="732">
        <f t="shared" si="33"/>
        <v>16.018999999999998</v>
      </c>
      <c r="N52" s="732">
        <f t="shared" si="33"/>
        <v>16.125</v>
      </c>
      <c r="O52" s="732">
        <f t="shared" si="33"/>
        <v>16.308999999999997</v>
      </c>
      <c r="P52" s="732">
        <f t="shared" si="33"/>
        <v>16.602</v>
      </c>
      <c r="Q52" s="733">
        <f t="shared" si="33"/>
        <v>15.883000000000001</v>
      </c>
      <c r="R52" s="732">
        <f t="shared" si="33"/>
        <v>17.873000000000001</v>
      </c>
      <c r="S52" s="732">
        <f t="shared" si="33"/>
        <v>19.634</v>
      </c>
      <c r="T52" s="732">
        <f t="shared" si="33"/>
        <v>19.628</v>
      </c>
      <c r="U52" s="733">
        <f t="shared" si="33"/>
        <v>18.868000000000002</v>
      </c>
      <c r="V52" s="733">
        <f t="shared" si="33"/>
        <v>19.997</v>
      </c>
      <c r="W52" s="732"/>
      <c r="X52" s="732"/>
      <c r="Y52" s="733"/>
      <c r="Z52" s="733"/>
      <c r="AA52" s="732"/>
      <c r="AB52" s="732"/>
      <c r="AC52" s="733"/>
      <c r="AD52" s="733"/>
      <c r="AE52" s="732"/>
      <c r="AF52" s="736"/>
      <c r="AG52" s="734"/>
      <c r="AH52" s="734"/>
      <c r="AI52" s="734"/>
      <c r="AJ52" s="734"/>
      <c r="AK52" s="734"/>
      <c r="AL52" s="734"/>
      <c r="AM52" s="734"/>
      <c r="AN52" s="731"/>
      <c r="AO52" s="731"/>
      <c r="AP52" s="731"/>
      <c r="AQ52" s="731"/>
      <c r="AR52" s="731">
        <f t="shared" si="30"/>
        <v>72.063000000000002</v>
      </c>
      <c r="AS52" s="731">
        <f t="shared" si="30"/>
        <v>71.811000000000007</v>
      </c>
      <c r="AT52" s="731">
        <f t="shared" si="30"/>
        <v>65.754999999999995</v>
      </c>
      <c r="AU52" s="731">
        <f t="shared" si="30"/>
        <v>66.667000000000002</v>
      </c>
      <c r="AV52" s="735">
        <f>SUM(S52,T52,U52,V52)</f>
        <v>78.12700000000001</v>
      </c>
      <c r="AW52" s="735"/>
      <c r="AX52" s="926"/>
      <c r="AY52" s="735"/>
      <c r="AZ52" s="735"/>
      <c r="BA52" s="735"/>
      <c r="BB52" s="735"/>
      <c r="BC52" s="735"/>
      <c r="BD52" s="631"/>
    </row>
    <row r="53" spans="1:56" s="38" customFormat="1" hidden="1" outlineLevel="1" x14ac:dyDescent="0.25">
      <c r="A53" s="162" t="s">
        <v>28</v>
      </c>
      <c r="B53" s="234"/>
      <c r="C53" s="704">
        <f>C73</f>
        <v>85.192000000000007</v>
      </c>
      <c r="D53" s="704">
        <f>D73</f>
        <v>86.504000000000005</v>
      </c>
      <c r="E53" s="704">
        <f>E73</f>
        <v>93.135999999999996</v>
      </c>
      <c r="F53" s="704">
        <f>F73</f>
        <v>95.59199999999997</v>
      </c>
      <c r="G53" s="704">
        <f t="shared" ref="G53:V53" si="34">SUM(G49:G52)</f>
        <v>99.525000000000006</v>
      </c>
      <c r="H53" s="704">
        <f t="shared" si="34"/>
        <v>110.151</v>
      </c>
      <c r="I53" s="704">
        <f t="shared" si="34"/>
        <v>101.351</v>
      </c>
      <c r="J53" s="704">
        <f t="shared" si="34"/>
        <v>101.265</v>
      </c>
      <c r="K53" s="704">
        <f t="shared" si="34"/>
        <v>96.117999999999995</v>
      </c>
      <c r="L53" s="704">
        <f t="shared" si="34"/>
        <v>105.58900000000001</v>
      </c>
      <c r="M53" s="704">
        <f t="shared" si="34"/>
        <v>102.56199999999998</v>
      </c>
      <c r="N53" s="704">
        <f t="shared" si="34"/>
        <v>104.01900000000001</v>
      </c>
      <c r="O53" s="704">
        <f t="shared" si="34"/>
        <v>97.828999999999994</v>
      </c>
      <c r="P53" s="704">
        <f t="shared" si="34"/>
        <v>105.19799999999999</v>
      </c>
      <c r="Q53" s="705">
        <f t="shared" si="34"/>
        <v>101.97399999999999</v>
      </c>
      <c r="R53" s="704">
        <f t="shared" si="34"/>
        <v>105.401</v>
      </c>
      <c r="S53" s="704">
        <f t="shared" si="34"/>
        <v>103.059</v>
      </c>
      <c r="T53" s="704">
        <f t="shared" si="34"/>
        <v>108.726</v>
      </c>
      <c r="U53" s="705">
        <f t="shared" si="34"/>
        <v>105.45100000000002</v>
      </c>
      <c r="V53" s="704">
        <f t="shared" si="34"/>
        <v>109.94499999999998</v>
      </c>
      <c r="W53" s="704"/>
      <c r="X53" s="704"/>
      <c r="Y53" s="705"/>
      <c r="Z53" s="704"/>
      <c r="AA53" s="704"/>
      <c r="AB53" s="704"/>
      <c r="AC53" s="705"/>
      <c r="AD53" s="704"/>
      <c r="AE53" s="704"/>
      <c r="AF53" s="706"/>
      <c r="AG53" s="707"/>
      <c r="AH53" s="707"/>
      <c r="AI53" s="707"/>
      <c r="AJ53" s="707"/>
      <c r="AK53" s="707"/>
      <c r="AL53" s="707"/>
      <c r="AM53" s="707"/>
      <c r="AN53" s="703"/>
      <c r="AO53" s="703">
        <f>AO73</f>
        <v>217.23599999999999</v>
      </c>
      <c r="AP53" s="703">
        <f>AP73</f>
        <v>276.53299999999996</v>
      </c>
      <c r="AQ53" s="703">
        <f>AQ73</f>
        <v>329.601</v>
      </c>
      <c r="AR53" s="703">
        <f>SUM(AR49:AR52)</f>
        <v>360.42399999999998</v>
      </c>
      <c r="AS53" s="703">
        <f>SUM(AS49:AS52)</f>
        <v>412.29200000000003</v>
      </c>
      <c r="AT53" s="703">
        <f>SUM(AT49:AT52)</f>
        <v>408.28799999999995</v>
      </c>
      <c r="AU53" s="703">
        <f>SUM(AU49:AU52)</f>
        <v>410.40199999999993</v>
      </c>
      <c r="AV53" s="703">
        <f>SUM(AV49:AV52)</f>
        <v>427.18099999999998</v>
      </c>
      <c r="AW53" s="703"/>
      <c r="AX53" s="922"/>
      <c r="AY53" s="708"/>
      <c r="AZ53" s="708"/>
      <c r="BA53" s="708"/>
      <c r="BB53" s="708"/>
      <c r="BC53" s="708"/>
      <c r="BD53" s="632"/>
    </row>
    <row r="54" spans="1:56" s="31" customFormat="1" hidden="1" outlineLevel="1" x14ac:dyDescent="0.25">
      <c r="A54" s="161"/>
      <c r="B54" s="182"/>
      <c r="C54" s="391"/>
      <c r="D54" s="391"/>
      <c r="E54" s="391"/>
      <c r="F54" s="391"/>
      <c r="G54" s="391"/>
      <c r="H54" s="391"/>
      <c r="I54" s="391"/>
      <c r="J54" s="391"/>
      <c r="K54" s="391"/>
      <c r="L54" s="391"/>
      <c r="M54" s="391"/>
      <c r="N54" s="391"/>
      <c r="O54" s="391"/>
      <c r="P54" s="391"/>
      <c r="Q54" s="392"/>
      <c r="R54" s="391"/>
      <c r="S54" s="391"/>
      <c r="T54" s="391"/>
      <c r="U54" s="392"/>
      <c r="V54" s="391"/>
      <c r="W54" s="391"/>
      <c r="X54" s="391"/>
      <c r="Y54" s="392"/>
      <c r="Z54" s="391"/>
      <c r="AA54" s="391"/>
      <c r="AB54" s="391"/>
      <c r="AC54" s="392"/>
      <c r="AD54" s="391"/>
      <c r="AE54" s="391"/>
      <c r="AF54" s="645"/>
      <c r="AG54" s="68"/>
      <c r="AH54" s="68"/>
      <c r="AI54" s="68"/>
      <c r="AJ54" s="68"/>
      <c r="AK54" s="68"/>
      <c r="AL54" s="68"/>
      <c r="AM54" s="68"/>
      <c r="AN54" s="390"/>
      <c r="AO54" s="390"/>
      <c r="AP54" s="390"/>
      <c r="AQ54" s="390"/>
      <c r="AR54" s="390"/>
      <c r="AS54" s="390"/>
      <c r="AT54" s="390"/>
      <c r="AU54" s="390"/>
      <c r="AV54" s="390"/>
      <c r="AW54" s="390"/>
      <c r="AX54" s="921"/>
      <c r="AY54" s="106"/>
      <c r="AZ54" s="106"/>
      <c r="BA54" s="106"/>
      <c r="BB54" s="106"/>
      <c r="BC54" s="106"/>
      <c r="BD54" s="72"/>
    </row>
    <row r="55" spans="1:56" s="39" customFormat="1" hidden="1" outlineLevel="1" x14ac:dyDescent="0.25">
      <c r="A55" s="75" t="s">
        <v>41</v>
      </c>
      <c r="B55" s="183"/>
      <c r="C55" s="723"/>
      <c r="D55" s="723"/>
      <c r="E55" s="723"/>
      <c r="F55" s="723"/>
      <c r="G55" s="723">
        <v>6.3689999999999998</v>
      </c>
      <c r="H55" s="723">
        <v>7.4610000000000003</v>
      </c>
      <c r="I55" s="723">
        <v>8.3840000000000003</v>
      </c>
      <c r="J55" s="723">
        <v>10.547000000000001</v>
      </c>
      <c r="K55" s="723">
        <v>8.3469999999999995</v>
      </c>
      <c r="L55" s="723">
        <v>8.3870000000000005</v>
      </c>
      <c r="M55" s="723">
        <v>9.8079999999999998</v>
      </c>
      <c r="N55" s="723">
        <v>9.6809999999999992</v>
      </c>
      <c r="O55" s="723">
        <v>9.7040000000000006</v>
      </c>
      <c r="P55" s="723">
        <v>9.5719999999999992</v>
      </c>
      <c r="Q55" s="724">
        <v>9.7959999999999994</v>
      </c>
      <c r="R55" s="723">
        <v>9.8819999999999997</v>
      </c>
      <c r="S55" s="723">
        <v>8.7560000000000002</v>
      </c>
      <c r="T55" s="723">
        <v>10.108000000000001</v>
      </c>
      <c r="U55" s="724">
        <v>10.425000000000001</v>
      </c>
      <c r="V55" s="724">
        <v>9.6820000000000004</v>
      </c>
      <c r="W55" s="723"/>
      <c r="X55" s="723"/>
      <c r="Y55" s="724"/>
      <c r="Z55" s="724"/>
      <c r="AA55" s="723"/>
      <c r="AB55" s="723"/>
      <c r="AC55" s="724"/>
      <c r="AD55" s="724"/>
      <c r="AE55" s="723"/>
      <c r="AF55" s="727"/>
      <c r="AG55" s="730"/>
      <c r="AH55" s="730"/>
      <c r="AI55" s="730"/>
      <c r="AJ55" s="730"/>
      <c r="AK55" s="730"/>
      <c r="AL55" s="730"/>
      <c r="AM55" s="730"/>
      <c r="AN55" s="722"/>
      <c r="AO55" s="722"/>
      <c r="AP55" s="722"/>
      <c r="AQ55" s="722"/>
      <c r="AR55" s="722">
        <v>29.039000000000001</v>
      </c>
      <c r="AS55" s="722">
        <v>32.761000000000003</v>
      </c>
      <c r="AT55" s="722">
        <v>36.222999999999999</v>
      </c>
      <c r="AU55" s="722">
        <v>38.954000000000001</v>
      </c>
      <c r="AV55" s="726">
        <f>AV43-AV49</f>
        <v>38.971000000000004</v>
      </c>
      <c r="AW55" s="726"/>
      <c r="AX55" s="925"/>
      <c r="AY55" s="729"/>
      <c r="AZ55" s="729"/>
      <c r="BA55" s="729"/>
      <c r="BB55" s="729"/>
      <c r="BC55" s="729"/>
      <c r="BD55" s="631"/>
    </row>
    <row r="56" spans="1:56" s="39" customFormat="1" hidden="1" outlineLevel="1" x14ac:dyDescent="0.25">
      <c r="A56" s="75" t="s">
        <v>42</v>
      </c>
      <c r="B56" s="183"/>
      <c r="C56" s="723"/>
      <c r="D56" s="723"/>
      <c r="E56" s="723"/>
      <c r="F56" s="723"/>
      <c r="G56" s="723">
        <v>7.94</v>
      </c>
      <c r="H56" s="723">
        <v>10.775</v>
      </c>
      <c r="I56" s="723">
        <v>7.3840000000000003</v>
      </c>
      <c r="J56" s="723">
        <v>7.2510000000000003</v>
      </c>
      <c r="K56" s="723">
        <v>6.4130000000000003</v>
      </c>
      <c r="L56" s="723">
        <v>5.8289999999999997</v>
      </c>
      <c r="M56" s="723">
        <v>5.5270000000000001</v>
      </c>
      <c r="N56" s="723">
        <v>5.8520000000000003</v>
      </c>
      <c r="O56" s="723">
        <v>3.8839999999999999</v>
      </c>
      <c r="P56" s="723">
        <v>4.1059999999999999</v>
      </c>
      <c r="Q56" s="724">
        <v>3.5960000000000001</v>
      </c>
      <c r="R56" s="723">
        <v>4.2169999999999996</v>
      </c>
      <c r="S56" s="723">
        <v>4.5990000000000002</v>
      </c>
      <c r="T56" s="723">
        <v>4.1369999999999996</v>
      </c>
      <c r="U56" s="724">
        <v>1.7210000000000001</v>
      </c>
      <c r="V56" s="724">
        <v>3.9689999999999999</v>
      </c>
      <c r="W56" s="723"/>
      <c r="X56" s="723"/>
      <c r="Y56" s="724"/>
      <c r="Z56" s="724"/>
      <c r="AA56" s="723"/>
      <c r="AB56" s="723"/>
      <c r="AC56" s="724"/>
      <c r="AD56" s="724"/>
      <c r="AE56" s="723"/>
      <c r="AF56" s="727"/>
      <c r="AG56" s="730"/>
      <c r="AH56" s="730"/>
      <c r="AI56" s="730"/>
      <c r="AJ56" s="730"/>
      <c r="AK56" s="730"/>
      <c r="AL56" s="730"/>
      <c r="AM56" s="730"/>
      <c r="AN56" s="722"/>
      <c r="AO56" s="722"/>
      <c r="AP56" s="722"/>
      <c r="AQ56" s="722"/>
      <c r="AR56" s="722">
        <v>24.713000000000001</v>
      </c>
      <c r="AS56" s="722">
        <v>33.35</v>
      </c>
      <c r="AT56" s="722">
        <v>23.620999999999999</v>
      </c>
      <c r="AU56" s="722">
        <v>15.803000000000001</v>
      </c>
      <c r="AV56" s="726">
        <f>AV44-AV50</f>
        <v>14.425999999999988</v>
      </c>
      <c r="AW56" s="726"/>
      <c r="AX56" s="925"/>
      <c r="AY56" s="729"/>
      <c r="AZ56" s="729"/>
      <c r="BA56" s="729"/>
      <c r="BB56" s="729"/>
      <c r="BC56" s="729"/>
      <c r="BD56" s="631"/>
    </row>
    <row r="57" spans="1:56" s="39" customFormat="1" hidden="1" outlineLevel="1" x14ac:dyDescent="0.25">
      <c r="A57" s="75" t="s">
        <v>43</v>
      </c>
      <c r="B57" s="183"/>
      <c r="C57" s="723"/>
      <c r="D57" s="723"/>
      <c r="E57" s="723"/>
      <c r="F57" s="723"/>
      <c r="G57" s="723">
        <v>1.91</v>
      </c>
      <c r="H57" s="723">
        <v>3.298</v>
      </c>
      <c r="I57" s="723">
        <v>2.5190000000000001</v>
      </c>
      <c r="J57" s="723">
        <v>3.1760000000000002</v>
      </c>
      <c r="K57" s="723">
        <v>1.976</v>
      </c>
      <c r="L57" s="723">
        <v>3.427</v>
      </c>
      <c r="M57" s="723">
        <v>2.4700000000000002</v>
      </c>
      <c r="N57" s="723">
        <v>3.448</v>
      </c>
      <c r="O57" s="723">
        <v>2.4510000000000001</v>
      </c>
      <c r="P57" s="723">
        <v>3.83</v>
      </c>
      <c r="Q57" s="724">
        <v>3.6190000000000002</v>
      </c>
      <c r="R57" s="723">
        <v>4.2809999999999997</v>
      </c>
      <c r="S57" s="723">
        <v>2.8759999999999999</v>
      </c>
      <c r="T57" s="723">
        <v>4.0750000000000002</v>
      </c>
      <c r="U57" s="724">
        <v>3.2450000000000001</v>
      </c>
      <c r="V57" s="724">
        <v>4.3280000000000003</v>
      </c>
      <c r="W57" s="723"/>
      <c r="X57" s="723"/>
      <c r="Y57" s="724"/>
      <c r="Z57" s="724"/>
      <c r="AA57" s="723"/>
      <c r="AB57" s="723"/>
      <c r="AC57" s="724"/>
      <c r="AD57" s="724"/>
      <c r="AE57" s="723"/>
      <c r="AF57" s="727"/>
      <c r="AG57" s="730"/>
      <c r="AH57" s="730"/>
      <c r="AI57" s="730"/>
      <c r="AJ57" s="730"/>
      <c r="AK57" s="730"/>
      <c r="AL57" s="730"/>
      <c r="AM57" s="730"/>
      <c r="AN57" s="722"/>
      <c r="AO57" s="722"/>
      <c r="AP57" s="722"/>
      <c r="AQ57" s="722"/>
      <c r="AR57" s="722">
        <v>10.747999999999999</v>
      </c>
      <c r="AS57" s="722">
        <v>10.903</v>
      </c>
      <c r="AT57" s="722">
        <v>11.321</v>
      </c>
      <c r="AU57" s="722">
        <v>14.180999999999999</v>
      </c>
      <c r="AV57" s="726">
        <f>AV45-AV51</f>
        <v>14.524000000000015</v>
      </c>
      <c r="AW57" s="726"/>
      <c r="AX57" s="925"/>
      <c r="AY57" s="729"/>
      <c r="AZ57" s="729"/>
      <c r="BA57" s="729"/>
      <c r="BB57" s="729"/>
      <c r="BC57" s="729"/>
      <c r="BD57" s="631"/>
    </row>
    <row r="58" spans="1:56" s="39" customFormat="1" hidden="1" outlineLevel="1" x14ac:dyDescent="0.25">
      <c r="A58" s="227" t="s">
        <v>44</v>
      </c>
      <c r="B58" s="233"/>
      <c r="C58" s="732"/>
      <c r="D58" s="732"/>
      <c r="E58" s="732"/>
      <c r="F58" s="732"/>
      <c r="G58" s="732">
        <v>2.1360000000000001</v>
      </c>
      <c r="H58" s="732">
        <v>3.2330000000000001</v>
      </c>
      <c r="I58" s="732">
        <v>4.2309999999999999</v>
      </c>
      <c r="J58" s="732">
        <v>2.9609999999999999</v>
      </c>
      <c r="K58" s="732">
        <v>2.399</v>
      </c>
      <c r="L58" s="732">
        <v>2.4329999999999998</v>
      </c>
      <c r="M58" s="732">
        <v>2.5640000000000001</v>
      </c>
      <c r="N58" s="732">
        <v>3.431</v>
      </c>
      <c r="O58" s="732">
        <v>1.8879999999999999</v>
      </c>
      <c r="P58" s="732">
        <v>2.8359999999999999</v>
      </c>
      <c r="Q58" s="733">
        <v>2.9929999999999999</v>
      </c>
      <c r="R58" s="732">
        <v>3.5019999999999998</v>
      </c>
      <c r="S58" s="732">
        <v>3.157</v>
      </c>
      <c r="T58" s="732">
        <v>4.1150000000000002</v>
      </c>
      <c r="U58" s="733">
        <v>3.2549999999999999</v>
      </c>
      <c r="V58" s="733">
        <v>3.5790000000000002</v>
      </c>
      <c r="W58" s="732"/>
      <c r="X58" s="732"/>
      <c r="Y58" s="733"/>
      <c r="Z58" s="733"/>
      <c r="AA58" s="732"/>
      <c r="AB58" s="732"/>
      <c r="AC58" s="733"/>
      <c r="AD58" s="733"/>
      <c r="AE58" s="732"/>
      <c r="AF58" s="736"/>
      <c r="AG58" s="734"/>
      <c r="AH58" s="734"/>
      <c r="AI58" s="734"/>
      <c r="AJ58" s="734"/>
      <c r="AK58" s="734"/>
      <c r="AL58" s="734"/>
      <c r="AM58" s="734"/>
      <c r="AN58" s="731"/>
      <c r="AO58" s="731"/>
      <c r="AP58" s="731"/>
      <c r="AQ58" s="731"/>
      <c r="AR58" s="731">
        <v>11.765000000000001</v>
      </c>
      <c r="AS58" s="731">
        <v>12.561</v>
      </c>
      <c r="AT58" s="731">
        <v>10.827</v>
      </c>
      <c r="AU58" s="731">
        <v>11.218999999999999</v>
      </c>
      <c r="AV58" s="735">
        <f>AV46-AV52</f>
        <v>14.105999999999995</v>
      </c>
      <c r="AW58" s="735"/>
      <c r="AX58" s="926"/>
      <c r="AY58" s="735"/>
      <c r="AZ58" s="735"/>
      <c r="BA58" s="735"/>
      <c r="BB58" s="735"/>
      <c r="BC58" s="735"/>
      <c r="BD58" s="631"/>
    </row>
    <row r="59" spans="1:56" s="38" customFormat="1" hidden="1" outlineLevel="1" x14ac:dyDescent="0.25">
      <c r="A59" s="162" t="s">
        <v>31</v>
      </c>
      <c r="B59" s="234"/>
      <c r="C59" s="704">
        <f>C80</f>
        <v>16.181000000000001</v>
      </c>
      <c r="D59" s="704">
        <f>D80</f>
        <v>18.395000000000003</v>
      </c>
      <c r="E59" s="704">
        <f>E80</f>
        <v>20.061</v>
      </c>
      <c r="F59" s="704">
        <f>F80</f>
        <v>21.628</v>
      </c>
      <c r="G59" s="704">
        <f t="shared" ref="G59:V59" si="35">SUM(G55:G58)</f>
        <v>18.355</v>
      </c>
      <c r="H59" s="704">
        <f t="shared" si="35"/>
        <v>24.766999999999999</v>
      </c>
      <c r="I59" s="704">
        <f t="shared" si="35"/>
        <v>22.518000000000001</v>
      </c>
      <c r="J59" s="704">
        <f t="shared" si="35"/>
        <v>23.935000000000002</v>
      </c>
      <c r="K59" s="704">
        <f t="shared" si="35"/>
        <v>19.135000000000002</v>
      </c>
      <c r="L59" s="704">
        <f t="shared" si="35"/>
        <v>20.076000000000001</v>
      </c>
      <c r="M59" s="704">
        <f t="shared" si="35"/>
        <v>20.369</v>
      </c>
      <c r="N59" s="704">
        <f t="shared" si="35"/>
        <v>22.411999999999999</v>
      </c>
      <c r="O59" s="704">
        <f t="shared" si="35"/>
        <v>17.927</v>
      </c>
      <c r="P59" s="704">
        <f t="shared" si="35"/>
        <v>20.343999999999998</v>
      </c>
      <c r="Q59" s="705">
        <f t="shared" si="35"/>
        <v>20.003999999999998</v>
      </c>
      <c r="R59" s="704">
        <f t="shared" si="35"/>
        <v>21.881999999999998</v>
      </c>
      <c r="S59" s="704">
        <f t="shared" si="35"/>
        <v>19.388000000000002</v>
      </c>
      <c r="T59" s="704">
        <f t="shared" si="35"/>
        <v>22.435000000000002</v>
      </c>
      <c r="U59" s="705">
        <f t="shared" si="35"/>
        <v>18.646000000000001</v>
      </c>
      <c r="V59" s="704">
        <f t="shared" si="35"/>
        <v>21.558</v>
      </c>
      <c r="W59" s="704"/>
      <c r="X59" s="704"/>
      <c r="Y59" s="705"/>
      <c r="Z59" s="704"/>
      <c r="AA59" s="704"/>
      <c r="AB59" s="704"/>
      <c r="AC59" s="705"/>
      <c r="AD59" s="704"/>
      <c r="AE59" s="704"/>
      <c r="AF59" s="706"/>
      <c r="AG59" s="707"/>
      <c r="AH59" s="707"/>
      <c r="AI59" s="707"/>
      <c r="AJ59" s="707"/>
      <c r="AK59" s="707"/>
      <c r="AL59" s="707"/>
      <c r="AM59" s="707"/>
      <c r="AN59" s="703"/>
      <c r="AO59" s="703">
        <f>AO80</f>
        <v>42.69</v>
      </c>
      <c r="AP59" s="703">
        <f>AP80</f>
        <v>56.634</v>
      </c>
      <c r="AQ59" s="703">
        <f>AQ80</f>
        <v>71.971000000000004</v>
      </c>
      <c r="AR59" s="703">
        <f>SUM(AR55:AR58)</f>
        <v>76.265000000000001</v>
      </c>
      <c r="AS59" s="703">
        <f>SUM(AS55:AS58)</f>
        <v>89.575000000000017</v>
      </c>
      <c r="AT59" s="703">
        <f>SUM(AT55:AT58)</f>
        <v>81.99199999999999</v>
      </c>
      <c r="AU59" s="703">
        <f>SUM(AU55:AU58)</f>
        <v>80.156999999999996</v>
      </c>
      <c r="AV59" s="703">
        <f>SUM(AV55:AV58)</f>
        <v>82.027000000000001</v>
      </c>
      <c r="AW59" s="703"/>
      <c r="AX59" s="922"/>
      <c r="AY59" s="708"/>
      <c r="AZ59" s="708"/>
      <c r="BA59" s="708"/>
      <c r="BB59" s="708"/>
      <c r="BC59" s="708"/>
      <c r="BD59" s="632"/>
    </row>
    <row r="60" spans="1:56" s="39" customFormat="1" hidden="1" outlineLevel="1" x14ac:dyDescent="0.25">
      <c r="A60" s="75"/>
      <c r="B60" s="183"/>
      <c r="C60" s="723"/>
      <c r="D60" s="723"/>
      <c r="E60" s="723"/>
      <c r="F60" s="723"/>
      <c r="G60" s="723"/>
      <c r="H60" s="723"/>
      <c r="I60" s="723"/>
      <c r="J60" s="723"/>
      <c r="K60" s="723"/>
      <c r="L60" s="723"/>
      <c r="M60" s="723"/>
      <c r="N60" s="723"/>
      <c r="O60" s="723"/>
      <c r="P60" s="723"/>
      <c r="Q60" s="724"/>
      <c r="R60" s="723"/>
      <c r="S60" s="723"/>
      <c r="T60" s="723"/>
      <c r="U60" s="724"/>
      <c r="V60" s="723"/>
      <c r="W60" s="723"/>
      <c r="X60" s="723"/>
      <c r="Y60" s="724"/>
      <c r="Z60" s="723"/>
      <c r="AA60" s="723"/>
      <c r="AB60" s="723"/>
      <c r="AC60" s="724"/>
      <c r="AD60" s="723"/>
      <c r="AE60" s="723"/>
      <c r="AF60" s="727"/>
      <c r="AG60" s="737"/>
      <c r="AH60" s="737"/>
      <c r="AI60" s="737"/>
      <c r="AJ60" s="737"/>
      <c r="AK60" s="737"/>
      <c r="AL60" s="737"/>
      <c r="AM60" s="737"/>
      <c r="AN60" s="722"/>
      <c r="AO60" s="722"/>
      <c r="AP60" s="722"/>
      <c r="AQ60" s="722"/>
      <c r="AR60" s="722"/>
      <c r="AS60" s="722"/>
      <c r="AT60" s="722"/>
      <c r="AU60" s="722"/>
      <c r="AV60" s="722"/>
      <c r="AW60" s="722"/>
      <c r="AX60" s="927"/>
      <c r="AY60" s="738"/>
      <c r="AZ60" s="738"/>
      <c r="BA60" s="738"/>
      <c r="BB60" s="738"/>
      <c r="BC60" s="738"/>
      <c r="BD60" s="631"/>
    </row>
    <row r="61" spans="1:56" s="39" customFormat="1" hidden="1" outlineLevel="1" x14ac:dyDescent="0.25">
      <c r="A61" s="75" t="s">
        <v>415</v>
      </c>
      <c r="B61" s="183"/>
      <c r="C61" s="723">
        <v>42.734000000000002</v>
      </c>
      <c r="D61" s="723">
        <v>45.185000000000002</v>
      </c>
      <c r="E61" s="723">
        <v>49.304000000000002</v>
      </c>
      <c r="F61" s="723">
        <f>AR61-SUM(C61,D61,E61)</f>
        <v>52.675999999999988</v>
      </c>
      <c r="G61" s="723"/>
      <c r="H61" s="723"/>
      <c r="I61" s="723"/>
      <c r="J61" s="723"/>
      <c r="K61" s="723"/>
      <c r="L61" s="723"/>
      <c r="M61" s="723"/>
      <c r="N61" s="723"/>
      <c r="O61" s="723"/>
      <c r="P61" s="723"/>
      <c r="Q61" s="724"/>
      <c r="R61" s="723"/>
      <c r="S61" s="723"/>
      <c r="T61" s="723"/>
      <c r="U61" s="724"/>
      <c r="V61" s="725"/>
      <c r="W61" s="723"/>
      <c r="X61" s="723"/>
      <c r="Y61" s="724"/>
      <c r="Z61" s="725"/>
      <c r="AA61" s="723"/>
      <c r="AB61" s="723"/>
      <c r="AC61" s="724"/>
      <c r="AD61" s="725"/>
      <c r="AE61" s="723"/>
      <c r="AF61" s="727"/>
      <c r="AG61" s="730"/>
      <c r="AH61" s="730"/>
      <c r="AI61" s="730"/>
      <c r="AJ61" s="730"/>
      <c r="AK61" s="730"/>
      <c r="AL61" s="730"/>
      <c r="AM61" s="730"/>
      <c r="AN61" s="722"/>
      <c r="AO61" s="722">
        <v>118.922</v>
      </c>
      <c r="AP61" s="722">
        <v>130.392</v>
      </c>
      <c r="AQ61" s="722">
        <v>158.11799999999999</v>
      </c>
      <c r="AR61" s="722">
        <v>189.899</v>
      </c>
      <c r="AS61" s="722"/>
      <c r="AT61" s="722"/>
      <c r="AU61" s="722"/>
      <c r="AV61" s="726"/>
      <c r="AW61" s="726"/>
      <c r="AX61" s="925"/>
      <c r="AY61" s="729"/>
      <c r="AZ61" s="729"/>
      <c r="BA61" s="729"/>
      <c r="BB61" s="729"/>
      <c r="BC61" s="729"/>
      <c r="BD61" s="631"/>
    </row>
    <row r="62" spans="1:56" s="39" customFormat="1" hidden="1" outlineLevel="1" x14ac:dyDescent="0.25">
      <c r="A62" s="75" t="s">
        <v>416</v>
      </c>
      <c r="B62" s="183"/>
      <c r="C62" s="723">
        <v>18.015000000000001</v>
      </c>
      <c r="D62" s="723">
        <v>17.047999999999998</v>
      </c>
      <c r="E62" s="723">
        <v>19.157</v>
      </c>
      <c r="F62" s="723">
        <f>AR62-SUM(C62,D62,E62)</f>
        <v>18.356999999999999</v>
      </c>
      <c r="G62" s="723"/>
      <c r="H62" s="723"/>
      <c r="I62" s="723"/>
      <c r="J62" s="723"/>
      <c r="K62" s="723"/>
      <c r="L62" s="723"/>
      <c r="M62" s="723"/>
      <c r="N62" s="723"/>
      <c r="O62" s="723"/>
      <c r="P62" s="723"/>
      <c r="Q62" s="724"/>
      <c r="R62" s="723"/>
      <c r="S62" s="723"/>
      <c r="T62" s="723"/>
      <c r="U62" s="724"/>
      <c r="V62" s="725"/>
      <c r="W62" s="723"/>
      <c r="X62" s="723"/>
      <c r="Y62" s="724"/>
      <c r="Z62" s="725"/>
      <c r="AA62" s="723"/>
      <c r="AB62" s="723"/>
      <c r="AC62" s="724"/>
      <c r="AD62" s="725"/>
      <c r="AE62" s="723"/>
      <c r="AF62" s="727"/>
      <c r="AG62" s="730"/>
      <c r="AH62" s="730"/>
      <c r="AI62" s="730"/>
      <c r="AJ62" s="730"/>
      <c r="AK62" s="730"/>
      <c r="AL62" s="730"/>
      <c r="AM62" s="730"/>
      <c r="AN62" s="722"/>
      <c r="AO62" s="722">
        <v>70.893000000000001</v>
      </c>
      <c r="AP62" s="722">
        <v>85.284999999999997</v>
      </c>
      <c r="AQ62" s="722">
        <v>82.447000000000003</v>
      </c>
      <c r="AR62" s="722">
        <v>72.576999999999998</v>
      </c>
      <c r="AS62" s="722"/>
      <c r="AT62" s="722"/>
      <c r="AU62" s="722"/>
      <c r="AV62" s="726"/>
      <c r="AW62" s="726"/>
      <c r="AX62" s="925"/>
      <c r="AY62" s="729"/>
      <c r="AZ62" s="729"/>
      <c r="BA62" s="729"/>
      <c r="BB62" s="729"/>
      <c r="BC62" s="729"/>
      <c r="BD62" s="631"/>
    </row>
    <row r="63" spans="1:56" s="39" customFormat="1" hidden="1" outlineLevel="1" x14ac:dyDescent="0.25">
      <c r="A63" s="75" t="s">
        <v>417</v>
      </c>
      <c r="B63" s="183"/>
      <c r="C63" s="723">
        <v>14.997999999999999</v>
      </c>
      <c r="D63" s="723">
        <v>20.134</v>
      </c>
      <c r="E63" s="723">
        <v>16.928999999999998</v>
      </c>
      <c r="F63" s="723">
        <f>AR63-SUM(C63,D63,E63)</f>
        <v>18.638000000000005</v>
      </c>
      <c r="G63" s="723"/>
      <c r="H63" s="723"/>
      <c r="I63" s="723"/>
      <c r="J63" s="723"/>
      <c r="K63" s="723"/>
      <c r="L63" s="723"/>
      <c r="M63" s="723"/>
      <c r="N63" s="723"/>
      <c r="O63" s="723"/>
      <c r="P63" s="723"/>
      <c r="Q63" s="724"/>
      <c r="R63" s="723"/>
      <c r="S63" s="723"/>
      <c r="T63" s="723"/>
      <c r="U63" s="724"/>
      <c r="V63" s="725"/>
      <c r="W63" s="723"/>
      <c r="X63" s="723"/>
      <c r="Y63" s="724"/>
      <c r="Z63" s="725"/>
      <c r="AA63" s="723"/>
      <c r="AB63" s="723"/>
      <c r="AC63" s="724"/>
      <c r="AD63" s="725"/>
      <c r="AE63" s="723"/>
      <c r="AF63" s="727"/>
      <c r="AG63" s="730"/>
      <c r="AH63" s="730"/>
      <c r="AI63" s="730"/>
      <c r="AJ63" s="730"/>
      <c r="AK63" s="730"/>
      <c r="AL63" s="730"/>
      <c r="AM63" s="730"/>
      <c r="AN63" s="722"/>
      <c r="AO63" s="722">
        <v>47.152999999999999</v>
      </c>
      <c r="AP63" s="722">
        <v>54.603999999999999</v>
      </c>
      <c r="AQ63" s="722">
        <v>70.242999999999995</v>
      </c>
      <c r="AR63" s="722">
        <v>70.698999999999998</v>
      </c>
      <c r="AS63" s="722"/>
      <c r="AT63" s="722"/>
      <c r="AU63" s="722"/>
      <c r="AV63" s="726"/>
      <c r="AW63" s="726"/>
      <c r="AX63" s="925"/>
      <c r="AY63" s="729"/>
      <c r="AZ63" s="729"/>
      <c r="BA63" s="729"/>
      <c r="BB63" s="729"/>
      <c r="BC63" s="729"/>
      <c r="BD63" s="631"/>
    </row>
    <row r="64" spans="1:56" s="39" customFormat="1" hidden="1" outlineLevel="1" x14ac:dyDescent="0.25">
      <c r="A64" s="588" t="s">
        <v>418</v>
      </c>
      <c r="B64" s="589"/>
      <c r="C64" s="723">
        <v>15.5</v>
      </c>
      <c r="D64" s="723">
        <v>12.954000000000001</v>
      </c>
      <c r="E64" s="723">
        <v>13.037000000000001</v>
      </c>
      <c r="F64" s="723">
        <f>AR64-SUM(C64,D64,E64)</f>
        <v>12.390999999999998</v>
      </c>
      <c r="G64" s="723"/>
      <c r="H64" s="723"/>
      <c r="I64" s="723"/>
      <c r="J64" s="723"/>
      <c r="K64" s="723"/>
      <c r="L64" s="723"/>
      <c r="M64" s="723"/>
      <c r="N64" s="723"/>
      <c r="O64" s="723"/>
      <c r="P64" s="723"/>
      <c r="Q64" s="724"/>
      <c r="R64" s="723"/>
      <c r="S64" s="723"/>
      <c r="T64" s="723"/>
      <c r="U64" s="724"/>
      <c r="V64" s="725"/>
      <c r="W64" s="723"/>
      <c r="X64" s="723"/>
      <c r="Y64" s="724"/>
      <c r="Z64" s="725"/>
      <c r="AA64" s="723"/>
      <c r="AB64" s="723"/>
      <c r="AC64" s="724"/>
      <c r="AD64" s="725"/>
      <c r="AE64" s="723"/>
      <c r="AF64" s="727"/>
      <c r="AG64" s="725"/>
      <c r="AH64" s="725"/>
      <c r="AI64" s="725"/>
      <c r="AJ64" s="725"/>
      <c r="AK64" s="725"/>
      <c r="AL64" s="725"/>
      <c r="AM64" s="725"/>
      <c r="AN64" s="722"/>
      <c r="AO64" s="722">
        <v>0</v>
      </c>
      <c r="AP64" s="722">
        <v>40.079000000000001</v>
      </c>
      <c r="AQ64" s="722">
        <v>55.793999999999997</v>
      </c>
      <c r="AR64" s="722">
        <v>53.881999999999998</v>
      </c>
      <c r="AS64" s="722"/>
      <c r="AT64" s="722"/>
      <c r="AU64" s="722"/>
      <c r="AV64" s="726"/>
      <c r="AW64" s="726"/>
      <c r="AX64" s="925"/>
      <c r="AY64" s="726"/>
      <c r="AZ64" s="726"/>
      <c r="BA64" s="726"/>
      <c r="BB64" s="726"/>
      <c r="BC64" s="726"/>
      <c r="BD64" s="631"/>
    </row>
    <row r="65" spans="1:56" s="39" customFormat="1" hidden="1" outlineLevel="1" x14ac:dyDescent="0.25">
      <c r="A65" s="227" t="s">
        <v>430</v>
      </c>
      <c r="B65" s="233"/>
      <c r="C65" s="732">
        <v>10.125999999999999</v>
      </c>
      <c r="D65" s="732">
        <v>9.5779999999999994</v>
      </c>
      <c r="E65" s="732">
        <v>14.77</v>
      </c>
      <c r="F65" s="732">
        <f>AR65-SUM(C65,D65,E65)</f>
        <v>15.157999999999994</v>
      </c>
      <c r="G65" s="732"/>
      <c r="H65" s="732"/>
      <c r="I65" s="732"/>
      <c r="J65" s="732"/>
      <c r="K65" s="732"/>
      <c r="L65" s="732"/>
      <c r="M65" s="732"/>
      <c r="N65" s="732"/>
      <c r="O65" s="732"/>
      <c r="P65" s="732"/>
      <c r="Q65" s="733"/>
      <c r="R65" s="732"/>
      <c r="S65" s="732"/>
      <c r="T65" s="732"/>
      <c r="U65" s="733"/>
      <c r="V65" s="734"/>
      <c r="W65" s="732"/>
      <c r="X65" s="732"/>
      <c r="Y65" s="733"/>
      <c r="Z65" s="734"/>
      <c r="AA65" s="732"/>
      <c r="AB65" s="732"/>
      <c r="AC65" s="733"/>
      <c r="AD65" s="734"/>
      <c r="AE65" s="732"/>
      <c r="AF65" s="736"/>
      <c r="AG65" s="734"/>
      <c r="AH65" s="734"/>
      <c r="AI65" s="734"/>
      <c r="AJ65" s="734"/>
      <c r="AK65" s="734"/>
      <c r="AL65" s="734"/>
      <c r="AM65" s="734"/>
      <c r="AN65" s="731"/>
      <c r="AO65" s="731">
        <v>22.957999999999998</v>
      </c>
      <c r="AP65" s="731">
        <v>22.806999999999999</v>
      </c>
      <c r="AQ65" s="731">
        <v>34.97</v>
      </c>
      <c r="AR65" s="731">
        <v>49.631999999999998</v>
      </c>
      <c r="AS65" s="731"/>
      <c r="AT65" s="731"/>
      <c r="AU65" s="731"/>
      <c r="AV65" s="735"/>
      <c r="AW65" s="735"/>
      <c r="AX65" s="926"/>
      <c r="AY65" s="735"/>
      <c r="AZ65" s="735"/>
      <c r="BA65" s="735"/>
      <c r="BB65" s="735"/>
      <c r="BC65" s="735"/>
      <c r="BD65" s="631"/>
    </row>
    <row r="66" spans="1:56" s="38" customFormat="1" hidden="1" outlineLevel="1" x14ac:dyDescent="0.25">
      <c r="A66" s="40" t="s">
        <v>419</v>
      </c>
      <c r="B66" s="590"/>
      <c r="C66" s="716">
        <f>SUM(C61:C65)</f>
        <v>101.373</v>
      </c>
      <c r="D66" s="716">
        <f>SUM(D61:D65)</f>
        <v>104.899</v>
      </c>
      <c r="E66" s="716">
        <f>SUM(E61:E65)</f>
        <v>113.197</v>
      </c>
      <c r="F66" s="716">
        <f>SUM(F61:F65)</f>
        <v>117.21999999999997</v>
      </c>
      <c r="G66" s="716"/>
      <c r="H66" s="716"/>
      <c r="I66" s="716"/>
      <c r="J66" s="716"/>
      <c r="K66" s="716"/>
      <c r="L66" s="716"/>
      <c r="M66" s="716"/>
      <c r="N66" s="716"/>
      <c r="O66" s="716"/>
      <c r="P66" s="716"/>
      <c r="Q66" s="717"/>
      <c r="R66" s="716"/>
      <c r="S66" s="716"/>
      <c r="T66" s="716"/>
      <c r="U66" s="717"/>
      <c r="V66" s="716"/>
      <c r="W66" s="716"/>
      <c r="X66" s="716"/>
      <c r="Y66" s="717"/>
      <c r="Z66" s="716"/>
      <c r="AA66" s="716"/>
      <c r="AB66" s="716"/>
      <c r="AC66" s="717"/>
      <c r="AD66" s="716"/>
      <c r="AE66" s="716"/>
      <c r="AF66" s="718"/>
      <c r="AG66" s="716"/>
      <c r="AH66" s="716"/>
      <c r="AI66" s="716"/>
      <c r="AJ66" s="716"/>
      <c r="AK66" s="716"/>
      <c r="AL66" s="716"/>
      <c r="AM66" s="716"/>
      <c r="AN66" s="715"/>
      <c r="AO66" s="715">
        <f>SUM(AO61:AO65)</f>
        <v>259.92599999999999</v>
      </c>
      <c r="AP66" s="715">
        <f>SUM(AP61:AP65)</f>
        <v>333.16700000000003</v>
      </c>
      <c r="AQ66" s="715">
        <f>SUM(AQ61:AQ65)</f>
        <v>401.572</v>
      </c>
      <c r="AR66" s="715">
        <f>SUM(AR61:AR65)</f>
        <v>436.68900000000002</v>
      </c>
      <c r="AS66" s="715"/>
      <c r="AT66" s="715"/>
      <c r="AU66" s="715"/>
      <c r="AV66" s="715"/>
      <c r="AW66" s="715"/>
      <c r="AX66" s="924"/>
      <c r="AY66" s="715"/>
      <c r="AZ66" s="715"/>
      <c r="BA66" s="715"/>
      <c r="BB66" s="715"/>
      <c r="BC66" s="715"/>
      <c r="BD66" s="632"/>
    </row>
    <row r="67" spans="1:56" s="31" customFormat="1" hidden="1" outlineLevel="1" x14ac:dyDescent="0.25">
      <c r="A67" s="161"/>
      <c r="B67" s="182"/>
      <c r="C67" s="391"/>
      <c r="D67" s="391"/>
      <c r="E67" s="391"/>
      <c r="F67" s="391"/>
      <c r="G67" s="391"/>
      <c r="H67" s="391"/>
      <c r="I67" s="391"/>
      <c r="J67" s="391"/>
      <c r="K67" s="391"/>
      <c r="L67" s="391"/>
      <c r="M67" s="391"/>
      <c r="N67" s="391"/>
      <c r="O67" s="391"/>
      <c r="P67" s="391"/>
      <c r="Q67" s="392"/>
      <c r="R67" s="391"/>
      <c r="S67" s="391"/>
      <c r="T67" s="391"/>
      <c r="U67" s="392"/>
      <c r="V67" s="391"/>
      <c r="W67" s="391"/>
      <c r="X67" s="391"/>
      <c r="Y67" s="392"/>
      <c r="Z67" s="391"/>
      <c r="AA67" s="391"/>
      <c r="AB67" s="391"/>
      <c r="AC67" s="392"/>
      <c r="AD67" s="391"/>
      <c r="AE67" s="391"/>
      <c r="AF67" s="645"/>
      <c r="AG67" s="68"/>
      <c r="AH67" s="68"/>
      <c r="AI67" s="68"/>
      <c r="AJ67" s="68"/>
      <c r="AK67" s="68"/>
      <c r="AL67" s="68"/>
      <c r="AM67" s="68"/>
      <c r="AN67" s="390"/>
      <c r="AO67" s="390"/>
      <c r="AP67" s="390"/>
      <c r="AQ67" s="390"/>
      <c r="AR67" s="390"/>
      <c r="AS67" s="390"/>
      <c r="AT67" s="390"/>
      <c r="AU67" s="390"/>
      <c r="AV67" s="390"/>
      <c r="AW67" s="390"/>
      <c r="AX67" s="921"/>
      <c r="AY67" s="106"/>
      <c r="AZ67" s="106"/>
      <c r="BA67" s="106"/>
      <c r="BB67" s="106"/>
      <c r="BC67" s="106"/>
      <c r="BD67" s="72"/>
    </row>
    <row r="68" spans="1:56" s="39" customFormat="1" hidden="1" outlineLevel="1" x14ac:dyDescent="0.25">
      <c r="A68" s="75" t="s">
        <v>420</v>
      </c>
      <c r="B68" s="183"/>
      <c r="C68" s="723">
        <f t="shared" ref="C68:F72" si="36">C61-C75</f>
        <v>35.563000000000002</v>
      </c>
      <c r="D68" s="723">
        <f t="shared" si="36"/>
        <v>36.987000000000002</v>
      </c>
      <c r="E68" s="723">
        <f t="shared" si="36"/>
        <v>40.675000000000004</v>
      </c>
      <c r="F68" s="723">
        <f t="shared" si="36"/>
        <v>43.133999999999986</v>
      </c>
      <c r="G68" s="723"/>
      <c r="H68" s="723"/>
      <c r="I68" s="723"/>
      <c r="J68" s="723"/>
      <c r="K68" s="723"/>
      <c r="L68" s="723"/>
      <c r="M68" s="723"/>
      <c r="N68" s="723"/>
      <c r="O68" s="723"/>
      <c r="P68" s="723"/>
      <c r="Q68" s="724"/>
      <c r="R68" s="723"/>
      <c r="S68" s="723"/>
      <c r="T68" s="723"/>
      <c r="U68" s="724"/>
      <c r="V68" s="724"/>
      <c r="W68" s="723"/>
      <c r="X68" s="723"/>
      <c r="Y68" s="724"/>
      <c r="Z68" s="724"/>
      <c r="AA68" s="723"/>
      <c r="AB68" s="723"/>
      <c r="AC68" s="724"/>
      <c r="AD68" s="724"/>
      <c r="AE68" s="723"/>
      <c r="AF68" s="727"/>
      <c r="AG68" s="730"/>
      <c r="AH68" s="730"/>
      <c r="AI68" s="730"/>
      <c r="AJ68" s="730"/>
      <c r="AK68" s="730"/>
      <c r="AL68" s="730"/>
      <c r="AM68" s="730"/>
      <c r="AN68" s="722"/>
      <c r="AO68" s="722">
        <f t="shared" ref="AO68:AR72" si="37">AO61-AO75</f>
        <v>98.721999999999994</v>
      </c>
      <c r="AP68" s="722">
        <f t="shared" si="37"/>
        <v>108.06699999999999</v>
      </c>
      <c r="AQ68" s="722">
        <f t="shared" si="37"/>
        <v>128.053</v>
      </c>
      <c r="AR68" s="722">
        <f t="shared" si="37"/>
        <v>156.35900000000001</v>
      </c>
      <c r="AS68" s="722"/>
      <c r="AT68" s="722"/>
      <c r="AU68" s="722"/>
      <c r="AV68" s="726"/>
      <c r="AW68" s="726"/>
      <c r="AX68" s="925"/>
      <c r="AY68" s="729"/>
      <c r="AZ68" s="729"/>
      <c r="BA68" s="729"/>
      <c r="BB68" s="729"/>
      <c r="BC68" s="729"/>
      <c r="BD68" s="631"/>
    </row>
    <row r="69" spans="1:56" s="39" customFormat="1" hidden="1" outlineLevel="1" x14ac:dyDescent="0.25">
      <c r="A69" s="75" t="s">
        <v>421</v>
      </c>
      <c r="B69" s="183"/>
      <c r="C69" s="723">
        <f t="shared" si="36"/>
        <v>15.331</v>
      </c>
      <c r="D69" s="723">
        <f t="shared" si="36"/>
        <v>13.766999999999998</v>
      </c>
      <c r="E69" s="723">
        <f t="shared" si="36"/>
        <v>15.928000000000001</v>
      </c>
      <c r="F69" s="723">
        <f t="shared" si="36"/>
        <v>15.230999999999998</v>
      </c>
      <c r="G69" s="723"/>
      <c r="H69" s="723"/>
      <c r="I69" s="723"/>
      <c r="J69" s="723"/>
      <c r="K69" s="723"/>
      <c r="L69" s="723"/>
      <c r="M69" s="723"/>
      <c r="N69" s="723"/>
      <c r="O69" s="723"/>
      <c r="P69" s="723"/>
      <c r="Q69" s="724"/>
      <c r="R69" s="723"/>
      <c r="S69" s="723"/>
      <c r="T69" s="723"/>
      <c r="U69" s="724"/>
      <c r="V69" s="724"/>
      <c r="W69" s="723"/>
      <c r="X69" s="723"/>
      <c r="Y69" s="724"/>
      <c r="Z69" s="724"/>
      <c r="AA69" s="723"/>
      <c r="AB69" s="723"/>
      <c r="AC69" s="724"/>
      <c r="AD69" s="724"/>
      <c r="AE69" s="723"/>
      <c r="AF69" s="727"/>
      <c r="AG69" s="730"/>
      <c r="AH69" s="730"/>
      <c r="AI69" s="730"/>
      <c r="AJ69" s="730"/>
      <c r="AK69" s="730"/>
      <c r="AL69" s="730"/>
      <c r="AM69" s="730"/>
      <c r="AN69" s="722"/>
      <c r="AO69" s="722">
        <f t="shared" si="37"/>
        <v>61.775999999999996</v>
      </c>
      <c r="AP69" s="722">
        <f t="shared" si="37"/>
        <v>71.006</v>
      </c>
      <c r="AQ69" s="722">
        <f t="shared" si="37"/>
        <v>68.168000000000006</v>
      </c>
      <c r="AR69" s="722">
        <f t="shared" si="37"/>
        <v>60.256999999999998</v>
      </c>
      <c r="AS69" s="722"/>
      <c r="AT69" s="722"/>
      <c r="AU69" s="722"/>
      <c r="AV69" s="726"/>
      <c r="AW69" s="726"/>
      <c r="AX69" s="925"/>
      <c r="AY69" s="729"/>
      <c r="AZ69" s="729"/>
      <c r="BA69" s="729"/>
      <c r="BB69" s="729"/>
      <c r="BC69" s="729"/>
      <c r="BD69" s="631"/>
    </row>
    <row r="70" spans="1:56" s="39" customFormat="1" hidden="1" outlineLevel="1" x14ac:dyDescent="0.25">
      <c r="A70" s="75" t="s">
        <v>422</v>
      </c>
      <c r="B70" s="183"/>
      <c r="C70" s="723">
        <f t="shared" si="36"/>
        <v>13.071999999999999</v>
      </c>
      <c r="D70" s="723">
        <f t="shared" si="36"/>
        <v>17.198</v>
      </c>
      <c r="E70" s="723">
        <f t="shared" si="36"/>
        <v>14.495999999999999</v>
      </c>
      <c r="F70" s="723">
        <f t="shared" si="36"/>
        <v>15.185000000000006</v>
      </c>
      <c r="G70" s="723"/>
      <c r="H70" s="723"/>
      <c r="I70" s="723"/>
      <c r="J70" s="723"/>
      <c r="K70" s="723"/>
      <c r="L70" s="723"/>
      <c r="M70" s="723"/>
      <c r="N70" s="723"/>
      <c r="O70" s="723"/>
      <c r="P70" s="723"/>
      <c r="Q70" s="724"/>
      <c r="R70" s="723"/>
      <c r="S70" s="723"/>
      <c r="T70" s="723"/>
      <c r="U70" s="724"/>
      <c r="V70" s="724"/>
      <c r="W70" s="723"/>
      <c r="X70" s="723"/>
      <c r="Y70" s="724"/>
      <c r="Z70" s="724"/>
      <c r="AA70" s="723"/>
      <c r="AB70" s="723"/>
      <c r="AC70" s="724"/>
      <c r="AD70" s="724"/>
      <c r="AE70" s="723"/>
      <c r="AF70" s="727"/>
      <c r="AG70" s="730"/>
      <c r="AH70" s="730"/>
      <c r="AI70" s="730"/>
      <c r="AJ70" s="730"/>
      <c r="AK70" s="730"/>
      <c r="AL70" s="730"/>
      <c r="AM70" s="730"/>
      <c r="AN70" s="722"/>
      <c r="AO70" s="722">
        <f t="shared" si="37"/>
        <v>41.042999999999999</v>
      </c>
      <c r="AP70" s="722">
        <f t="shared" si="37"/>
        <v>46.488</v>
      </c>
      <c r="AQ70" s="722">
        <f t="shared" si="37"/>
        <v>59.288999999999994</v>
      </c>
      <c r="AR70" s="722">
        <f t="shared" si="37"/>
        <v>59.951000000000001</v>
      </c>
      <c r="AS70" s="722"/>
      <c r="AT70" s="722"/>
      <c r="AU70" s="722"/>
      <c r="AV70" s="726"/>
      <c r="AW70" s="726"/>
      <c r="AX70" s="925"/>
      <c r="AY70" s="729"/>
      <c r="AZ70" s="729"/>
      <c r="BA70" s="729"/>
      <c r="BB70" s="729"/>
      <c r="BC70" s="729"/>
      <c r="BD70" s="631"/>
    </row>
    <row r="71" spans="1:56" s="39" customFormat="1" hidden="1" outlineLevel="1" x14ac:dyDescent="0.25">
      <c r="A71" s="588" t="s">
        <v>423</v>
      </c>
      <c r="B71" s="589"/>
      <c r="C71" s="723">
        <f t="shared" si="36"/>
        <v>13.522</v>
      </c>
      <c r="D71" s="723">
        <f t="shared" si="36"/>
        <v>11.442</v>
      </c>
      <c r="E71" s="723">
        <f t="shared" si="36"/>
        <v>11.006</v>
      </c>
      <c r="F71" s="723">
        <f t="shared" si="36"/>
        <v>10.396999999999998</v>
      </c>
      <c r="G71" s="723"/>
      <c r="H71" s="723"/>
      <c r="I71" s="723"/>
      <c r="J71" s="723"/>
      <c r="K71" s="723"/>
      <c r="L71" s="723"/>
      <c r="M71" s="723"/>
      <c r="N71" s="723"/>
      <c r="O71" s="723"/>
      <c r="P71" s="723"/>
      <c r="Q71" s="724"/>
      <c r="R71" s="723"/>
      <c r="S71" s="723"/>
      <c r="T71" s="723"/>
      <c r="U71" s="724"/>
      <c r="V71" s="725"/>
      <c r="W71" s="723"/>
      <c r="X71" s="723"/>
      <c r="Y71" s="724"/>
      <c r="Z71" s="725"/>
      <c r="AA71" s="723"/>
      <c r="AB71" s="723"/>
      <c r="AC71" s="724"/>
      <c r="AD71" s="725"/>
      <c r="AE71" s="723"/>
      <c r="AF71" s="727"/>
      <c r="AG71" s="725"/>
      <c r="AH71" s="725"/>
      <c r="AI71" s="725"/>
      <c r="AJ71" s="725"/>
      <c r="AK71" s="725"/>
      <c r="AL71" s="725"/>
      <c r="AM71" s="725"/>
      <c r="AN71" s="722"/>
      <c r="AO71" s="722">
        <f t="shared" si="37"/>
        <v>0</v>
      </c>
      <c r="AP71" s="722">
        <f t="shared" si="37"/>
        <v>35.417000000000002</v>
      </c>
      <c r="AQ71" s="722">
        <f t="shared" si="37"/>
        <v>48.031999999999996</v>
      </c>
      <c r="AR71" s="722">
        <f t="shared" si="37"/>
        <v>46.366999999999997</v>
      </c>
      <c r="AS71" s="722"/>
      <c r="AT71" s="722"/>
      <c r="AU71" s="722"/>
      <c r="AV71" s="726"/>
      <c r="AW71" s="726"/>
      <c r="AX71" s="925"/>
      <c r="AY71" s="726"/>
      <c r="AZ71" s="726"/>
      <c r="BA71" s="726"/>
      <c r="BB71" s="726"/>
      <c r="BC71" s="726"/>
      <c r="BD71" s="631"/>
    </row>
    <row r="72" spans="1:56" s="39" customFormat="1" hidden="1" outlineLevel="1" x14ac:dyDescent="0.25">
      <c r="A72" s="227" t="s">
        <v>431</v>
      </c>
      <c r="B72" s="233"/>
      <c r="C72" s="732">
        <f t="shared" si="36"/>
        <v>7.7039999999999988</v>
      </c>
      <c r="D72" s="732">
        <f t="shared" si="36"/>
        <v>7.1099999999999994</v>
      </c>
      <c r="E72" s="732">
        <f t="shared" si="36"/>
        <v>11.030999999999999</v>
      </c>
      <c r="F72" s="732">
        <f t="shared" si="36"/>
        <v>11.644999999999996</v>
      </c>
      <c r="G72" s="732"/>
      <c r="H72" s="732"/>
      <c r="I72" s="732"/>
      <c r="J72" s="732"/>
      <c r="K72" s="732"/>
      <c r="L72" s="732"/>
      <c r="M72" s="732"/>
      <c r="N72" s="732"/>
      <c r="O72" s="732"/>
      <c r="P72" s="732"/>
      <c r="Q72" s="733"/>
      <c r="R72" s="732"/>
      <c r="S72" s="732"/>
      <c r="T72" s="732"/>
      <c r="U72" s="733"/>
      <c r="V72" s="734"/>
      <c r="W72" s="732"/>
      <c r="X72" s="732"/>
      <c r="Y72" s="733"/>
      <c r="Z72" s="734"/>
      <c r="AA72" s="732"/>
      <c r="AB72" s="732"/>
      <c r="AC72" s="733"/>
      <c r="AD72" s="734"/>
      <c r="AE72" s="732"/>
      <c r="AF72" s="736"/>
      <c r="AG72" s="734"/>
      <c r="AH72" s="734"/>
      <c r="AI72" s="734"/>
      <c r="AJ72" s="734"/>
      <c r="AK72" s="734"/>
      <c r="AL72" s="734"/>
      <c r="AM72" s="734"/>
      <c r="AN72" s="731"/>
      <c r="AO72" s="731">
        <f t="shared" si="37"/>
        <v>15.694999999999999</v>
      </c>
      <c r="AP72" s="731">
        <f t="shared" si="37"/>
        <v>15.555</v>
      </c>
      <c r="AQ72" s="731">
        <f t="shared" si="37"/>
        <v>26.058999999999997</v>
      </c>
      <c r="AR72" s="731">
        <f t="shared" si="37"/>
        <v>37.489999999999995</v>
      </c>
      <c r="AS72" s="731"/>
      <c r="AT72" s="731"/>
      <c r="AU72" s="731"/>
      <c r="AV72" s="735"/>
      <c r="AW72" s="735"/>
      <c r="AX72" s="926"/>
      <c r="AY72" s="735"/>
      <c r="AZ72" s="735"/>
      <c r="BA72" s="735"/>
      <c r="BB72" s="735"/>
      <c r="BC72" s="735"/>
      <c r="BD72" s="631"/>
    </row>
    <row r="73" spans="1:56" s="38" customFormat="1" hidden="1" outlineLevel="1" x14ac:dyDescent="0.25">
      <c r="A73" s="40" t="s">
        <v>424</v>
      </c>
      <c r="B73" s="590"/>
      <c r="C73" s="716">
        <f>SUM(C68:C72)</f>
        <v>85.192000000000007</v>
      </c>
      <c r="D73" s="716">
        <f>SUM(D68:D72)</f>
        <v>86.504000000000005</v>
      </c>
      <c r="E73" s="716">
        <f>SUM(E68:E72)</f>
        <v>93.135999999999996</v>
      </c>
      <c r="F73" s="716">
        <f>SUM(F68:F72)</f>
        <v>95.59199999999997</v>
      </c>
      <c r="G73" s="716"/>
      <c r="H73" s="716"/>
      <c r="I73" s="716"/>
      <c r="J73" s="716"/>
      <c r="K73" s="716"/>
      <c r="L73" s="716"/>
      <c r="M73" s="716"/>
      <c r="N73" s="716"/>
      <c r="O73" s="716"/>
      <c r="P73" s="716"/>
      <c r="Q73" s="717"/>
      <c r="R73" s="716"/>
      <c r="S73" s="716"/>
      <c r="T73" s="716"/>
      <c r="U73" s="717"/>
      <c r="V73" s="716"/>
      <c r="W73" s="716"/>
      <c r="X73" s="716"/>
      <c r="Y73" s="717"/>
      <c r="Z73" s="716"/>
      <c r="AA73" s="716"/>
      <c r="AB73" s="716"/>
      <c r="AC73" s="717"/>
      <c r="AD73" s="716"/>
      <c r="AE73" s="716"/>
      <c r="AF73" s="718"/>
      <c r="AG73" s="716"/>
      <c r="AH73" s="716"/>
      <c r="AI73" s="716"/>
      <c r="AJ73" s="716"/>
      <c r="AK73" s="716"/>
      <c r="AL73" s="716"/>
      <c r="AM73" s="716"/>
      <c r="AN73" s="715"/>
      <c r="AO73" s="715">
        <f>SUM(AO68:AO72)</f>
        <v>217.23599999999999</v>
      </c>
      <c r="AP73" s="715">
        <f>SUM(AP68:AP72)</f>
        <v>276.53299999999996</v>
      </c>
      <c r="AQ73" s="715">
        <f>SUM(AQ68:AQ72)</f>
        <v>329.601</v>
      </c>
      <c r="AR73" s="715">
        <f>SUM(AR68:AR72)</f>
        <v>360.42400000000004</v>
      </c>
      <c r="AS73" s="715"/>
      <c r="AT73" s="715"/>
      <c r="AU73" s="715"/>
      <c r="AV73" s="715"/>
      <c r="AW73" s="715"/>
      <c r="AX73" s="924"/>
      <c r="AY73" s="715"/>
      <c r="AZ73" s="715"/>
      <c r="BA73" s="715"/>
      <c r="BB73" s="715"/>
      <c r="BC73" s="715"/>
      <c r="BD73" s="632"/>
    </row>
    <row r="74" spans="1:56" s="31" customFormat="1" hidden="1" outlineLevel="1" x14ac:dyDescent="0.25">
      <c r="A74" s="161"/>
      <c r="B74" s="182"/>
      <c r="C74" s="391"/>
      <c r="D74" s="391"/>
      <c r="E74" s="391"/>
      <c r="F74" s="391"/>
      <c r="G74" s="391"/>
      <c r="H74" s="391"/>
      <c r="I74" s="391"/>
      <c r="J74" s="391"/>
      <c r="K74" s="391"/>
      <c r="L74" s="391"/>
      <c r="M74" s="391"/>
      <c r="N74" s="391"/>
      <c r="O74" s="391"/>
      <c r="P74" s="391"/>
      <c r="Q74" s="392"/>
      <c r="R74" s="391"/>
      <c r="S74" s="391"/>
      <c r="T74" s="391"/>
      <c r="U74" s="392"/>
      <c r="V74" s="391"/>
      <c r="W74" s="391"/>
      <c r="X74" s="391"/>
      <c r="Y74" s="392"/>
      <c r="Z74" s="391"/>
      <c r="AA74" s="391"/>
      <c r="AB74" s="391"/>
      <c r="AC74" s="392"/>
      <c r="AD74" s="391"/>
      <c r="AE74" s="391"/>
      <c r="AF74" s="645"/>
      <c r="AG74" s="68"/>
      <c r="AH74" s="68"/>
      <c r="AI74" s="68"/>
      <c r="AJ74" s="68"/>
      <c r="AK74" s="68"/>
      <c r="AL74" s="68"/>
      <c r="AM74" s="68"/>
      <c r="AN74" s="390"/>
      <c r="AO74" s="390"/>
      <c r="AP74" s="390"/>
      <c r="AQ74" s="390"/>
      <c r="AR74" s="390"/>
      <c r="AS74" s="390"/>
      <c r="AT74" s="390"/>
      <c r="AU74" s="390"/>
      <c r="AV74" s="390"/>
      <c r="AW74" s="390"/>
      <c r="AX74" s="921"/>
      <c r="AY74" s="106"/>
      <c r="AZ74" s="106"/>
      <c r="BA74" s="106"/>
      <c r="BB74" s="106"/>
      <c r="BC74" s="106"/>
      <c r="BD74" s="72"/>
    </row>
    <row r="75" spans="1:56" s="39" customFormat="1" hidden="1" outlineLevel="1" x14ac:dyDescent="0.25">
      <c r="A75" s="75" t="s">
        <v>425</v>
      </c>
      <c r="B75" s="183"/>
      <c r="C75" s="723">
        <v>7.1710000000000003</v>
      </c>
      <c r="D75" s="723">
        <v>8.1980000000000004</v>
      </c>
      <c r="E75" s="723">
        <v>8.6289999999999996</v>
      </c>
      <c r="F75" s="723">
        <f>AR75-SUM(C75,D75,E75)</f>
        <v>9.5420000000000016</v>
      </c>
      <c r="G75" s="723"/>
      <c r="H75" s="723"/>
      <c r="I75" s="723"/>
      <c r="J75" s="723"/>
      <c r="K75" s="723"/>
      <c r="L75" s="723"/>
      <c r="M75" s="723"/>
      <c r="N75" s="723"/>
      <c r="O75" s="723"/>
      <c r="P75" s="723"/>
      <c r="Q75" s="724"/>
      <c r="R75" s="723"/>
      <c r="S75" s="723"/>
      <c r="T75" s="723"/>
      <c r="U75" s="724"/>
      <c r="V75" s="724"/>
      <c r="W75" s="723"/>
      <c r="X75" s="723"/>
      <c r="Y75" s="724"/>
      <c r="Z75" s="724"/>
      <c r="AA75" s="723"/>
      <c r="AB75" s="723"/>
      <c r="AC75" s="724"/>
      <c r="AD75" s="724"/>
      <c r="AE75" s="723"/>
      <c r="AF75" s="727"/>
      <c r="AG75" s="730"/>
      <c r="AH75" s="730"/>
      <c r="AI75" s="730"/>
      <c r="AJ75" s="730"/>
      <c r="AK75" s="730"/>
      <c r="AL75" s="730"/>
      <c r="AM75" s="730"/>
      <c r="AN75" s="722"/>
      <c r="AO75" s="722">
        <v>20.2</v>
      </c>
      <c r="AP75" s="722">
        <v>22.324999999999999</v>
      </c>
      <c r="AQ75" s="722">
        <v>30.065000000000001</v>
      </c>
      <c r="AR75" s="722">
        <v>33.54</v>
      </c>
      <c r="AS75" s="722"/>
      <c r="AT75" s="722"/>
      <c r="AU75" s="722"/>
      <c r="AV75" s="726"/>
      <c r="AW75" s="726"/>
      <c r="AX75" s="925"/>
      <c r="AY75" s="729"/>
      <c r="AZ75" s="729"/>
      <c r="BA75" s="729"/>
      <c r="BB75" s="729"/>
      <c r="BC75" s="729"/>
      <c r="BD75" s="631"/>
    </row>
    <row r="76" spans="1:56" s="39" customFormat="1" hidden="1" outlineLevel="1" x14ac:dyDescent="0.25">
      <c r="A76" s="75" t="s">
        <v>426</v>
      </c>
      <c r="B76" s="183"/>
      <c r="C76" s="723">
        <v>2.6840000000000002</v>
      </c>
      <c r="D76" s="723">
        <v>3.2810000000000001</v>
      </c>
      <c r="E76" s="723">
        <v>3.2290000000000001</v>
      </c>
      <c r="F76" s="723">
        <f>AR76-SUM(C76,D76,E76)</f>
        <v>3.1260000000000012</v>
      </c>
      <c r="G76" s="723"/>
      <c r="H76" s="723"/>
      <c r="I76" s="723"/>
      <c r="J76" s="723"/>
      <c r="K76" s="723"/>
      <c r="L76" s="723"/>
      <c r="M76" s="723"/>
      <c r="N76" s="723"/>
      <c r="O76" s="723"/>
      <c r="P76" s="723"/>
      <c r="Q76" s="724"/>
      <c r="R76" s="723"/>
      <c r="S76" s="723"/>
      <c r="T76" s="723"/>
      <c r="U76" s="724"/>
      <c r="V76" s="724"/>
      <c r="W76" s="723"/>
      <c r="X76" s="723"/>
      <c r="Y76" s="724"/>
      <c r="Z76" s="724"/>
      <c r="AA76" s="723"/>
      <c r="AB76" s="723"/>
      <c r="AC76" s="724"/>
      <c r="AD76" s="724"/>
      <c r="AE76" s="723"/>
      <c r="AF76" s="727"/>
      <c r="AG76" s="730"/>
      <c r="AH76" s="730"/>
      <c r="AI76" s="730"/>
      <c r="AJ76" s="730"/>
      <c r="AK76" s="730"/>
      <c r="AL76" s="730"/>
      <c r="AM76" s="730"/>
      <c r="AN76" s="722"/>
      <c r="AO76" s="722">
        <v>9.1170000000000009</v>
      </c>
      <c r="AP76" s="722">
        <v>14.279</v>
      </c>
      <c r="AQ76" s="722">
        <v>14.279</v>
      </c>
      <c r="AR76" s="722">
        <v>12.32</v>
      </c>
      <c r="AS76" s="722"/>
      <c r="AT76" s="722"/>
      <c r="AU76" s="722"/>
      <c r="AV76" s="726"/>
      <c r="AW76" s="726"/>
      <c r="AX76" s="925"/>
      <c r="AY76" s="729"/>
      <c r="AZ76" s="729"/>
      <c r="BA76" s="729"/>
      <c r="BB76" s="729"/>
      <c r="BC76" s="729"/>
      <c r="BD76" s="631"/>
    </row>
    <row r="77" spans="1:56" s="39" customFormat="1" hidden="1" outlineLevel="1" x14ac:dyDescent="0.25">
      <c r="A77" s="75" t="s">
        <v>427</v>
      </c>
      <c r="B77" s="183"/>
      <c r="C77" s="723">
        <v>1.9259999999999999</v>
      </c>
      <c r="D77" s="723">
        <v>2.9359999999999999</v>
      </c>
      <c r="E77" s="723">
        <v>2.4329999999999998</v>
      </c>
      <c r="F77" s="723">
        <f>AR77-SUM(C77,D77,E77)</f>
        <v>3.4529999999999994</v>
      </c>
      <c r="G77" s="723"/>
      <c r="H77" s="723"/>
      <c r="I77" s="723"/>
      <c r="J77" s="723"/>
      <c r="K77" s="723"/>
      <c r="L77" s="723"/>
      <c r="M77" s="723"/>
      <c r="N77" s="723"/>
      <c r="O77" s="723"/>
      <c r="P77" s="723"/>
      <c r="Q77" s="724"/>
      <c r="R77" s="723"/>
      <c r="S77" s="723"/>
      <c r="T77" s="723"/>
      <c r="U77" s="724"/>
      <c r="V77" s="724"/>
      <c r="W77" s="723"/>
      <c r="X77" s="723"/>
      <c r="Y77" s="724"/>
      <c r="Z77" s="724"/>
      <c r="AA77" s="723"/>
      <c r="AB77" s="723"/>
      <c r="AC77" s="724"/>
      <c r="AD77" s="724"/>
      <c r="AE77" s="723"/>
      <c r="AF77" s="727"/>
      <c r="AG77" s="730"/>
      <c r="AH77" s="730"/>
      <c r="AI77" s="730"/>
      <c r="AJ77" s="730"/>
      <c r="AK77" s="730"/>
      <c r="AL77" s="730"/>
      <c r="AM77" s="730"/>
      <c r="AN77" s="722"/>
      <c r="AO77" s="722">
        <v>6.11</v>
      </c>
      <c r="AP77" s="722">
        <v>8.1159999999999997</v>
      </c>
      <c r="AQ77" s="722">
        <v>10.954000000000001</v>
      </c>
      <c r="AR77" s="722">
        <v>10.747999999999999</v>
      </c>
      <c r="AS77" s="722"/>
      <c r="AT77" s="722"/>
      <c r="AU77" s="722"/>
      <c r="AV77" s="726"/>
      <c r="AW77" s="726"/>
      <c r="AX77" s="925"/>
      <c r="AY77" s="729"/>
      <c r="AZ77" s="729"/>
      <c r="BA77" s="729"/>
      <c r="BB77" s="729"/>
      <c r="BC77" s="729"/>
      <c r="BD77" s="631"/>
    </row>
    <row r="78" spans="1:56" s="39" customFormat="1" hidden="1" outlineLevel="1" x14ac:dyDescent="0.25">
      <c r="A78" s="588" t="s">
        <v>428</v>
      </c>
      <c r="B78" s="589"/>
      <c r="C78" s="723">
        <v>1.978</v>
      </c>
      <c r="D78" s="723">
        <v>1.512</v>
      </c>
      <c r="E78" s="723">
        <v>2.0310000000000001</v>
      </c>
      <c r="F78" s="723">
        <f>AR78-SUM(C78,D78,E78)</f>
        <v>1.9939999999999989</v>
      </c>
      <c r="G78" s="723"/>
      <c r="H78" s="723"/>
      <c r="I78" s="723"/>
      <c r="J78" s="723"/>
      <c r="K78" s="723"/>
      <c r="L78" s="723"/>
      <c r="M78" s="723"/>
      <c r="N78" s="723"/>
      <c r="O78" s="723"/>
      <c r="P78" s="723"/>
      <c r="Q78" s="724"/>
      <c r="R78" s="723"/>
      <c r="S78" s="723"/>
      <c r="T78" s="723"/>
      <c r="U78" s="724"/>
      <c r="V78" s="725"/>
      <c r="W78" s="723"/>
      <c r="X78" s="723"/>
      <c r="Y78" s="724"/>
      <c r="Z78" s="725"/>
      <c r="AA78" s="723"/>
      <c r="AB78" s="723"/>
      <c r="AC78" s="724"/>
      <c r="AD78" s="725"/>
      <c r="AE78" s="723"/>
      <c r="AF78" s="727"/>
      <c r="AG78" s="725"/>
      <c r="AH78" s="725"/>
      <c r="AI78" s="725"/>
      <c r="AJ78" s="725"/>
      <c r="AK78" s="725"/>
      <c r="AL78" s="725"/>
      <c r="AM78" s="725"/>
      <c r="AN78" s="722"/>
      <c r="AO78" s="722">
        <v>0</v>
      </c>
      <c r="AP78" s="722">
        <v>4.6619999999999999</v>
      </c>
      <c r="AQ78" s="722">
        <v>7.7619999999999996</v>
      </c>
      <c r="AR78" s="722">
        <v>7.5149999999999997</v>
      </c>
      <c r="AS78" s="722"/>
      <c r="AT78" s="722"/>
      <c r="AU78" s="722"/>
      <c r="AV78" s="726"/>
      <c r="AW78" s="726"/>
      <c r="AX78" s="925"/>
      <c r="AY78" s="726"/>
      <c r="AZ78" s="726"/>
      <c r="BA78" s="726"/>
      <c r="BB78" s="726"/>
      <c r="BC78" s="726"/>
      <c r="BD78" s="631"/>
    </row>
    <row r="79" spans="1:56" s="39" customFormat="1" hidden="1" outlineLevel="1" x14ac:dyDescent="0.25">
      <c r="A79" s="227" t="s">
        <v>432</v>
      </c>
      <c r="B79" s="233"/>
      <c r="C79" s="732">
        <v>2.4220000000000002</v>
      </c>
      <c r="D79" s="732">
        <v>2.468</v>
      </c>
      <c r="E79" s="732">
        <v>3.7389999999999999</v>
      </c>
      <c r="F79" s="732">
        <f>AR79-SUM(C79,D79,E79)</f>
        <v>3.5129999999999981</v>
      </c>
      <c r="G79" s="732"/>
      <c r="H79" s="732"/>
      <c r="I79" s="732"/>
      <c r="J79" s="732"/>
      <c r="K79" s="732"/>
      <c r="L79" s="732"/>
      <c r="M79" s="732"/>
      <c r="N79" s="732"/>
      <c r="O79" s="732"/>
      <c r="P79" s="732"/>
      <c r="Q79" s="733"/>
      <c r="R79" s="732"/>
      <c r="S79" s="732"/>
      <c r="T79" s="732"/>
      <c r="U79" s="733"/>
      <c r="V79" s="734"/>
      <c r="W79" s="732"/>
      <c r="X79" s="732"/>
      <c r="Y79" s="733"/>
      <c r="Z79" s="734"/>
      <c r="AA79" s="732"/>
      <c r="AB79" s="732"/>
      <c r="AC79" s="733"/>
      <c r="AD79" s="734"/>
      <c r="AE79" s="732"/>
      <c r="AF79" s="736"/>
      <c r="AG79" s="734"/>
      <c r="AH79" s="734"/>
      <c r="AI79" s="734"/>
      <c r="AJ79" s="734"/>
      <c r="AK79" s="734"/>
      <c r="AL79" s="734"/>
      <c r="AM79" s="734"/>
      <c r="AN79" s="731"/>
      <c r="AO79" s="731">
        <v>7.2629999999999999</v>
      </c>
      <c r="AP79" s="731">
        <v>7.2519999999999998</v>
      </c>
      <c r="AQ79" s="731">
        <v>8.9109999999999996</v>
      </c>
      <c r="AR79" s="731">
        <v>12.141999999999999</v>
      </c>
      <c r="AS79" s="731"/>
      <c r="AT79" s="731"/>
      <c r="AU79" s="731"/>
      <c r="AV79" s="735"/>
      <c r="AW79" s="735"/>
      <c r="AX79" s="926"/>
      <c r="AY79" s="735"/>
      <c r="AZ79" s="735"/>
      <c r="BA79" s="735"/>
      <c r="BB79" s="735"/>
      <c r="BC79" s="735"/>
      <c r="BD79" s="631"/>
    </row>
    <row r="80" spans="1:56" s="38" customFormat="1" hidden="1" outlineLevel="1" x14ac:dyDescent="0.25">
      <c r="A80" s="40" t="s">
        <v>429</v>
      </c>
      <c r="B80" s="590"/>
      <c r="C80" s="716">
        <f>SUM(C75:C79)</f>
        <v>16.181000000000001</v>
      </c>
      <c r="D80" s="716">
        <f>SUM(D75:D79)</f>
        <v>18.395000000000003</v>
      </c>
      <c r="E80" s="716">
        <f>SUM(E75:E79)</f>
        <v>20.061</v>
      </c>
      <c r="F80" s="716">
        <f>SUM(F75:F79)</f>
        <v>21.628</v>
      </c>
      <c r="G80" s="716"/>
      <c r="H80" s="716"/>
      <c r="I80" s="716"/>
      <c r="J80" s="716"/>
      <c r="K80" s="716"/>
      <c r="L80" s="716"/>
      <c r="M80" s="716"/>
      <c r="N80" s="716"/>
      <c r="O80" s="716"/>
      <c r="P80" s="716"/>
      <c r="Q80" s="717"/>
      <c r="R80" s="716"/>
      <c r="S80" s="716"/>
      <c r="T80" s="716"/>
      <c r="U80" s="717"/>
      <c r="V80" s="716"/>
      <c r="W80" s="716"/>
      <c r="X80" s="716"/>
      <c r="Y80" s="717"/>
      <c r="Z80" s="716"/>
      <c r="AA80" s="716"/>
      <c r="AB80" s="716"/>
      <c r="AC80" s="717"/>
      <c r="AD80" s="716"/>
      <c r="AE80" s="716"/>
      <c r="AF80" s="718"/>
      <c r="AG80" s="716"/>
      <c r="AH80" s="716"/>
      <c r="AI80" s="716"/>
      <c r="AJ80" s="716"/>
      <c r="AK80" s="716"/>
      <c r="AL80" s="716"/>
      <c r="AM80" s="716"/>
      <c r="AN80" s="715"/>
      <c r="AO80" s="715">
        <f>SUM(AO75:AO79)</f>
        <v>42.69</v>
      </c>
      <c r="AP80" s="715">
        <f>SUM(AP75:AP79)</f>
        <v>56.634</v>
      </c>
      <c r="AQ80" s="715">
        <f>SUM(AQ75:AQ79)</f>
        <v>71.971000000000004</v>
      </c>
      <c r="AR80" s="715">
        <f>SUM(AR75:AR79)</f>
        <v>76.264999999999986</v>
      </c>
      <c r="AS80" s="715"/>
      <c r="AT80" s="715"/>
      <c r="AU80" s="715"/>
      <c r="AV80" s="715"/>
      <c r="AW80" s="715"/>
      <c r="AX80" s="924"/>
      <c r="AY80" s="715"/>
      <c r="AZ80" s="715"/>
      <c r="BA80" s="715"/>
      <c r="BB80" s="715"/>
      <c r="BC80" s="715"/>
      <c r="BD80" s="632"/>
    </row>
    <row r="81" spans="1:56" s="39" customFormat="1" collapsed="1" x14ac:dyDescent="0.25">
      <c r="A81" s="75"/>
      <c r="B81" s="183"/>
      <c r="C81" s="723"/>
      <c r="D81" s="723"/>
      <c r="E81" s="723"/>
      <c r="F81" s="723"/>
      <c r="G81" s="723"/>
      <c r="H81" s="723"/>
      <c r="I81" s="723"/>
      <c r="J81" s="723"/>
      <c r="K81" s="723"/>
      <c r="L81" s="723"/>
      <c r="M81" s="723"/>
      <c r="N81" s="723"/>
      <c r="O81" s="723"/>
      <c r="P81" s="723"/>
      <c r="Q81" s="724"/>
      <c r="R81" s="723"/>
      <c r="S81" s="723"/>
      <c r="T81" s="723"/>
      <c r="U81" s="724"/>
      <c r="V81" s="723"/>
      <c r="W81" s="723"/>
      <c r="X81" s="723"/>
      <c r="Y81" s="724"/>
      <c r="Z81" s="723"/>
      <c r="AA81" s="723"/>
      <c r="AB81" s="723"/>
      <c r="AC81" s="724"/>
      <c r="AD81" s="723"/>
      <c r="AE81" s="723"/>
      <c r="AF81" s="727"/>
      <c r="AG81" s="737"/>
      <c r="AH81" s="737"/>
      <c r="AI81" s="737"/>
      <c r="AJ81" s="737"/>
      <c r="AK81" s="737"/>
      <c r="AL81" s="737"/>
      <c r="AM81" s="737"/>
      <c r="AN81" s="722"/>
      <c r="AO81" s="722"/>
      <c r="AP81" s="722"/>
      <c r="AQ81" s="722"/>
      <c r="AR81" s="722"/>
      <c r="AS81" s="722"/>
      <c r="AT81" s="722"/>
      <c r="AU81" s="722"/>
      <c r="AV81" s="722"/>
      <c r="AW81" s="722"/>
      <c r="AX81" s="927"/>
      <c r="AY81" s="738"/>
      <c r="AZ81" s="738"/>
      <c r="BA81" s="738"/>
      <c r="BB81" s="738"/>
      <c r="BC81" s="738"/>
      <c r="BD81" s="631"/>
    </row>
    <row r="82" spans="1:56" s="31" customFormat="1" x14ac:dyDescent="0.25">
      <c r="A82" s="69" t="s">
        <v>47</v>
      </c>
      <c r="B82" s="69"/>
      <c r="C82" s="386"/>
      <c r="D82" s="386"/>
      <c r="E82" s="386"/>
      <c r="F82" s="386"/>
      <c r="G82" s="386"/>
      <c r="H82" s="386"/>
      <c r="I82" s="386"/>
      <c r="J82" s="386"/>
      <c r="K82" s="386"/>
      <c r="L82" s="386"/>
      <c r="M82" s="386"/>
      <c r="N82" s="386"/>
      <c r="O82" s="386"/>
      <c r="P82" s="386"/>
      <c r="Q82" s="386"/>
      <c r="R82" s="386"/>
      <c r="S82" s="386"/>
      <c r="T82" s="386"/>
      <c r="U82" s="386"/>
      <c r="V82" s="386"/>
      <c r="W82" s="386"/>
      <c r="X82" s="386"/>
      <c r="Y82" s="386"/>
      <c r="Z82" s="386"/>
      <c r="AA82" s="386"/>
      <c r="AB82" s="386"/>
      <c r="AC82" s="386"/>
      <c r="AD82" s="386"/>
      <c r="AE82" s="386"/>
      <c r="AF82" s="642"/>
      <c r="AG82" s="69"/>
      <c r="AH82" s="69"/>
      <c r="AI82" s="69"/>
      <c r="AJ82" s="69"/>
      <c r="AK82" s="69"/>
      <c r="AL82" s="69"/>
      <c r="AM82" s="69"/>
      <c r="AN82" s="386"/>
      <c r="AO82" s="386"/>
      <c r="AP82" s="386"/>
      <c r="AQ82" s="386"/>
      <c r="AR82" s="386"/>
      <c r="AS82" s="386"/>
      <c r="AT82" s="386"/>
      <c r="AU82" s="386"/>
      <c r="AV82" s="386"/>
      <c r="AW82" s="386"/>
      <c r="AX82" s="642"/>
      <c r="AY82" s="69"/>
      <c r="AZ82" s="69"/>
      <c r="BA82" s="69"/>
      <c r="BB82" s="69"/>
      <c r="BC82" s="69"/>
      <c r="BD82" s="72"/>
    </row>
    <row r="83" spans="1:56" s="32" customFormat="1" x14ac:dyDescent="0.25">
      <c r="A83" s="163" t="s">
        <v>48</v>
      </c>
      <c r="B83" s="156"/>
      <c r="C83" s="388"/>
      <c r="D83" s="388"/>
      <c r="E83" s="388"/>
      <c r="F83" s="388"/>
      <c r="G83" s="388"/>
      <c r="H83" s="388"/>
      <c r="I83" s="388"/>
      <c r="J83" s="388"/>
      <c r="K83" s="388"/>
      <c r="L83" s="388"/>
      <c r="M83" s="388"/>
      <c r="N83" s="388"/>
      <c r="O83" s="388"/>
      <c r="P83" s="388"/>
      <c r="Q83" s="389"/>
      <c r="R83" s="388"/>
      <c r="S83" s="388">
        <f t="shared" ref="S83:AF83" si="38">S31/S27</f>
        <v>0.81819325440644097</v>
      </c>
      <c r="T83" s="388">
        <f t="shared" si="38"/>
        <v>0.81540667087542096</v>
      </c>
      <c r="U83" s="388">
        <f t="shared" si="38"/>
        <v>0.8456025551141233</v>
      </c>
      <c r="V83" s="388">
        <f t="shared" si="38"/>
        <v>0.83237312041309086</v>
      </c>
      <c r="W83" s="388">
        <f t="shared" si="38"/>
        <v>0.85074767234082571</v>
      </c>
      <c r="X83" s="388">
        <f t="shared" si="38"/>
        <v>0.81298594497607657</v>
      </c>
      <c r="Y83" s="389">
        <f t="shared" si="38"/>
        <v>0.8335734512395051</v>
      </c>
      <c r="Z83" s="388">
        <f t="shared" si="38"/>
        <v>0.86083983776696771</v>
      </c>
      <c r="AA83" s="388">
        <f t="shared" si="38"/>
        <v>0.83122718691000619</v>
      </c>
      <c r="AB83" s="388">
        <f t="shared" si="38"/>
        <v>0.83477467030187891</v>
      </c>
      <c r="AC83" s="389">
        <f t="shared" si="38"/>
        <v>0.82676688083404037</v>
      </c>
      <c r="AD83" s="388">
        <f t="shared" si="38"/>
        <v>0.82991151665975382</v>
      </c>
      <c r="AE83" s="388">
        <f t="shared" si="38"/>
        <v>0.84547850170749417</v>
      </c>
      <c r="AF83" s="643">
        <f t="shared" si="38"/>
        <v>0.82674628861436539</v>
      </c>
      <c r="AG83" s="877">
        <f>Drivers!AG38</f>
        <v>0.82699999999999996</v>
      </c>
      <c r="AH83" s="877">
        <f>Drivers!AH38</f>
        <v>0.82</v>
      </c>
      <c r="AI83" s="877">
        <f>Drivers!AI38</f>
        <v>0.82499999999999996</v>
      </c>
      <c r="AJ83" s="877">
        <f>Drivers!AJ38</f>
        <v>0.82</v>
      </c>
      <c r="AK83" s="877">
        <f>Drivers!AK38</f>
        <v>0.82</v>
      </c>
      <c r="AL83" s="877">
        <f>Drivers!AL38</f>
        <v>0.82</v>
      </c>
      <c r="AM83" s="877"/>
      <c r="AN83" s="387"/>
      <c r="AO83" s="387"/>
      <c r="AP83" s="387"/>
      <c r="AQ83" s="387"/>
      <c r="AR83" s="387"/>
      <c r="AS83" s="387"/>
      <c r="AT83" s="387"/>
      <c r="AU83" s="387"/>
      <c r="AV83" s="387">
        <f t="shared" ref="AV83:AZ84" si="39">AV31/AV27</f>
        <v>0.82820290729548851</v>
      </c>
      <c r="AW83" s="387">
        <f t="shared" si="39"/>
        <v>0.83941681870119378</v>
      </c>
      <c r="AX83" s="919">
        <f t="shared" si="39"/>
        <v>0.8306372140268955</v>
      </c>
      <c r="AY83" s="136">
        <f t="shared" si="39"/>
        <v>0.82949909728070137</v>
      </c>
      <c r="AZ83" s="136">
        <f t="shared" si="39"/>
        <v>0.82124372958189595</v>
      </c>
      <c r="BA83" s="877">
        <f>Drivers!BA38</f>
        <v>0.81499999999999995</v>
      </c>
      <c r="BB83" s="877">
        <f>Drivers!BB38</f>
        <v>0.81499999999999995</v>
      </c>
      <c r="BC83" s="877">
        <f>Drivers!BC38</f>
        <v>0.81499999999999995</v>
      </c>
      <c r="BD83" s="168"/>
    </row>
    <row r="84" spans="1:56" s="32" customFormat="1" x14ac:dyDescent="0.25">
      <c r="A84" s="163" t="s">
        <v>49</v>
      </c>
      <c r="B84" s="156"/>
      <c r="C84" s="388"/>
      <c r="D84" s="388"/>
      <c r="E84" s="388"/>
      <c r="F84" s="388"/>
      <c r="G84" s="388"/>
      <c r="H84" s="388"/>
      <c r="I84" s="388"/>
      <c r="J84" s="388"/>
      <c r="K84" s="388"/>
      <c r="L84" s="388"/>
      <c r="M84" s="388"/>
      <c r="N84" s="388"/>
      <c r="O84" s="388"/>
      <c r="P84" s="388"/>
      <c r="Q84" s="389"/>
      <c r="R84" s="388"/>
      <c r="S84" s="388">
        <f t="shared" ref="S84:AF84" si="40">S32/S28</f>
        <v>0.87464639321074966</v>
      </c>
      <c r="T84" s="388">
        <f t="shared" si="40"/>
        <v>0.84763010393803628</v>
      </c>
      <c r="U84" s="388">
        <f t="shared" si="40"/>
        <v>0.85652681890600113</v>
      </c>
      <c r="V84" s="388">
        <f t="shared" si="40"/>
        <v>0.84252001421374978</v>
      </c>
      <c r="W84" s="388">
        <f t="shared" si="40"/>
        <v>0.8701606687614869</v>
      </c>
      <c r="X84" s="388">
        <f t="shared" si="40"/>
        <v>0.85844483952465611</v>
      </c>
      <c r="Y84" s="389">
        <f t="shared" si="40"/>
        <v>0.86529616724738678</v>
      </c>
      <c r="Z84" s="388">
        <f t="shared" si="40"/>
        <v>0.86470932500975417</v>
      </c>
      <c r="AA84" s="388">
        <f t="shared" si="40"/>
        <v>0.86890025490228751</v>
      </c>
      <c r="AB84" s="388">
        <f t="shared" si="40"/>
        <v>0.86005208180940396</v>
      </c>
      <c r="AC84" s="389">
        <f t="shared" si="40"/>
        <v>0.86946828275679022</v>
      </c>
      <c r="AD84" s="388">
        <f t="shared" si="40"/>
        <v>0.87542818827165003</v>
      </c>
      <c r="AE84" s="388">
        <f t="shared" si="40"/>
        <v>0.88644416822811345</v>
      </c>
      <c r="AF84" s="643">
        <f t="shared" si="40"/>
        <v>0.88855279795700792</v>
      </c>
      <c r="AG84" s="877">
        <f>Drivers!AG39</f>
        <v>0.87</v>
      </c>
      <c r="AH84" s="877">
        <f>Drivers!AH39</f>
        <v>0.86</v>
      </c>
      <c r="AI84" s="877">
        <f>Drivers!AI39</f>
        <v>0.86</v>
      </c>
      <c r="AJ84" s="877">
        <f>Drivers!AJ39</f>
        <v>0.85499999999999998</v>
      </c>
      <c r="AK84" s="877">
        <f>Drivers!AK39</f>
        <v>0.86</v>
      </c>
      <c r="AL84" s="877">
        <f>Drivers!AL39</f>
        <v>0.82</v>
      </c>
      <c r="AM84" s="877"/>
      <c r="AN84" s="387"/>
      <c r="AO84" s="387"/>
      <c r="AP84" s="387"/>
      <c r="AQ84" s="387"/>
      <c r="AR84" s="387"/>
      <c r="AS84" s="387"/>
      <c r="AT84" s="387"/>
      <c r="AU84" s="387"/>
      <c r="AV84" s="387">
        <f t="shared" si="39"/>
        <v>0.85534140503311795</v>
      </c>
      <c r="AW84" s="387">
        <f t="shared" si="39"/>
        <v>0.86453974368023556</v>
      </c>
      <c r="AX84" s="919">
        <f t="shared" si="39"/>
        <v>0.8684076609006095</v>
      </c>
      <c r="AY84" s="136">
        <f t="shared" si="39"/>
        <v>0.87491999456932834</v>
      </c>
      <c r="AZ84" s="136">
        <f t="shared" si="39"/>
        <v>0.84754797222152356</v>
      </c>
      <c r="BA84" s="877">
        <f>Drivers!BA39</f>
        <v>0.84499999999999997</v>
      </c>
      <c r="BB84" s="877">
        <f>Drivers!BB39</f>
        <v>0.84499999999999997</v>
      </c>
      <c r="BC84" s="877">
        <f>Drivers!BC39</f>
        <v>0.84499999999999997</v>
      </c>
      <c r="BD84" s="168"/>
    </row>
    <row r="85" spans="1:56" s="32" customFormat="1" hidden="1" outlineLevel="1" x14ac:dyDescent="0.25">
      <c r="A85" s="163" t="s">
        <v>50</v>
      </c>
      <c r="B85" s="156"/>
      <c r="C85" s="388"/>
      <c r="D85" s="388"/>
      <c r="E85" s="388"/>
      <c r="F85" s="388"/>
      <c r="G85" s="388">
        <f t="shared" ref="G85:V85" si="41">G49/G43</f>
        <v>0.85438624568462929</v>
      </c>
      <c r="H85" s="388">
        <f t="shared" si="41"/>
        <v>0.85137746260034664</v>
      </c>
      <c r="I85" s="388">
        <f t="shared" si="41"/>
        <v>0.83109714331761952</v>
      </c>
      <c r="J85" s="388">
        <f t="shared" si="41"/>
        <v>0.80705766134933421</v>
      </c>
      <c r="K85" s="388">
        <f t="shared" si="41"/>
        <v>0.83895116633544919</v>
      </c>
      <c r="L85" s="388">
        <f t="shared" si="41"/>
        <v>0.8347551965323613</v>
      </c>
      <c r="M85" s="388">
        <f t="shared" si="41"/>
        <v>0.81094469824013571</v>
      </c>
      <c r="N85" s="388">
        <f t="shared" si="41"/>
        <v>0.81586655508216677</v>
      </c>
      <c r="O85" s="388">
        <f t="shared" si="41"/>
        <v>0.80555444235162099</v>
      </c>
      <c r="P85" s="388">
        <f t="shared" si="41"/>
        <v>0.81838879823928956</v>
      </c>
      <c r="Q85" s="389">
        <f t="shared" si="41"/>
        <v>0.8093384456684638</v>
      </c>
      <c r="R85" s="388">
        <f t="shared" si="41"/>
        <v>0.8203501372552584</v>
      </c>
      <c r="S85" s="388">
        <f t="shared" si="41"/>
        <v>0.8239858481083906</v>
      </c>
      <c r="T85" s="388">
        <f t="shared" si="41"/>
        <v>0.81072224406868532</v>
      </c>
      <c r="U85" s="389">
        <f t="shared" si="41"/>
        <v>0.80976624514151208</v>
      </c>
      <c r="V85" s="388">
        <f t="shared" si="41"/>
        <v>0.8297520661157024</v>
      </c>
      <c r="W85" s="388"/>
      <c r="X85" s="388"/>
      <c r="Y85" s="389"/>
      <c r="Z85" s="388"/>
      <c r="AA85" s="388"/>
      <c r="AB85" s="388"/>
      <c r="AC85" s="389"/>
      <c r="AD85" s="388"/>
      <c r="AE85" s="388"/>
      <c r="AF85" s="643"/>
      <c r="AG85" s="200"/>
      <c r="AH85" s="200"/>
      <c r="AI85" s="200"/>
      <c r="AJ85" s="200"/>
      <c r="AK85" s="200"/>
      <c r="AL85" s="200"/>
      <c r="AM85" s="200"/>
      <c r="AN85" s="387"/>
      <c r="AO85" s="387"/>
      <c r="AP85" s="387"/>
      <c r="AQ85" s="387"/>
      <c r="AR85" s="387">
        <f t="shared" ref="AR85:AV88" si="42">AR49/AR43</f>
        <v>0.81033277815877991</v>
      </c>
      <c r="AS85" s="387">
        <f t="shared" si="42"/>
        <v>0.83474238556915292</v>
      </c>
      <c r="AT85" s="387">
        <f t="shared" si="42"/>
        <v>0.82504262481947843</v>
      </c>
      <c r="AU85" s="387">
        <f t="shared" si="42"/>
        <v>0.81361544129608887</v>
      </c>
      <c r="AV85" s="387">
        <f t="shared" si="42"/>
        <v>0.81858765478074669</v>
      </c>
      <c r="AW85" s="387"/>
      <c r="AX85" s="919"/>
      <c r="AY85" s="136"/>
      <c r="AZ85" s="136"/>
      <c r="BA85" s="217"/>
      <c r="BB85" s="217"/>
      <c r="BC85" s="217"/>
      <c r="BD85" s="168"/>
    </row>
    <row r="86" spans="1:56" s="32" customFormat="1" hidden="1" outlineLevel="1" x14ac:dyDescent="0.25">
      <c r="A86" s="163" t="s">
        <v>51</v>
      </c>
      <c r="B86" s="156"/>
      <c r="C86" s="388"/>
      <c r="D86" s="388"/>
      <c r="E86" s="388"/>
      <c r="F86" s="388"/>
      <c r="G86" s="388">
        <f t="shared" ref="G86:V86" si="43">G50/G44</f>
        <v>0.80282599518239839</v>
      </c>
      <c r="H86" s="388">
        <f t="shared" si="43"/>
        <v>0.74318945587148755</v>
      </c>
      <c r="I86" s="388">
        <f t="shared" si="43"/>
        <v>0.79567214566384414</v>
      </c>
      <c r="J86" s="388">
        <f t="shared" si="43"/>
        <v>0.78156348847718027</v>
      </c>
      <c r="K86" s="388">
        <f t="shared" si="43"/>
        <v>0.78549687259591261</v>
      </c>
      <c r="L86" s="388">
        <f t="shared" si="43"/>
        <v>0.80612652165236476</v>
      </c>
      <c r="M86" s="388">
        <f t="shared" si="43"/>
        <v>0.81791526652171043</v>
      </c>
      <c r="N86" s="388">
        <f t="shared" si="43"/>
        <v>0.79662901824500432</v>
      </c>
      <c r="O86" s="388">
        <f t="shared" si="43"/>
        <v>0.84962638894266129</v>
      </c>
      <c r="P86" s="388">
        <f t="shared" si="43"/>
        <v>0.84222256378727323</v>
      </c>
      <c r="Q86" s="389">
        <f t="shared" si="43"/>
        <v>0.85679582653020592</v>
      </c>
      <c r="R86" s="388">
        <f t="shared" si="43"/>
        <v>0.83093453073006462</v>
      </c>
      <c r="S86" s="388">
        <f t="shared" si="43"/>
        <v>0.81828598522264806</v>
      </c>
      <c r="T86" s="388">
        <f t="shared" si="43"/>
        <v>0.83872602526118822</v>
      </c>
      <c r="U86" s="389">
        <f t="shared" si="43"/>
        <v>0.92959129403101093</v>
      </c>
      <c r="V86" s="388">
        <f t="shared" si="43"/>
        <v>0.84524505790150894</v>
      </c>
      <c r="W86" s="388"/>
      <c r="X86" s="388"/>
      <c r="Y86" s="389"/>
      <c r="Z86" s="388"/>
      <c r="AA86" s="388"/>
      <c r="AB86" s="388"/>
      <c r="AC86" s="389"/>
      <c r="AD86" s="388"/>
      <c r="AE86" s="388"/>
      <c r="AF86" s="643"/>
      <c r="AG86" s="200"/>
      <c r="AH86" s="200"/>
      <c r="AI86" s="200"/>
      <c r="AJ86" s="200"/>
      <c r="AK86" s="200"/>
      <c r="AL86" s="200"/>
      <c r="AM86" s="200"/>
      <c r="AN86" s="387"/>
      <c r="AO86" s="387"/>
      <c r="AP86" s="387"/>
      <c r="AQ86" s="387"/>
      <c r="AR86" s="387">
        <f t="shared" si="42"/>
        <v>0.80851096802188183</v>
      </c>
      <c r="AS86" s="387">
        <f t="shared" si="42"/>
        <v>0.77995368140460153</v>
      </c>
      <c r="AT86" s="387">
        <f t="shared" si="42"/>
        <v>0.80165754206831696</v>
      </c>
      <c r="AU86" s="387">
        <f t="shared" si="42"/>
        <v>0.84492723757936161</v>
      </c>
      <c r="AV86" s="387">
        <f t="shared" si="42"/>
        <v>0.85724040336067941</v>
      </c>
      <c r="AW86" s="387"/>
      <c r="AX86" s="919"/>
      <c r="AY86" s="136"/>
      <c r="AZ86" s="136"/>
      <c r="BA86" s="217"/>
      <c r="BB86" s="217"/>
      <c r="BC86" s="217"/>
      <c r="BD86" s="168"/>
    </row>
    <row r="87" spans="1:56" s="32" customFormat="1" hidden="1" outlineLevel="1" x14ac:dyDescent="0.25">
      <c r="A87" s="163" t="s">
        <v>52</v>
      </c>
      <c r="B87" s="156"/>
      <c r="C87" s="388"/>
      <c r="D87" s="388"/>
      <c r="E87" s="388"/>
      <c r="F87" s="388"/>
      <c r="G87" s="388">
        <f t="shared" ref="G87:V87" si="44">G51/G45</f>
        <v>0.86604011782858747</v>
      </c>
      <c r="H87" s="388">
        <f t="shared" si="44"/>
        <v>0.83691836028284616</v>
      </c>
      <c r="I87" s="388">
        <f t="shared" si="44"/>
        <v>0.84140275766542838</v>
      </c>
      <c r="J87" s="388">
        <f t="shared" si="44"/>
        <v>0.81673398730525093</v>
      </c>
      <c r="K87" s="388">
        <f t="shared" si="44"/>
        <v>0.8658428949691086</v>
      </c>
      <c r="L87" s="388">
        <f t="shared" si="44"/>
        <v>0.86400253978332475</v>
      </c>
      <c r="M87" s="388">
        <f t="shared" si="44"/>
        <v>0.88831110106262723</v>
      </c>
      <c r="N87" s="388">
        <f t="shared" si="44"/>
        <v>0.86491145588465757</v>
      </c>
      <c r="O87" s="388">
        <f t="shared" si="44"/>
        <v>0.88769244868035191</v>
      </c>
      <c r="P87" s="388">
        <f t="shared" si="44"/>
        <v>0.86008621319500245</v>
      </c>
      <c r="Q87" s="389">
        <f t="shared" si="44"/>
        <v>0.86400871787163691</v>
      </c>
      <c r="R87" s="388">
        <f t="shared" si="44"/>
        <v>0.83507974420217279</v>
      </c>
      <c r="S87" s="388">
        <f t="shared" si="44"/>
        <v>0.88309418316328603</v>
      </c>
      <c r="T87" s="388">
        <f t="shared" si="44"/>
        <v>0.85632690477029938</v>
      </c>
      <c r="U87" s="389">
        <f t="shared" si="44"/>
        <v>0.85723713154421466</v>
      </c>
      <c r="V87" s="388">
        <f t="shared" si="44"/>
        <v>0.82967335694608424</v>
      </c>
      <c r="W87" s="388"/>
      <c r="X87" s="388"/>
      <c r="Y87" s="389"/>
      <c r="Z87" s="388"/>
      <c r="AA87" s="388"/>
      <c r="AB87" s="388"/>
      <c r="AC87" s="389"/>
      <c r="AD87" s="388"/>
      <c r="AE87" s="388"/>
      <c r="AF87" s="643"/>
      <c r="AG87" s="200"/>
      <c r="AH87" s="200"/>
      <c r="AI87" s="200"/>
      <c r="AJ87" s="200"/>
      <c r="AK87" s="200"/>
      <c r="AL87" s="200"/>
      <c r="AM87" s="200"/>
      <c r="AN87" s="387"/>
      <c r="AO87" s="387"/>
      <c r="AP87" s="387"/>
      <c r="AQ87" s="387"/>
      <c r="AR87" s="387">
        <f t="shared" si="42"/>
        <v>0.8479752188856986</v>
      </c>
      <c r="AS87" s="387">
        <f t="shared" si="42"/>
        <v>0.83893698112092652</v>
      </c>
      <c r="AT87" s="387">
        <f t="shared" si="42"/>
        <v>0.87071613735768039</v>
      </c>
      <c r="AU87" s="387">
        <f t="shared" si="42"/>
        <v>0.86065364358147944</v>
      </c>
      <c r="AV87" s="387">
        <f t="shared" si="42"/>
        <v>0.85634594081341975</v>
      </c>
      <c r="AW87" s="387"/>
      <c r="AX87" s="919"/>
      <c r="AY87" s="136"/>
      <c r="AZ87" s="136"/>
      <c r="BA87" s="217"/>
      <c r="BB87" s="217"/>
      <c r="BC87" s="217"/>
      <c r="BD87" s="168"/>
    </row>
    <row r="88" spans="1:56" s="32" customFormat="1" hidden="1" outlineLevel="1" x14ac:dyDescent="0.25">
      <c r="A88" s="122" t="s">
        <v>53</v>
      </c>
      <c r="B88" s="116"/>
      <c r="C88" s="42"/>
      <c r="D88" s="42"/>
      <c r="E88" s="42"/>
      <c r="F88" s="42"/>
      <c r="G88" s="42">
        <f t="shared" ref="G88:V88" si="45">G52/G46</f>
        <v>0.89109819516671773</v>
      </c>
      <c r="H88" s="42">
        <f t="shared" si="45"/>
        <v>0.8565470115809557</v>
      </c>
      <c r="I88" s="42">
        <f t="shared" si="45"/>
        <v>0.80950022512381803</v>
      </c>
      <c r="J88" s="42">
        <f t="shared" si="45"/>
        <v>0.8520313827394933</v>
      </c>
      <c r="K88" s="42">
        <f t="shared" si="45"/>
        <v>0.87238004042983286</v>
      </c>
      <c r="L88" s="42">
        <f t="shared" si="45"/>
        <v>0.8761516925426317</v>
      </c>
      <c r="M88" s="42">
        <f t="shared" si="45"/>
        <v>0.8620244309314965</v>
      </c>
      <c r="N88" s="42">
        <f t="shared" si="45"/>
        <v>0.82455512374718753</v>
      </c>
      <c r="O88" s="42">
        <f t="shared" si="45"/>
        <v>0.89624663406055938</v>
      </c>
      <c r="P88" s="42">
        <f t="shared" si="45"/>
        <v>0.85410021607161235</v>
      </c>
      <c r="Q88" s="100">
        <f t="shared" si="45"/>
        <v>0.84143886416613689</v>
      </c>
      <c r="R88" s="42">
        <f t="shared" si="45"/>
        <v>0.83616374269005855</v>
      </c>
      <c r="S88" s="42">
        <f t="shared" si="45"/>
        <v>0.86148040893335087</v>
      </c>
      <c r="T88" s="42">
        <f t="shared" si="45"/>
        <v>0.82668576001347771</v>
      </c>
      <c r="U88" s="100">
        <f t="shared" si="45"/>
        <v>0.85286805586945713</v>
      </c>
      <c r="V88" s="42">
        <f t="shared" si="45"/>
        <v>0.84819307770614183</v>
      </c>
      <c r="W88" s="42"/>
      <c r="X88" s="42"/>
      <c r="Y88" s="100"/>
      <c r="Z88" s="42"/>
      <c r="AA88" s="42"/>
      <c r="AB88" s="42"/>
      <c r="AC88" s="100"/>
      <c r="AD88" s="42"/>
      <c r="AE88" s="42"/>
      <c r="AF88" s="647"/>
      <c r="AG88" s="43"/>
      <c r="AH88" s="43"/>
      <c r="AI88" s="43"/>
      <c r="AJ88" s="43"/>
      <c r="AK88" s="43"/>
      <c r="AL88" s="43"/>
      <c r="AM88" s="43"/>
      <c r="AN88" s="41"/>
      <c r="AO88" s="41"/>
      <c r="AP88" s="41"/>
      <c r="AQ88" s="41"/>
      <c r="AR88" s="41">
        <f t="shared" si="42"/>
        <v>0.85965309920313027</v>
      </c>
      <c r="AS88" s="41">
        <f t="shared" si="42"/>
        <v>0.85112359550561811</v>
      </c>
      <c r="AT88" s="41">
        <f t="shared" si="42"/>
        <v>0.85862213052675562</v>
      </c>
      <c r="AU88" s="41">
        <f t="shared" si="42"/>
        <v>0.85595614102662876</v>
      </c>
      <c r="AV88" s="41">
        <f t="shared" si="42"/>
        <v>0.8470612470590787</v>
      </c>
      <c r="AW88" s="41"/>
      <c r="AX88" s="928"/>
      <c r="AY88" s="44"/>
      <c r="AZ88" s="44"/>
      <c r="BA88" s="45"/>
      <c r="BB88" s="45"/>
      <c r="BC88" s="45"/>
      <c r="BD88" s="168"/>
    </row>
    <row r="89" spans="1:56" s="31" customFormat="1" collapsed="1" x14ac:dyDescent="0.25">
      <c r="A89" s="235" t="s">
        <v>54</v>
      </c>
      <c r="B89" s="115"/>
      <c r="C89" s="35">
        <f t="shared" ref="C89:AL89" si="46">C163/C$160</f>
        <v>0.82106675347479108</v>
      </c>
      <c r="D89" s="35">
        <f t="shared" si="46"/>
        <v>0.80565115015395761</v>
      </c>
      <c r="E89" s="35">
        <f t="shared" si="46"/>
        <v>0.80241525835490324</v>
      </c>
      <c r="F89" s="35">
        <f t="shared" si="46"/>
        <v>0.79534209179320881</v>
      </c>
      <c r="G89" s="35">
        <f t="shared" si="46"/>
        <v>0.82386325076348832</v>
      </c>
      <c r="H89" s="35">
        <f t="shared" si="46"/>
        <v>0.79758075275352425</v>
      </c>
      <c r="I89" s="35">
        <f t="shared" si="46"/>
        <v>0.79781866326522377</v>
      </c>
      <c r="J89" s="35">
        <f t="shared" si="46"/>
        <v>0.79060702875399291</v>
      </c>
      <c r="K89" s="35">
        <f t="shared" si="46"/>
        <v>0.81603081915438203</v>
      </c>
      <c r="L89" s="35">
        <f t="shared" si="46"/>
        <v>0.82445390522420725</v>
      </c>
      <c r="M89" s="35">
        <f t="shared" si="46"/>
        <v>0.818345250587728</v>
      </c>
      <c r="N89" s="35">
        <f t="shared" si="46"/>
        <v>0.8080929518868003</v>
      </c>
      <c r="O89" s="35">
        <f t="shared" si="46"/>
        <v>0.82988354815301146</v>
      </c>
      <c r="P89" s="35">
        <f t="shared" si="46"/>
        <v>0.82432970639307956</v>
      </c>
      <c r="Q89" s="99">
        <f t="shared" si="46"/>
        <v>0.82375510337929803</v>
      </c>
      <c r="R89" s="35">
        <f t="shared" si="46"/>
        <v>0.81635410856123758</v>
      </c>
      <c r="S89" s="35">
        <f t="shared" si="46"/>
        <v>0.82987741635156431</v>
      </c>
      <c r="T89" s="35">
        <f t="shared" si="46"/>
        <v>0.81550918337005662</v>
      </c>
      <c r="U89" s="99">
        <f t="shared" si="46"/>
        <v>0.83405722942536886</v>
      </c>
      <c r="V89" s="35">
        <f t="shared" si="46"/>
        <v>0.82221698364295837</v>
      </c>
      <c r="W89" s="35">
        <f t="shared" si="46"/>
        <v>0.84387196877599335</v>
      </c>
      <c r="X89" s="35">
        <f t="shared" si="46"/>
        <v>0.8168014301635862</v>
      </c>
      <c r="Y89" s="99">
        <f t="shared" si="46"/>
        <v>0.8291763106356117</v>
      </c>
      <c r="Z89" s="35">
        <f t="shared" si="46"/>
        <v>0.84539139466098667</v>
      </c>
      <c r="AA89" s="35">
        <f t="shared" si="46"/>
        <v>0.83065539566797864</v>
      </c>
      <c r="AB89" s="35">
        <f t="shared" si="46"/>
        <v>0.83083801275658731</v>
      </c>
      <c r="AC89" s="99">
        <f t="shared" si="46"/>
        <v>0.82732995215999428</v>
      </c>
      <c r="AD89" s="35">
        <f t="shared" si="46"/>
        <v>0.83398220065766238</v>
      </c>
      <c r="AE89" s="35">
        <f t="shared" si="46"/>
        <v>0.84572150201510743</v>
      </c>
      <c r="AF89" s="644">
        <f t="shared" si="46"/>
        <v>0.83066400361772685</v>
      </c>
      <c r="AG89" s="36">
        <f t="shared" si="46"/>
        <v>0.82738461538461539</v>
      </c>
      <c r="AH89" s="36">
        <f t="shared" si="46"/>
        <v>0.8225850340136055</v>
      </c>
      <c r="AI89" s="36">
        <f t="shared" si="46"/>
        <v>0.82440745845113539</v>
      </c>
      <c r="AJ89" s="36">
        <f t="shared" si="46"/>
        <v>0.8182528721164094</v>
      </c>
      <c r="AK89" s="36">
        <f t="shared" si="46"/>
        <v>0.81969765684051388</v>
      </c>
      <c r="AL89" s="36">
        <f t="shared" si="46"/>
        <v>0.80597288090307928</v>
      </c>
      <c r="AM89" s="36"/>
      <c r="AN89" s="34">
        <f t="shared" ref="AN89:AZ89" si="47">AN163/AN$160</f>
        <v>0.82908684546615585</v>
      </c>
      <c r="AO89" s="34">
        <f t="shared" si="47"/>
        <v>0.81948708478566978</v>
      </c>
      <c r="AP89" s="34">
        <f t="shared" si="47"/>
        <v>0.81144291001209612</v>
      </c>
      <c r="AQ89" s="34">
        <f t="shared" si="47"/>
        <v>0.80092735549291283</v>
      </c>
      <c r="AR89" s="34">
        <f t="shared" si="47"/>
        <v>0.80562368184222621</v>
      </c>
      <c r="AS89" s="34">
        <f t="shared" si="47"/>
        <v>0.80207305919695848</v>
      </c>
      <c r="AT89" s="34">
        <f t="shared" si="47"/>
        <v>0.81672309700579271</v>
      </c>
      <c r="AU89" s="34">
        <f t="shared" si="47"/>
        <v>0.82342796687044773</v>
      </c>
      <c r="AV89" s="34">
        <f t="shared" si="47"/>
        <v>0.82521680727718338</v>
      </c>
      <c r="AW89" s="34">
        <f t="shared" si="47"/>
        <v>0.83371379765509745</v>
      </c>
      <c r="AX89" s="920">
        <f t="shared" si="47"/>
        <v>0.83079600198871928</v>
      </c>
      <c r="AY89" s="37">
        <f t="shared" si="47"/>
        <v>0.83128513467272824</v>
      </c>
      <c r="AZ89" s="37">
        <f t="shared" si="47"/>
        <v>0.81678474606614715</v>
      </c>
      <c r="BA89" s="37">
        <f>BA163/BA160</f>
        <v>0.81347062353895594</v>
      </c>
      <c r="BB89" s="37">
        <f>BB163/BB160</f>
        <v>0.81474063284782772</v>
      </c>
      <c r="BC89" s="37">
        <f>BC163/BC160</f>
        <v>0.81534539918538596</v>
      </c>
      <c r="BD89" s="72"/>
    </row>
    <row r="90" spans="1:56" s="121" customFormat="1" x14ac:dyDescent="0.25">
      <c r="A90" s="164" t="s">
        <v>55</v>
      </c>
      <c r="B90" s="184"/>
      <c r="C90" s="394">
        <f t="shared" ref="C90:AL90" si="48">(C163+C171)/C160</f>
        <v>0.84038156116520168</v>
      </c>
      <c r="D90" s="394">
        <f t="shared" si="48"/>
        <v>0.82464084500328894</v>
      </c>
      <c r="E90" s="394">
        <f t="shared" si="48"/>
        <v>0.82277798881595798</v>
      </c>
      <c r="F90" s="394">
        <f t="shared" si="48"/>
        <v>0.81549223681965477</v>
      </c>
      <c r="G90" s="394">
        <f t="shared" si="48"/>
        <v>0.84429080420766889</v>
      </c>
      <c r="H90" s="394">
        <f t="shared" si="48"/>
        <v>0.81642923850042237</v>
      </c>
      <c r="I90" s="394">
        <f t="shared" si="48"/>
        <v>0.81821117470876492</v>
      </c>
      <c r="J90" s="394">
        <f t="shared" si="48"/>
        <v>0.80882587859424848</v>
      </c>
      <c r="K90" s="394">
        <f t="shared" si="48"/>
        <v>0.83397395295567134</v>
      </c>
      <c r="L90" s="394">
        <f t="shared" si="48"/>
        <v>0.84024191302271911</v>
      </c>
      <c r="M90" s="394">
        <f t="shared" si="48"/>
        <v>0.83430542336758018</v>
      </c>
      <c r="N90" s="394">
        <f t="shared" si="48"/>
        <v>0.82273334862494207</v>
      </c>
      <c r="O90" s="394">
        <f t="shared" si="48"/>
        <v>0.84513113791077776</v>
      </c>
      <c r="P90" s="394">
        <f t="shared" si="48"/>
        <v>0.83795064599894853</v>
      </c>
      <c r="Q90" s="394">
        <f t="shared" si="48"/>
        <v>0.83600321369427277</v>
      </c>
      <c r="R90" s="394">
        <f t="shared" si="48"/>
        <v>0.8280838760871444</v>
      </c>
      <c r="S90" s="394">
        <f t="shared" si="48"/>
        <v>0.84166210687072773</v>
      </c>
      <c r="T90" s="394">
        <f t="shared" si="48"/>
        <v>0.82895067893657415</v>
      </c>
      <c r="U90" s="394">
        <f t="shared" si="48"/>
        <v>0.84974656921601655</v>
      </c>
      <c r="V90" s="394">
        <f t="shared" si="48"/>
        <v>0.83606457647354016</v>
      </c>
      <c r="W90" s="394">
        <f t="shared" si="48"/>
        <v>0.85860419732548465</v>
      </c>
      <c r="X90" s="394">
        <f t="shared" si="48"/>
        <v>0.83115542557090594</v>
      </c>
      <c r="Y90" s="394">
        <f t="shared" si="48"/>
        <v>0.84462554424356218</v>
      </c>
      <c r="Z90" s="394">
        <f t="shared" si="48"/>
        <v>0.86233263842373409</v>
      </c>
      <c r="AA90" s="394">
        <f t="shared" si="48"/>
        <v>0.84744000630946481</v>
      </c>
      <c r="AB90" s="394">
        <f t="shared" si="48"/>
        <v>0.84633867200310542</v>
      </c>
      <c r="AC90" s="394">
        <f t="shared" si="48"/>
        <v>0.84412790906801916</v>
      </c>
      <c r="AD90" s="394">
        <f t="shared" si="48"/>
        <v>0.85000546979066838</v>
      </c>
      <c r="AE90" s="394">
        <f t="shared" si="48"/>
        <v>0.86269205883957867</v>
      </c>
      <c r="AF90" s="648">
        <f t="shared" si="48"/>
        <v>0.85023176062707262</v>
      </c>
      <c r="AG90" s="119">
        <f t="shared" si="48"/>
        <v>0.84353846153846146</v>
      </c>
      <c r="AH90" s="119">
        <f t="shared" si="48"/>
        <v>0.83687074829931984</v>
      </c>
      <c r="AI90" s="119">
        <f t="shared" si="48"/>
        <v>0.83970681550658322</v>
      </c>
      <c r="AJ90" s="119">
        <f t="shared" si="48"/>
        <v>0.83474270366178693</v>
      </c>
      <c r="AK90" s="119">
        <f t="shared" si="48"/>
        <v>0.83557067271352969</v>
      </c>
      <c r="AL90" s="119">
        <f t="shared" si="48"/>
        <v>0.82</v>
      </c>
      <c r="AM90" s="119"/>
      <c r="AN90" s="393">
        <f t="shared" ref="AN90:BC90" si="49">(AN163+AN171)/AN160</f>
        <v>0.84450374019339536</v>
      </c>
      <c r="AO90" s="393">
        <f t="shared" si="49"/>
        <v>0.83576094734655249</v>
      </c>
      <c r="AP90" s="393">
        <f t="shared" si="49"/>
        <v>0.83001317657511109</v>
      </c>
      <c r="AQ90" s="393">
        <f t="shared" si="49"/>
        <v>0.82077684699132414</v>
      </c>
      <c r="AR90" s="393">
        <f t="shared" si="49"/>
        <v>0.8253562604050021</v>
      </c>
      <c r="AS90" s="393">
        <f t="shared" si="49"/>
        <v>0.82151645754751745</v>
      </c>
      <c r="AT90" s="393">
        <f t="shared" si="49"/>
        <v>0.83276495064045042</v>
      </c>
      <c r="AU90" s="393">
        <f t="shared" si="49"/>
        <v>0.83660069430996065</v>
      </c>
      <c r="AV90" s="393">
        <f t="shared" si="49"/>
        <v>0.8389125858195472</v>
      </c>
      <c r="AW90" s="393">
        <f t="shared" si="49"/>
        <v>0.84908960323006444</v>
      </c>
      <c r="AX90" s="929">
        <f t="shared" si="49"/>
        <v>0.84705206672495681</v>
      </c>
      <c r="AY90" s="120">
        <f t="shared" si="49"/>
        <v>0.84781541770543101</v>
      </c>
      <c r="AZ90" s="120">
        <f t="shared" si="49"/>
        <v>0.83215185870349706</v>
      </c>
      <c r="BA90" s="120">
        <f t="shared" si="49"/>
        <v>0.82744072593654683</v>
      </c>
      <c r="BB90" s="120">
        <f t="shared" si="49"/>
        <v>0.82744072593654672</v>
      </c>
      <c r="BC90" s="120">
        <f t="shared" si="49"/>
        <v>0.82744072593654683</v>
      </c>
      <c r="BD90" s="308"/>
    </row>
    <row r="91" spans="1:56" s="121" customFormat="1" x14ac:dyDescent="0.25">
      <c r="A91" s="123" t="s">
        <v>56</v>
      </c>
      <c r="B91" s="124"/>
      <c r="C91" s="36">
        <f t="shared" ref="C91:AL91" si="50">1-C89</f>
        <v>0.17893324652520892</v>
      </c>
      <c r="D91" s="36">
        <f t="shared" si="50"/>
        <v>0.19434884984604239</v>
      </c>
      <c r="E91" s="36">
        <f t="shared" si="50"/>
        <v>0.19758474164509676</v>
      </c>
      <c r="F91" s="36">
        <f t="shared" si="50"/>
        <v>0.20465790820679119</v>
      </c>
      <c r="G91" s="36">
        <f t="shared" si="50"/>
        <v>0.17613674923651168</v>
      </c>
      <c r="H91" s="36">
        <f t="shared" si="50"/>
        <v>0.20241924724647575</v>
      </c>
      <c r="I91" s="36">
        <f t="shared" si="50"/>
        <v>0.20218133673477623</v>
      </c>
      <c r="J91" s="36">
        <f t="shared" si="50"/>
        <v>0.20939297124600709</v>
      </c>
      <c r="K91" s="36">
        <f t="shared" si="50"/>
        <v>0.18396918084561797</v>
      </c>
      <c r="L91" s="36">
        <f t="shared" si="50"/>
        <v>0.17554609477579275</v>
      </c>
      <c r="M91" s="36">
        <f t="shared" si="50"/>
        <v>0.181654749412272</v>
      </c>
      <c r="N91" s="36">
        <f t="shared" si="50"/>
        <v>0.1919070481131997</v>
      </c>
      <c r="O91" s="36">
        <f t="shared" si="50"/>
        <v>0.17011645184698854</v>
      </c>
      <c r="P91" s="36">
        <f t="shared" si="50"/>
        <v>0.17567029360692044</v>
      </c>
      <c r="Q91" s="36">
        <f t="shared" si="50"/>
        <v>0.17624489662070197</v>
      </c>
      <c r="R91" s="36">
        <f t="shared" si="50"/>
        <v>0.18364589143876242</v>
      </c>
      <c r="S91" s="36">
        <f t="shared" si="50"/>
        <v>0.17012258364843569</v>
      </c>
      <c r="T91" s="36">
        <f t="shared" si="50"/>
        <v>0.18449081662994338</v>
      </c>
      <c r="U91" s="36">
        <f t="shared" si="50"/>
        <v>0.16594277057463114</v>
      </c>
      <c r="V91" s="36">
        <f t="shared" si="50"/>
        <v>0.17778301635704163</v>
      </c>
      <c r="W91" s="36">
        <f t="shared" si="50"/>
        <v>0.15612803122400665</v>
      </c>
      <c r="X91" s="36">
        <f t="shared" si="50"/>
        <v>0.1831985698364138</v>
      </c>
      <c r="Y91" s="36">
        <f t="shared" si="50"/>
        <v>0.1708236893643883</v>
      </c>
      <c r="Z91" s="36">
        <f t="shared" si="50"/>
        <v>0.15460860533901333</v>
      </c>
      <c r="AA91" s="36">
        <f t="shared" si="50"/>
        <v>0.16934460433202136</v>
      </c>
      <c r="AB91" s="36">
        <f t="shared" si="50"/>
        <v>0.16916198724341269</v>
      </c>
      <c r="AC91" s="36">
        <f t="shared" si="50"/>
        <v>0.17267004784000572</v>
      </c>
      <c r="AD91" s="36">
        <f t="shared" si="50"/>
        <v>0.16601779934233762</v>
      </c>
      <c r="AE91" s="36">
        <f t="shared" si="50"/>
        <v>0.15427849798489257</v>
      </c>
      <c r="AF91" s="649">
        <f t="shared" si="50"/>
        <v>0.16933599638227315</v>
      </c>
      <c r="AG91" s="36">
        <f t="shared" si="50"/>
        <v>0.17261538461538461</v>
      </c>
      <c r="AH91" s="36">
        <f t="shared" si="50"/>
        <v>0.1774149659863945</v>
      </c>
      <c r="AI91" s="36">
        <f t="shared" si="50"/>
        <v>0.17559254154886461</v>
      </c>
      <c r="AJ91" s="36">
        <f t="shared" si="50"/>
        <v>0.1817471278835906</v>
      </c>
      <c r="AK91" s="36">
        <f t="shared" si="50"/>
        <v>0.18030234315948612</v>
      </c>
      <c r="AL91" s="36">
        <f t="shared" si="50"/>
        <v>0.19402711909692072</v>
      </c>
      <c r="AM91" s="36"/>
      <c r="AN91" s="37">
        <f t="shared" ref="AN91:BC91" si="51">1-AN89</f>
        <v>0.17091315453384415</v>
      </c>
      <c r="AO91" s="37">
        <f t="shared" si="51"/>
        <v>0.18051291521433022</v>
      </c>
      <c r="AP91" s="37">
        <f t="shared" si="51"/>
        <v>0.18855708998790388</v>
      </c>
      <c r="AQ91" s="37">
        <f t="shared" si="51"/>
        <v>0.19907264450708717</v>
      </c>
      <c r="AR91" s="37">
        <f t="shared" si="51"/>
        <v>0.19437631815777379</v>
      </c>
      <c r="AS91" s="37">
        <f t="shared" si="51"/>
        <v>0.19792694080304152</v>
      </c>
      <c r="AT91" s="37">
        <f t="shared" si="51"/>
        <v>0.18327690299420729</v>
      </c>
      <c r="AU91" s="37">
        <f t="shared" si="51"/>
        <v>0.17657203312955227</v>
      </c>
      <c r="AV91" s="37">
        <f t="shared" si="51"/>
        <v>0.17478319272281662</v>
      </c>
      <c r="AW91" s="37">
        <f t="shared" si="51"/>
        <v>0.16628620234490255</v>
      </c>
      <c r="AX91" s="930">
        <f t="shared" si="51"/>
        <v>0.16920399801128072</v>
      </c>
      <c r="AY91" s="37">
        <f t="shared" si="51"/>
        <v>0.16871486532727176</v>
      </c>
      <c r="AZ91" s="37">
        <f t="shared" si="51"/>
        <v>0.18321525393385285</v>
      </c>
      <c r="BA91" s="37">
        <f t="shared" si="51"/>
        <v>0.18652937646104406</v>
      </c>
      <c r="BB91" s="37">
        <f t="shared" si="51"/>
        <v>0.18525936715217228</v>
      </c>
      <c r="BC91" s="37">
        <f t="shared" si="51"/>
        <v>0.18465460081461404</v>
      </c>
      <c r="BD91" s="308"/>
    </row>
    <row r="92" spans="1:56" s="121" customFormat="1" x14ac:dyDescent="0.25">
      <c r="A92" s="165" t="s">
        <v>57</v>
      </c>
      <c r="B92" s="184"/>
      <c r="C92" s="394">
        <f t="shared" ref="C92:AL92" si="52">1-C90</f>
        <v>0.15961843883479832</v>
      </c>
      <c r="D92" s="394">
        <f t="shared" si="52"/>
        <v>0.17535915499671106</v>
      </c>
      <c r="E92" s="394">
        <f t="shared" si="52"/>
        <v>0.17722201118404202</v>
      </c>
      <c r="F92" s="394">
        <f t="shared" si="52"/>
        <v>0.18450776318034523</v>
      </c>
      <c r="G92" s="394">
        <f t="shared" si="52"/>
        <v>0.15570919579233111</v>
      </c>
      <c r="H92" s="394">
        <f t="shared" si="52"/>
        <v>0.18357076149957763</v>
      </c>
      <c r="I92" s="394">
        <f t="shared" si="52"/>
        <v>0.18178882529123508</v>
      </c>
      <c r="J92" s="394">
        <f t="shared" si="52"/>
        <v>0.19117412140575152</v>
      </c>
      <c r="K92" s="394">
        <f t="shared" si="52"/>
        <v>0.16602604704432866</v>
      </c>
      <c r="L92" s="394">
        <f t="shared" si="52"/>
        <v>0.15975808697728089</v>
      </c>
      <c r="M92" s="394">
        <f t="shared" si="52"/>
        <v>0.16569457663241982</v>
      </c>
      <c r="N92" s="394">
        <f t="shared" si="52"/>
        <v>0.17726665137505793</v>
      </c>
      <c r="O92" s="394">
        <f t="shared" si="52"/>
        <v>0.15486886208922224</v>
      </c>
      <c r="P92" s="394">
        <f t="shared" si="52"/>
        <v>0.16204935400105147</v>
      </c>
      <c r="Q92" s="394">
        <f t="shared" si="52"/>
        <v>0.16399678630572723</v>
      </c>
      <c r="R92" s="394">
        <f t="shared" si="52"/>
        <v>0.1719161239128556</v>
      </c>
      <c r="S92" s="394">
        <f t="shared" si="52"/>
        <v>0.15833789312927227</v>
      </c>
      <c r="T92" s="394">
        <f t="shared" si="52"/>
        <v>0.17104932106342585</v>
      </c>
      <c r="U92" s="394">
        <f t="shared" si="52"/>
        <v>0.15025343078398345</v>
      </c>
      <c r="V92" s="394">
        <f t="shared" si="52"/>
        <v>0.16393542352645984</v>
      </c>
      <c r="W92" s="394">
        <f t="shared" si="52"/>
        <v>0.14139580267451535</v>
      </c>
      <c r="X92" s="394">
        <f t="shared" si="52"/>
        <v>0.16884457442909406</v>
      </c>
      <c r="Y92" s="394">
        <f t="shared" si="52"/>
        <v>0.15537445575643782</v>
      </c>
      <c r="Z92" s="394">
        <f t="shared" si="52"/>
        <v>0.13766736157626591</v>
      </c>
      <c r="AA92" s="394">
        <f t="shared" si="52"/>
        <v>0.15255999369053519</v>
      </c>
      <c r="AB92" s="394">
        <f t="shared" si="52"/>
        <v>0.15366132799689458</v>
      </c>
      <c r="AC92" s="394">
        <f t="shared" si="52"/>
        <v>0.15587209093198084</v>
      </c>
      <c r="AD92" s="394">
        <f t="shared" si="52"/>
        <v>0.14999453020933162</v>
      </c>
      <c r="AE92" s="394">
        <f t="shared" si="52"/>
        <v>0.13730794116042133</v>
      </c>
      <c r="AF92" s="648">
        <f t="shared" si="52"/>
        <v>0.14976823937292738</v>
      </c>
      <c r="AG92" s="119">
        <f t="shared" si="52"/>
        <v>0.15646153846153854</v>
      </c>
      <c r="AH92" s="119">
        <f t="shared" si="52"/>
        <v>0.16312925170068016</v>
      </c>
      <c r="AI92" s="119">
        <f t="shared" si="52"/>
        <v>0.16029318449341678</v>
      </c>
      <c r="AJ92" s="119">
        <f t="shared" si="52"/>
        <v>0.16525729633821307</v>
      </c>
      <c r="AK92" s="119">
        <f t="shared" si="52"/>
        <v>0.16442932728647031</v>
      </c>
      <c r="AL92" s="119">
        <f t="shared" si="52"/>
        <v>0.18000000000000005</v>
      </c>
      <c r="AM92" s="119"/>
      <c r="AN92" s="393">
        <f t="shared" ref="AN92:BC92" si="53">1-AN90</f>
        <v>0.15549625980660464</v>
      </c>
      <c r="AO92" s="393">
        <f t="shared" si="53"/>
        <v>0.16423905265344751</v>
      </c>
      <c r="AP92" s="393">
        <f t="shared" si="53"/>
        <v>0.16998682342488891</v>
      </c>
      <c r="AQ92" s="393">
        <f t="shared" si="53"/>
        <v>0.17922315300867586</v>
      </c>
      <c r="AR92" s="393">
        <f t="shared" si="53"/>
        <v>0.1746437395949979</v>
      </c>
      <c r="AS92" s="393">
        <f t="shared" si="53"/>
        <v>0.17848354245248255</v>
      </c>
      <c r="AT92" s="393">
        <f t="shared" si="53"/>
        <v>0.16723504935954958</v>
      </c>
      <c r="AU92" s="393">
        <f t="shared" si="53"/>
        <v>0.16339930569003935</v>
      </c>
      <c r="AV92" s="393">
        <f t="shared" si="53"/>
        <v>0.1610874141804528</v>
      </c>
      <c r="AW92" s="393">
        <f t="shared" si="53"/>
        <v>0.15091039676993556</v>
      </c>
      <c r="AX92" s="929">
        <f t="shared" si="53"/>
        <v>0.15294793327504319</v>
      </c>
      <c r="AY92" s="120">
        <f t="shared" si="53"/>
        <v>0.15218458229456899</v>
      </c>
      <c r="AZ92" s="120">
        <f t="shared" si="53"/>
        <v>0.16784814129650294</v>
      </c>
      <c r="BA92" s="120">
        <f t="shared" si="53"/>
        <v>0.17255927406345317</v>
      </c>
      <c r="BB92" s="120">
        <f t="shared" si="53"/>
        <v>0.17255927406345328</v>
      </c>
      <c r="BC92" s="120">
        <f t="shared" si="53"/>
        <v>0.17255927406345317</v>
      </c>
      <c r="BD92" s="308"/>
    </row>
    <row r="93" spans="1:56" s="126" customFormat="1" x14ac:dyDescent="0.25">
      <c r="A93" s="166" t="s">
        <v>58</v>
      </c>
      <c r="B93" s="185"/>
      <c r="C93" s="396"/>
      <c r="D93" s="396"/>
      <c r="E93" s="396"/>
      <c r="F93" s="396"/>
      <c r="G93" s="396"/>
      <c r="H93" s="396"/>
      <c r="I93" s="396"/>
      <c r="J93" s="396"/>
      <c r="K93" s="396"/>
      <c r="L93" s="396"/>
      <c r="M93" s="396"/>
      <c r="N93" s="396"/>
      <c r="O93" s="396"/>
      <c r="P93" s="396"/>
      <c r="Q93" s="397"/>
      <c r="R93" s="396"/>
      <c r="S93" s="396"/>
      <c r="T93" s="396"/>
      <c r="U93" s="397"/>
      <c r="V93" s="396"/>
      <c r="W93" s="396"/>
      <c r="X93" s="396"/>
      <c r="Y93" s="397"/>
      <c r="Z93" s="396"/>
      <c r="AA93" s="396"/>
      <c r="AB93" s="396"/>
      <c r="AC93" s="397"/>
      <c r="AD93" s="396"/>
      <c r="AE93" s="396"/>
      <c r="AF93" s="650"/>
      <c r="AG93" s="125" t="str">
        <f t="shared" ref="AG93:AL93" ca="1" si="54">IFERROR(VLOOKUP($A93,tb_ConsensusEstimate,MATCH(AG$5,OFFSET(tb_ConsensusEstimate,0,0,1,COLUMNS(tb_ConsensusEstimate)),0),FALSE),"-")</f>
        <v>N/A</v>
      </c>
      <c r="AH93" s="125" t="str">
        <f t="shared" ca="1" si="54"/>
        <v>N/A</v>
      </c>
      <c r="AI93" s="125" t="str">
        <f t="shared" ca="1" si="54"/>
        <v>N/A</v>
      </c>
      <c r="AJ93" s="125" t="str">
        <f t="shared" ca="1" si="54"/>
        <v>N/A</v>
      </c>
      <c r="AK93" s="125" t="str">
        <f t="shared" ca="1" si="54"/>
        <v>N/A</v>
      </c>
      <c r="AL93" s="125" t="str">
        <f t="shared" ca="1" si="54"/>
        <v>N/A</v>
      </c>
      <c r="AM93" s="125"/>
      <c r="AN93" s="395"/>
      <c r="AO93" s="395"/>
      <c r="AP93" s="395"/>
      <c r="AQ93" s="395"/>
      <c r="AR93" s="395"/>
      <c r="AS93" s="395"/>
      <c r="AT93" s="395"/>
      <c r="AU93" s="395"/>
      <c r="AV93" s="395"/>
      <c r="AW93" s="395"/>
      <c r="AX93" s="931"/>
      <c r="AY93" s="207" t="str">
        <f ca="1">IFERROR(VLOOKUP($A93,tb_ConsensusEstimate,MATCH(AY$5,OFFSET(tb_ConsensusEstimate,0,0,1,COLUMNS(tb_ConsensusEstimate)),0),FALSE),"-")</f>
        <v>N/A</v>
      </c>
      <c r="AZ93" s="207" t="str">
        <f ca="1">IFERROR(VLOOKUP($A93,tb_ConsensusEstimate,MATCH(AZ$5,OFFSET(tb_ConsensusEstimate,0,0,1,COLUMNS(tb_ConsensusEstimate)),0),FALSE),"-")</f>
        <v>N/A</v>
      </c>
      <c r="BA93" s="207" t="str">
        <f ca="1">IFERROR(VLOOKUP(A93,tb_ConsensusEstimate,MATCH(BA5,OFFSET(tb_ConsensusEstimate,0,0,1,COLUMNS(tb_ConsensusEstimate)),0),FALSE),"-")</f>
        <v>N/A</v>
      </c>
      <c r="BB93" s="207" t="str">
        <f ca="1">IFERROR(VLOOKUP(A93,tb_ConsensusEstimate,MATCH(BB5,OFFSET(tb_ConsensusEstimate,0,0,1,COLUMNS(tb_ConsensusEstimate)),0),FALSE),"-")</f>
        <v>N/A</v>
      </c>
      <c r="BC93" s="207" t="str">
        <f ca="1">IFERROR(VLOOKUP(A93,tb_ConsensusEstimate,MATCH(BC5,OFFSET(tb_ConsensusEstimate,0,0,1,COLUMNS(tb_ConsensusEstimate)),0),FALSE),"-")</f>
        <v>-</v>
      </c>
      <c r="BD93" s="125"/>
    </row>
    <row r="94" spans="1:56" s="31" customFormat="1" x14ac:dyDescent="0.25">
      <c r="A94" s="167"/>
      <c r="B94" s="182"/>
      <c r="C94" s="391"/>
      <c r="D94" s="391"/>
      <c r="E94" s="391"/>
      <c r="F94" s="391"/>
      <c r="G94" s="391"/>
      <c r="H94" s="391"/>
      <c r="I94" s="391"/>
      <c r="J94" s="391"/>
      <c r="K94" s="391"/>
      <c r="L94" s="391"/>
      <c r="M94" s="391"/>
      <c r="N94" s="391"/>
      <c r="O94" s="391"/>
      <c r="P94" s="391"/>
      <c r="Q94" s="392"/>
      <c r="R94" s="391"/>
      <c r="S94" s="391"/>
      <c r="T94" s="391"/>
      <c r="U94" s="392"/>
      <c r="V94" s="391"/>
      <c r="W94" s="391"/>
      <c r="X94" s="391"/>
      <c r="Y94" s="392"/>
      <c r="Z94" s="391"/>
      <c r="AA94" s="391"/>
      <c r="AB94" s="391"/>
      <c r="AC94" s="392"/>
      <c r="AD94" s="391"/>
      <c r="AE94" s="391"/>
      <c r="AF94" s="645"/>
      <c r="AG94" s="119"/>
      <c r="AH94" s="119"/>
      <c r="AI94" s="119"/>
      <c r="AJ94" s="119"/>
      <c r="AK94" s="119"/>
      <c r="AL94" s="119"/>
      <c r="AM94" s="119"/>
      <c r="AN94" s="390"/>
      <c r="AO94" s="390"/>
      <c r="AP94" s="390"/>
      <c r="AQ94" s="390"/>
      <c r="AR94" s="390"/>
      <c r="AS94" s="390"/>
      <c r="AT94" s="390"/>
      <c r="AU94" s="390"/>
      <c r="AV94" s="390"/>
      <c r="AW94" s="390"/>
      <c r="AX94" s="921"/>
      <c r="AY94" s="120"/>
      <c r="AZ94" s="120"/>
      <c r="BA94" s="120"/>
      <c r="BB94" s="120"/>
      <c r="BC94" s="120"/>
      <c r="BD94" s="72"/>
    </row>
    <row r="95" spans="1:56" s="31" customFormat="1" x14ac:dyDescent="0.25">
      <c r="A95" s="167" t="s">
        <v>59</v>
      </c>
      <c r="B95" s="182"/>
      <c r="C95" s="391">
        <f t="shared" ref="C95:AF95" si="55">C166/C$160</f>
        <v>8.0258056879050646E-2</v>
      </c>
      <c r="D95" s="391">
        <f t="shared" si="55"/>
        <v>8.5072307648309337E-2</v>
      </c>
      <c r="E95" s="391">
        <f t="shared" si="55"/>
        <v>7.8606323489138402E-2</v>
      </c>
      <c r="F95" s="391">
        <f t="shared" si="55"/>
        <v>8.4951373485753254E-2</v>
      </c>
      <c r="G95" s="391">
        <f t="shared" si="55"/>
        <v>8.8878520529351884E-2</v>
      </c>
      <c r="H95" s="391">
        <f t="shared" si="55"/>
        <v>7.6031367200818267E-2</v>
      </c>
      <c r="I95" s="391">
        <f t="shared" si="55"/>
        <v>8.6131316148511744E-2</v>
      </c>
      <c r="J95" s="391">
        <f t="shared" si="55"/>
        <v>8.690894568690094E-2</v>
      </c>
      <c r="K95" s="391">
        <f t="shared" si="55"/>
        <v>8.903022047148447E-2</v>
      </c>
      <c r="L95" s="391">
        <f t="shared" si="55"/>
        <v>8.2958659929176781E-2</v>
      </c>
      <c r="M95" s="391">
        <f t="shared" si="55"/>
        <v>8.7040697627124158E-2</v>
      </c>
      <c r="N95" s="391">
        <f t="shared" si="55"/>
        <v>8.1491090001661021E-2</v>
      </c>
      <c r="O95" s="391">
        <f t="shared" si="55"/>
        <v>9.0483430664501194E-2</v>
      </c>
      <c r="P95" s="391">
        <f t="shared" si="55"/>
        <v>8.6719982157365663E-2</v>
      </c>
      <c r="Q95" s="392">
        <f t="shared" si="55"/>
        <v>8.549082621456329E-2</v>
      </c>
      <c r="R95" s="391">
        <f t="shared" si="55"/>
        <v>8.4795298665179195E-2</v>
      </c>
      <c r="S95" s="391">
        <f t="shared" si="55"/>
        <v>9.4212189763734508E-2</v>
      </c>
      <c r="T95" s="391">
        <f t="shared" si="55"/>
        <v>8.7708998863991583E-2</v>
      </c>
      <c r="U95" s="392">
        <f t="shared" si="55"/>
        <v>0.10370113701378761</v>
      </c>
      <c r="V95" s="391">
        <f t="shared" si="55"/>
        <v>0.11555629909583809</v>
      </c>
      <c r="W95" s="391">
        <f t="shared" si="55"/>
        <v>0.10537302450572653</v>
      </c>
      <c r="X95" s="391">
        <f t="shared" si="55"/>
        <v>0.10548204441585447</v>
      </c>
      <c r="Y95" s="392">
        <f t="shared" si="55"/>
        <v>0.10162180535098651</v>
      </c>
      <c r="Z95" s="391">
        <f t="shared" si="55"/>
        <v>0.11666955167041719</v>
      </c>
      <c r="AA95" s="391">
        <f t="shared" si="55"/>
        <v>0.12208097624629856</v>
      </c>
      <c r="AB95" s="391">
        <f t="shared" si="55"/>
        <v>0.10693848594165166</v>
      </c>
      <c r="AC95" s="392">
        <f t="shared" si="55"/>
        <v>0.11186647962303516</v>
      </c>
      <c r="AD95" s="391">
        <f t="shared" si="55"/>
        <v>0.11722726658472714</v>
      </c>
      <c r="AE95" s="391">
        <f t="shared" si="55"/>
        <v>0.13928017399303089</v>
      </c>
      <c r="AF95" s="645">
        <f t="shared" si="55"/>
        <v>0.13661629484473922</v>
      </c>
      <c r="AG95" s="884">
        <f>Drivers!AG40</f>
        <v>0.127</v>
      </c>
      <c r="AH95" s="884">
        <f>Drivers!AH40</f>
        <v>0.125</v>
      </c>
      <c r="AI95" s="884">
        <f>Drivers!AI40</f>
        <v>0.13200000000000001</v>
      </c>
      <c r="AJ95" s="884">
        <f>Drivers!AJ40</f>
        <v>0.13</v>
      </c>
      <c r="AK95" s="884">
        <f>Drivers!AK40</f>
        <v>0.127</v>
      </c>
      <c r="AL95" s="884">
        <f>Drivers!AL40</f>
        <v>0.125</v>
      </c>
      <c r="AM95" s="884"/>
      <c r="AN95" s="390">
        <f t="shared" ref="AN95:AZ95" si="56">AN166/AN$160</f>
        <v>8.7401933953658084E-2</v>
      </c>
      <c r="AO95" s="390">
        <f t="shared" si="56"/>
        <v>8.2538876449451001E-2</v>
      </c>
      <c r="AP95" s="390">
        <f t="shared" si="56"/>
        <v>8.1487662343509404E-2</v>
      </c>
      <c r="AQ95" s="390">
        <f t="shared" si="56"/>
        <v>7.9400456207106063E-2</v>
      </c>
      <c r="AR95" s="390">
        <f t="shared" si="56"/>
        <v>8.2246175195619761E-2</v>
      </c>
      <c r="AS95" s="390">
        <f t="shared" si="56"/>
        <v>8.4255390372349637E-2</v>
      </c>
      <c r="AT95" s="390">
        <f t="shared" si="56"/>
        <v>8.5031002692339083E-2</v>
      </c>
      <c r="AU95" s="390">
        <f t="shared" si="56"/>
        <v>8.6803014520169849E-2</v>
      </c>
      <c r="AV95" s="390">
        <f t="shared" si="56"/>
        <v>0.10036173822877879</v>
      </c>
      <c r="AW95" s="390">
        <f t="shared" si="56"/>
        <v>0.1074151719854026</v>
      </c>
      <c r="AX95" s="921">
        <f t="shared" si="56"/>
        <v>0.11447478955579558</v>
      </c>
      <c r="AY95" s="120">
        <f t="shared" si="56"/>
        <v>0.13150119763406168</v>
      </c>
      <c r="AZ95" s="120">
        <f t="shared" si="56"/>
        <v>0.12840670728365283</v>
      </c>
      <c r="BA95" s="884">
        <f>Drivers!BA40</f>
        <v>0.12</v>
      </c>
      <c r="BB95" s="884">
        <f>Drivers!BB40</f>
        <v>0.11</v>
      </c>
      <c r="BC95" s="884">
        <f>Drivers!BC40</f>
        <v>0.11</v>
      </c>
      <c r="BD95" s="72"/>
    </row>
    <row r="96" spans="1:56" s="31" customFormat="1" x14ac:dyDescent="0.25">
      <c r="A96" s="33" t="s">
        <v>60</v>
      </c>
      <c r="B96" s="115"/>
      <c r="C96" s="35">
        <f t="shared" ref="C96:AL96" si="57">C167/C160</f>
        <v>9.8675189646158332E-2</v>
      </c>
      <c r="D96" s="35">
        <f t="shared" si="57"/>
        <v>0.10927654219773304</v>
      </c>
      <c r="E96" s="35">
        <f t="shared" si="57"/>
        <v>0.11897841815595832</v>
      </c>
      <c r="F96" s="35">
        <f t="shared" si="57"/>
        <v>0.11970653472103791</v>
      </c>
      <c r="G96" s="35">
        <f t="shared" si="57"/>
        <v>8.7258228707159755E-2</v>
      </c>
      <c r="H96" s="35">
        <f t="shared" si="57"/>
        <v>0.12638788004565749</v>
      </c>
      <c r="I96" s="35">
        <f t="shared" si="57"/>
        <v>0.1160500205862645</v>
      </c>
      <c r="J96" s="35">
        <f t="shared" si="57"/>
        <v>0.12248402555910617</v>
      </c>
      <c r="K96" s="35">
        <f t="shared" si="57"/>
        <v>9.4938960374133463E-2</v>
      </c>
      <c r="L96" s="35">
        <f t="shared" si="57"/>
        <v>9.258743484661601E-2</v>
      </c>
      <c r="M96" s="35">
        <f t="shared" si="57"/>
        <v>9.4614051785147799E-2</v>
      </c>
      <c r="N96" s="35">
        <f t="shared" si="57"/>
        <v>0.1104159581115387</v>
      </c>
      <c r="O96" s="35">
        <f t="shared" si="57"/>
        <v>7.9633021182487357E-2</v>
      </c>
      <c r="P96" s="35">
        <f t="shared" si="57"/>
        <v>8.8950311449554745E-2</v>
      </c>
      <c r="Q96" s="99">
        <f t="shared" si="57"/>
        <v>9.0754070406138726E-2</v>
      </c>
      <c r="R96" s="35">
        <f t="shared" si="57"/>
        <v>9.8850592773583254E-2</v>
      </c>
      <c r="S96" s="35">
        <f t="shared" si="57"/>
        <v>7.5910393884701166E-2</v>
      </c>
      <c r="T96" s="35">
        <f t="shared" si="57"/>
        <v>9.6781817765951822E-2</v>
      </c>
      <c r="U96" s="99">
        <f t="shared" si="57"/>
        <v>6.2241633560843564E-2</v>
      </c>
      <c r="V96" s="35">
        <f t="shared" si="57"/>
        <v>6.2226717261203497E-2</v>
      </c>
      <c r="W96" s="35">
        <f t="shared" si="57"/>
        <v>5.0755006718280135E-2</v>
      </c>
      <c r="X96" s="35">
        <f t="shared" si="57"/>
        <v>7.7716525420559374E-2</v>
      </c>
      <c r="Y96" s="99">
        <f t="shared" si="57"/>
        <v>6.9201884013401771E-2</v>
      </c>
      <c r="Z96" s="35">
        <f t="shared" si="57"/>
        <v>3.7939053668596116E-2</v>
      </c>
      <c r="AA96" s="35">
        <f t="shared" si="57"/>
        <v>4.7263628085722771E-2</v>
      </c>
      <c r="AB96" s="35">
        <f t="shared" si="57"/>
        <v>6.2223501301761019E-2</v>
      </c>
      <c r="AC96" s="99">
        <f t="shared" si="57"/>
        <v>6.0803568216970576E-2</v>
      </c>
      <c r="AD96" s="35">
        <f t="shared" si="57"/>
        <v>4.8790532757610527E-2</v>
      </c>
      <c r="AE96" s="35">
        <f t="shared" si="57"/>
        <v>1.4998323991861722E-2</v>
      </c>
      <c r="AF96" s="644">
        <f t="shared" si="57"/>
        <v>3.2719701537533952E-2</v>
      </c>
      <c r="AG96" s="36">
        <f t="shared" si="57"/>
        <v>4.5615384615384585E-2</v>
      </c>
      <c r="AH96" s="36">
        <f t="shared" si="57"/>
        <v>5.2414965986394446E-2</v>
      </c>
      <c r="AI96" s="36">
        <f t="shared" si="57"/>
        <v>4.3592541548864584E-2</v>
      </c>
      <c r="AJ96" s="36">
        <f t="shared" si="57"/>
        <v>5.1747127883590559E-2</v>
      </c>
      <c r="AK96" s="36">
        <f t="shared" si="57"/>
        <v>5.3302343159486093E-2</v>
      </c>
      <c r="AL96" s="36">
        <f t="shared" si="57"/>
        <v>6.9027119096920705E-2</v>
      </c>
      <c r="AM96" s="36"/>
      <c r="AN96" s="34">
        <f t="shared" ref="AN96:BC96" si="58">AN167/AN160</f>
        <v>8.3511220580186118E-2</v>
      </c>
      <c r="AO96" s="34">
        <f t="shared" si="58"/>
        <v>9.7974038764879187E-2</v>
      </c>
      <c r="AP96" s="34">
        <f t="shared" si="58"/>
        <v>0.10706942764439446</v>
      </c>
      <c r="AQ96" s="34">
        <f t="shared" si="58"/>
        <v>0.11967218829998109</v>
      </c>
      <c r="AR96" s="34">
        <f t="shared" si="58"/>
        <v>0.11213014296215398</v>
      </c>
      <c r="AS96" s="34">
        <f t="shared" si="58"/>
        <v>0.11367155043069185</v>
      </c>
      <c r="AT96" s="34">
        <f t="shared" si="58"/>
        <v>9.8245900301868264E-2</v>
      </c>
      <c r="AU96" s="34">
        <f t="shared" si="58"/>
        <v>8.9769018609382412E-2</v>
      </c>
      <c r="AV96" s="34">
        <f t="shared" si="58"/>
        <v>7.4421454494037864E-2</v>
      </c>
      <c r="AW96" s="34">
        <f t="shared" si="58"/>
        <v>5.8871030359499942E-2</v>
      </c>
      <c r="AX96" s="920">
        <f t="shared" si="58"/>
        <v>5.4729208455485151E-2</v>
      </c>
      <c r="AY96" s="37">
        <f t="shared" si="58"/>
        <v>3.7213667693210085E-2</v>
      </c>
      <c r="AZ96" s="37">
        <f t="shared" si="58"/>
        <v>5.4808546650200046E-2</v>
      </c>
      <c r="BA96" s="37">
        <f t="shared" si="58"/>
        <v>6.6529376461044051E-2</v>
      </c>
      <c r="BB96" s="37">
        <f t="shared" si="58"/>
        <v>7.5259367152172282E-2</v>
      </c>
      <c r="BC96" s="37">
        <f t="shared" si="58"/>
        <v>7.4654600814614017E-2</v>
      </c>
      <c r="BD96" s="72"/>
    </row>
    <row r="97" spans="1:56" s="31" customFormat="1" x14ac:dyDescent="0.25">
      <c r="A97" s="161" t="str">
        <f>CONCATENATE("Adjusted ",A96,IFERROR("  - "&amp;RIGHT(A168,FIND("(",A168)),""))</f>
        <v>Adjusted EBITDA Margin, %</v>
      </c>
      <c r="B97" s="182"/>
      <c r="C97" s="391">
        <f t="shared" ref="C97:AL97" si="59">C168/C160</f>
        <v>0.10337072001420505</v>
      </c>
      <c r="D97" s="391">
        <f t="shared" si="59"/>
        <v>0.11059209334693368</v>
      </c>
      <c r="E97" s="391">
        <f t="shared" si="59"/>
        <v>0.1202063658930891</v>
      </c>
      <c r="F97" s="391">
        <f t="shared" si="59"/>
        <v>0.13186316328271688</v>
      </c>
      <c r="G97" s="391">
        <f t="shared" si="59"/>
        <v>9.2059721750933063E-2</v>
      </c>
      <c r="H97" s="391">
        <f t="shared" si="59"/>
        <v>0.13045701833706405</v>
      </c>
      <c r="I97" s="391">
        <f t="shared" si="59"/>
        <v>0.12075660576899788</v>
      </c>
      <c r="J97" s="391">
        <f t="shared" si="59"/>
        <v>0.11841853035143841</v>
      </c>
      <c r="K97" s="391">
        <f t="shared" si="59"/>
        <v>9.1225391096110359E-2</v>
      </c>
      <c r="L97" s="391">
        <f t="shared" si="59"/>
        <v>8.9682887040942266E-2</v>
      </c>
      <c r="M97" s="391">
        <f t="shared" si="59"/>
        <v>7.9508016692290809E-2</v>
      </c>
      <c r="N97" s="391">
        <f t="shared" si="59"/>
        <v>0.10574938108533469</v>
      </c>
      <c r="O97" s="391">
        <f t="shared" si="59"/>
        <v>8.2181485192992218E-2</v>
      </c>
      <c r="P97" s="391">
        <f t="shared" si="59"/>
        <v>9.1045227891860939E-2</v>
      </c>
      <c r="Q97" s="392">
        <f t="shared" si="59"/>
        <v>9.0499926216202856E-2</v>
      </c>
      <c r="R97" s="391">
        <f t="shared" si="59"/>
        <v>9.5527289583055092E-2</v>
      </c>
      <c r="S97" s="391">
        <f t="shared" si="59"/>
        <v>7.9667121285127485E-2</v>
      </c>
      <c r="T97" s="391">
        <f t="shared" si="59"/>
        <v>0.10603761788946411</v>
      </c>
      <c r="U97" s="392">
        <f t="shared" si="59"/>
        <v>9.9865427850794122E-2</v>
      </c>
      <c r="V97" s="391">
        <f t="shared" si="59"/>
        <v>9.2857197174208927E-2</v>
      </c>
      <c r="W97" s="391">
        <f t="shared" si="59"/>
        <v>6.5119329451660407E-2</v>
      </c>
      <c r="X97" s="391">
        <f t="shared" si="59"/>
        <v>8.8023875952756778E-2</v>
      </c>
      <c r="Y97" s="392">
        <f t="shared" si="59"/>
        <v>7.9415049447258912E-2</v>
      </c>
      <c r="Z97" s="391">
        <f t="shared" si="59"/>
        <v>5.6408095069654253E-2</v>
      </c>
      <c r="AA97" s="391">
        <f t="shared" si="59"/>
        <v>6.2886723595247968E-2</v>
      </c>
      <c r="AB97" s="391">
        <f t="shared" si="59"/>
        <v>6.983997376399656E-2</v>
      </c>
      <c r="AC97" s="392">
        <f t="shared" si="59"/>
        <v>7.7392899535987922E-2</v>
      </c>
      <c r="AD97" s="391">
        <f t="shared" si="59"/>
        <v>7.0521689328759574E-2</v>
      </c>
      <c r="AE97" s="391">
        <f t="shared" si="59"/>
        <v>2.6691404027096813E-2</v>
      </c>
      <c r="AF97" s="645">
        <f t="shared" si="59"/>
        <v>5.6376243593608745E-2</v>
      </c>
      <c r="AG97" s="119">
        <f t="shared" si="59"/>
        <v>4.5615384615384585E-2</v>
      </c>
      <c r="AH97" s="119">
        <f t="shared" si="59"/>
        <v>5.2414965986394446E-2</v>
      </c>
      <c r="AI97" s="119">
        <f t="shared" si="59"/>
        <v>4.3592541548864584E-2</v>
      </c>
      <c r="AJ97" s="119">
        <f t="shared" si="59"/>
        <v>5.1747127883590559E-2</v>
      </c>
      <c r="AK97" s="119">
        <f t="shared" si="59"/>
        <v>5.3302343159486093E-2</v>
      </c>
      <c r="AL97" s="119">
        <f t="shared" si="59"/>
        <v>6.9027119096920705E-2</v>
      </c>
      <c r="AM97" s="119"/>
      <c r="AN97" s="390">
        <f t="shared" ref="AN97:BC97" si="60">AN168/AN160</f>
        <v>8.5718846925743497E-2</v>
      </c>
      <c r="AO97" s="390">
        <f t="shared" si="60"/>
        <v>0.10514531058839822</v>
      </c>
      <c r="AP97" s="390">
        <f t="shared" si="60"/>
        <v>0.11371774515483214</v>
      </c>
      <c r="AQ97" s="390">
        <f t="shared" si="60"/>
        <v>0.11867610291554193</v>
      </c>
      <c r="AR97" s="390">
        <f t="shared" si="60"/>
        <v>0.11711767413422378</v>
      </c>
      <c r="AS97" s="390">
        <f t="shared" si="60"/>
        <v>0.11604070401122218</v>
      </c>
      <c r="AT97" s="390">
        <f t="shared" si="60"/>
        <v>9.1637431671697717E-2</v>
      </c>
      <c r="AU97" s="390">
        <f t="shared" si="60"/>
        <v>7.7593113162738897E-2</v>
      </c>
      <c r="AV97" s="390">
        <f t="shared" si="60"/>
        <v>9.6750247443088092E-2</v>
      </c>
      <c r="AW97" s="390">
        <f t="shared" si="60"/>
        <v>7.3602375960866537E-2</v>
      </c>
      <c r="AX97" s="921">
        <f t="shared" si="60"/>
        <v>7.0158926091652488E-2</v>
      </c>
      <c r="AY97" s="120">
        <f t="shared" si="60"/>
        <v>4.5056459891479675E-2</v>
      </c>
      <c r="AZ97" s="120">
        <f t="shared" si="60"/>
        <v>5.4808546650199942E-2</v>
      </c>
      <c r="BA97" s="120">
        <f t="shared" si="60"/>
        <v>6.6529376461044051E-2</v>
      </c>
      <c r="BB97" s="120">
        <f t="shared" si="60"/>
        <v>7.5259367152172282E-2</v>
      </c>
      <c r="BC97" s="120">
        <f t="shared" si="60"/>
        <v>7.4654600814614017E-2</v>
      </c>
      <c r="BD97" s="72"/>
    </row>
    <row r="98" spans="1:56" s="114" customFormat="1" x14ac:dyDescent="0.25">
      <c r="A98" s="113" t="s">
        <v>61</v>
      </c>
      <c r="B98" s="186"/>
      <c r="C98" s="399"/>
      <c r="D98" s="399"/>
      <c r="E98" s="399"/>
      <c r="F98" s="399"/>
      <c r="G98" s="399"/>
      <c r="H98" s="399"/>
      <c r="I98" s="399"/>
      <c r="J98" s="399"/>
      <c r="K98" s="399"/>
      <c r="L98" s="399"/>
      <c r="M98" s="399"/>
      <c r="N98" s="399"/>
      <c r="O98" s="399"/>
      <c r="P98" s="399"/>
      <c r="Q98" s="400"/>
      <c r="R98" s="399"/>
      <c r="S98" s="399"/>
      <c r="T98" s="399"/>
      <c r="U98" s="400"/>
      <c r="V98" s="399"/>
      <c r="W98" s="399"/>
      <c r="X98" s="399"/>
      <c r="Y98" s="400"/>
      <c r="Z98" s="399"/>
      <c r="AA98" s="399"/>
      <c r="AB98" s="399"/>
      <c r="AC98" s="400"/>
      <c r="AD98" s="399"/>
      <c r="AE98" s="399"/>
      <c r="AF98" s="651"/>
      <c r="AG98" s="201">
        <f t="shared" ref="AG98:AL98" ca="1" si="61">IFERROR(AG169/AG161,0)</f>
        <v>0</v>
      </c>
      <c r="AH98" s="201">
        <f t="shared" ca="1" si="61"/>
        <v>0</v>
      </c>
      <c r="AI98" s="201">
        <f t="shared" ca="1" si="61"/>
        <v>0</v>
      </c>
      <c r="AJ98" s="201">
        <f t="shared" ca="1" si="61"/>
        <v>0</v>
      </c>
      <c r="AK98" s="201">
        <f t="shared" ca="1" si="61"/>
        <v>0</v>
      </c>
      <c r="AL98" s="201">
        <f t="shared" ca="1" si="61"/>
        <v>0</v>
      </c>
      <c r="AM98" s="201"/>
      <c r="AN98" s="398"/>
      <c r="AO98" s="398"/>
      <c r="AP98" s="398"/>
      <c r="AQ98" s="398"/>
      <c r="AR98" s="398"/>
      <c r="AS98" s="398"/>
      <c r="AT98" s="398"/>
      <c r="AU98" s="398"/>
      <c r="AV98" s="398"/>
      <c r="AW98" s="398"/>
      <c r="AX98" s="932"/>
      <c r="AY98" s="208">
        <f ca="1">IFERROR(AY169/AY161,0)</f>
        <v>0</v>
      </c>
      <c r="AZ98" s="208">
        <f ca="1">IFERROR(AZ169/AZ161,0)</f>
        <v>0</v>
      </c>
      <c r="BA98" s="208">
        <f ca="1">IFERROR(BA169/BA161,0)</f>
        <v>0</v>
      </c>
      <c r="BB98" s="208">
        <f ca="1">IFERROR(BB169/BB161,0)</f>
        <v>0</v>
      </c>
      <c r="BC98" s="208">
        <f ca="1">IFERROR(BC169/BC161,0)</f>
        <v>0</v>
      </c>
      <c r="BD98" s="113"/>
    </row>
    <row r="99" spans="1:56" s="32" customFormat="1" x14ac:dyDescent="0.25">
      <c r="A99" s="168"/>
      <c r="B99" s="156"/>
      <c r="C99" s="402"/>
      <c r="D99" s="402"/>
      <c r="E99" s="402"/>
      <c r="F99" s="402"/>
      <c r="G99" s="402"/>
      <c r="H99" s="402"/>
      <c r="I99" s="402"/>
      <c r="J99" s="402"/>
      <c r="K99" s="402"/>
      <c r="L99" s="402"/>
      <c r="M99" s="402"/>
      <c r="N99" s="402"/>
      <c r="O99" s="402"/>
      <c r="P99" s="402"/>
      <c r="Q99" s="403"/>
      <c r="R99" s="402"/>
      <c r="S99" s="402"/>
      <c r="T99" s="402"/>
      <c r="U99" s="403"/>
      <c r="V99" s="402"/>
      <c r="W99" s="402"/>
      <c r="X99" s="402"/>
      <c r="Y99" s="403"/>
      <c r="Z99" s="402"/>
      <c r="AA99" s="402"/>
      <c r="AB99" s="402"/>
      <c r="AC99" s="403"/>
      <c r="AD99" s="402"/>
      <c r="AE99" s="402"/>
      <c r="AF99" s="652"/>
      <c r="AG99" s="70"/>
      <c r="AH99" s="70"/>
      <c r="AI99" s="70"/>
      <c r="AJ99" s="70"/>
      <c r="AK99" s="70"/>
      <c r="AL99" s="70"/>
      <c r="AM99" s="70"/>
      <c r="AN99" s="401"/>
      <c r="AO99" s="401"/>
      <c r="AP99" s="401"/>
      <c r="AQ99" s="401"/>
      <c r="AR99" s="401"/>
      <c r="AS99" s="401"/>
      <c r="AT99" s="401"/>
      <c r="AU99" s="401"/>
      <c r="AV99" s="401"/>
      <c r="AW99" s="401"/>
      <c r="AX99" s="933"/>
      <c r="AY99" s="209"/>
      <c r="AZ99" s="209"/>
      <c r="BA99" s="209"/>
      <c r="BB99" s="209"/>
      <c r="BC99" s="209"/>
      <c r="BD99" s="168"/>
    </row>
    <row r="100" spans="1:56" s="38" customFormat="1" x14ac:dyDescent="0.25">
      <c r="A100" s="626" t="s">
        <v>62</v>
      </c>
      <c r="B100" s="626"/>
      <c r="C100" s="719"/>
      <c r="D100" s="719"/>
      <c r="E100" s="719"/>
      <c r="F100" s="719"/>
      <c r="G100" s="719"/>
      <c r="H100" s="719"/>
      <c r="I100" s="719"/>
      <c r="J100" s="719"/>
      <c r="K100" s="719"/>
      <c r="L100" s="719"/>
      <c r="M100" s="719"/>
      <c r="N100" s="719"/>
      <c r="O100" s="719"/>
      <c r="P100" s="719"/>
      <c r="Q100" s="719"/>
      <c r="R100" s="719"/>
      <c r="S100" s="719"/>
      <c r="T100" s="719"/>
      <c r="U100" s="719"/>
      <c r="V100" s="719"/>
      <c r="W100" s="719"/>
      <c r="X100" s="719"/>
      <c r="Y100" s="719"/>
      <c r="Z100" s="719"/>
      <c r="AA100" s="719"/>
      <c r="AB100" s="719"/>
      <c r="AC100" s="719"/>
      <c r="AD100" s="719"/>
      <c r="AE100" s="719"/>
      <c r="AF100" s="720"/>
      <c r="AG100" s="721"/>
      <c r="AH100" s="721"/>
      <c r="AI100" s="721"/>
      <c r="AJ100" s="721"/>
      <c r="AK100" s="721"/>
      <c r="AL100" s="721"/>
      <c r="AM100" s="721"/>
      <c r="AN100" s="719"/>
      <c r="AO100" s="719"/>
      <c r="AP100" s="719"/>
      <c r="AQ100" s="719"/>
      <c r="AR100" s="719"/>
      <c r="AS100" s="719"/>
      <c r="AT100" s="719"/>
      <c r="AU100" s="719"/>
      <c r="AV100" s="719"/>
      <c r="AW100" s="719"/>
      <c r="AX100" s="720"/>
      <c r="AY100" s="721"/>
      <c r="AZ100" s="721"/>
      <c r="BA100" s="721"/>
      <c r="BB100" s="721"/>
      <c r="BC100" s="721"/>
      <c r="BD100" s="632"/>
    </row>
    <row r="101" spans="1:56" s="38" customFormat="1" hidden="1" outlineLevel="1" x14ac:dyDescent="0.25">
      <c r="A101" s="162" t="s">
        <v>63</v>
      </c>
      <c r="B101" s="187"/>
      <c r="C101" s="740">
        <v>101.373</v>
      </c>
      <c r="D101" s="740">
        <v>104.899</v>
      </c>
      <c r="E101" s="740">
        <v>113.197</v>
      </c>
      <c r="F101" s="740">
        <f>AR101-C101-D101-E101</f>
        <v>117.22000000000003</v>
      </c>
      <c r="G101" s="740">
        <v>117.88</v>
      </c>
      <c r="H101" s="740">
        <v>134.91800000000001</v>
      </c>
      <c r="I101" s="740">
        <v>123.869</v>
      </c>
      <c r="J101" s="740">
        <f>AS101-G101-H101-I101</f>
        <v>125.20000000000002</v>
      </c>
      <c r="K101" s="740">
        <v>115.253</v>
      </c>
      <c r="L101" s="740">
        <v>125.66500000000001</v>
      </c>
      <c r="M101" s="740">
        <v>122.931</v>
      </c>
      <c r="N101" s="740">
        <f>AT101-K101-L101-M101</f>
        <v>126.43099999999997</v>
      </c>
      <c r="O101" s="740">
        <v>115.756</v>
      </c>
      <c r="P101" s="740">
        <v>125.542</v>
      </c>
      <c r="Q101" s="740">
        <v>121.97799999999999</v>
      </c>
      <c r="R101" s="740">
        <f>AU101-O101-P101-Q101</f>
        <v>127.283</v>
      </c>
      <c r="S101" s="740">
        <v>122.447</v>
      </c>
      <c r="T101" s="740">
        <v>131.161</v>
      </c>
      <c r="U101" s="740">
        <v>124.09699999999999</v>
      </c>
      <c r="V101" s="740">
        <f>AV101-SUM(S101,T101,U101)</f>
        <v>131.50300000000004</v>
      </c>
      <c r="W101" s="740">
        <v>125.032</v>
      </c>
      <c r="X101" s="740">
        <v>133.691</v>
      </c>
      <c r="Y101" s="740">
        <v>123.566</v>
      </c>
      <c r="Z101" s="740">
        <f>AW101-SUM(W101,X101,Y101)</f>
        <v>132.87099999999998</v>
      </c>
      <c r="AA101" s="740">
        <v>139.47300000000001</v>
      </c>
      <c r="AB101" s="740">
        <v>149.41300000000001</v>
      </c>
      <c r="AC101" s="740">
        <v>139.005</v>
      </c>
      <c r="AD101" s="740">
        <f>AX101-SUM(AA101,AB101,AC101)</f>
        <v>155.39899999999994</v>
      </c>
      <c r="AE101" s="740">
        <v>128.28100000000001</v>
      </c>
      <c r="AF101" s="741">
        <v>106.14400000000001</v>
      </c>
      <c r="AG101" s="742"/>
      <c r="AH101" s="742"/>
      <c r="AI101" s="742"/>
      <c r="AJ101" s="742"/>
      <c r="AK101" s="742"/>
      <c r="AL101" s="742"/>
      <c r="AM101" s="742"/>
      <c r="AN101" s="739">
        <v>219.24</v>
      </c>
      <c r="AO101" s="739">
        <v>259.92599999999999</v>
      </c>
      <c r="AP101" s="739">
        <v>333.16699999999997</v>
      </c>
      <c r="AQ101" s="739">
        <v>401.572</v>
      </c>
      <c r="AR101" s="739">
        <v>436.68900000000002</v>
      </c>
      <c r="AS101" s="739">
        <v>501.86700000000002</v>
      </c>
      <c r="AT101" s="739">
        <v>490.28</v>
      </c>
      <c r="AU101" s="739">
        <v>490.55900000000003</v>
      </c>
      <c r="AV101" s="739">
        <v>509.20800000000003</v>
      </c>
      <c r="AW101" s="739">
        <v>515.16</v>
      </c>
      <c r="AX101" s="934">
        <v>583.29</v>
      </c>
      <c r="AY101" s="743"/>
      <c r="AZ101" s="743"/>
      <c r="BA101" s="743"/>
      <c r="BB101" s="743"/>
      <c r="BC101" s="743"/>
      <c r="BD101" s="632"/>
    </row>
    <row r="102" spans="1:56" s="39" customFormat="1" hidden="1" outlineLevel="1" x14ac:dyDescent="0.25">
      <c r="A102" s="75" t="s">
        <v>64</v>
      </c>
      <c r="B102" s="171"/>
      <c r="C102" s="723">
        <v>85.191999999999993</v>
      </c>
      <c r="D102" s="723">
        <v>86.504000000000005</v>
      </c>
      <c r="E102" s="723">
        <v>93.135999999999996</v>
      </c>
      <c r="F102" s="723">
        <f>AR102-C102-D102-E102</f>
        <v>95.591999999999956</v>
      </c>
      <c r="G102" s="723">
        <v>99.525000000000006</v>
      </c>
      <c r="H102" s="723">
        <v>110.151</v>
      </c>
      <c r="I102" s="723">
        <v>101.351</v>
      </c>
      <c r="J102" s="723">
        <f>AS102-G102-H102-I102</f>
        <v>101.26499999999993</v>
      </c>
      <c r="K102" s="723">
        <v>96.117999999999995</v>
      </c>
      <c r="L102" s="723">
        <v>105.589</v>
      </c>
      <c r="M102" s="723">
        <v>102.562</v>
      </c>
      <c r="N102" s="723">
        <f>AT102-K102-L102-M102</f>
        <v>104.01900000000002</v>
      </c>
      <c r="O102" s="723">
        <v>97.828999999999994</v>
      </c>
      <c r="P102" s="723">
        <v>105.19799999999999</v>
      </c>
      <c r="Q102" s="723">
        <v>101.974</v>
      </c>
      <c r="R102" s="723">
        <f>AU102-O102-P102-Q102</f>
        <v>105.401</v>
      </c>
      <c r="S102" s="723">
        <v>103.059</v>
      </c>
      <c r="T102" s="723">
        <v>108.726</v>
      </c>
      <c r="U102" s="723">
        <v>105.45099999999999</v>
      </c>
      <c r="V102" s="723">
        <f>AV102-SUM(S102,T102,U102)</f>
        <v>109.94499999999999</v>
      </c>
      <c r="W102" s="723">
        <v>107.35299999999999</v>
      </c>
      <c r="X102" s="723">
        <v>111.11799999999999</v>
      </c>
      <c r="Y102" s="723">
        <v>104.367</v>
      </c>
      <c r="Z102" s="723">
        <f>AW102-SUM(W102,X102,Y102)</f>
        <v>114.57899999999995</v>
      </c>
      <c r="AA102" s="732">
        <v>118.19499999999999</v>
      </c>
      <c r="AB102" s="723">
        <v>126.45399999999999</v>
      </c>
      <c r="AC102" s="723">
        <v>117.33799999999999</v>
      </c>
      <c r="AD102" s="723">
        <f>AX102-SUM(AA102,AB102,AC102)</f>
        <v>132.09000000000003</v>
      </c>
      <c r="AE102" s="732">
        <v>110.667</v>
      </c>
      <c r="AF102" s="727">
        <v>90.247</v>
      </c>
      <c r="AG102" s="737"/>
      <c r="AH102" s="737"/>
      <c r="AI102" s="737"/>
      <c r="AJ102" s="737"/>
      <c r="AK102" s="737"/>
      <c r="AL102" s="737"/>
      <c r="AM102" s="737"/>
      <c r="AN102" s="722">
        <v>185.149</v>
      </c>
      <c r="AO102" s="722">
        <v>217.23599999999999</v>
      </c>
      <c r="AP102" s="722">
        <v>276.53300000000002</v>
      </c>
      <c r="AQ102" s="722">
        <v>329.601</v>
      </c>
      <c r="AR102" s="722">
        <v>360.42399999999998</v>
      </c>
      <c r="AS102" s="722">
        <v>412.29199999999997</v>
      </c>
      <c r="AT102" s="722">
        <v>408.28800000000001</v>
      </c>
      <c r="AU102" s="722">
        <v>410.40199999999999</v>
      </c>
      <c r="AV102" s="722">
        <v>427.18099999999998</v>
      </c>
      <c r="AW102" s="722">
        <v>437.41699999999997</v>
      </c>
      <c r="AX102" s="927">
        <v>494.077</v>
      </c>
      <c r="AY102" s="738"/>
      <c r="AZ102" s="738"/>
      <c r="BA102" s="738"/>
      <c r="BB102" s="738"/>
      <c r="BC102" s="738"/>
      <c r="BD102" s="631"/>
    </row>
    <row r="103" spans="1:56" s="38" customFormat="1" hidden="1" outlineLevel="1" x14ac:dyDescent="0.25">
      <c r="A103" s="40" t="s">
        <v>65</v>
      </c>
      <c r="B103" s="117"/>
      <c r="C103" s="745">
        <f t="shared" ref="C103:AL103" si="62">C101-C102</f>
        <v>16.181000000000012</v>
      </c>
      <c r="D103" s="745">
        <f t="shared" si="62"/>
        <v>18.394999999999996</v>
      </c>
      <c r="E103" s="745">
        <f t="shared" si="62"/>
        <v>20.061000000000007</v>
      </c>
      <c r="F103" s="745">
        <f t="shared" si="62"/>
        <v>21.628000000000071</v>
      </c>
      <c r="G103" s="745">
        <f t="shared" si="62"/>
        <v>18.35499999999999</v>
      </c>
      <c r="H103" s="745">
        <f t="shared" si="62"/>
        <v>24.76700000000001</v>
      </c>
      <c r="I103" s="745">
        <f t="shared" si="62"/>
        <v>22.518000000000001</v>
      </c>
      <c r="J103" s="745">
        <f t="shared" si="62"/>
        <v>23.935000000000088</v>
      </c>
      <c r="K103" s="745">
        <f t="shared" si="62"/>
        <v>19.135000000000005</v>
      </c>
      <c r="L103" s="745">
        <f t="shared" si="62"/>
        <v>20.076000000000008</v>
      </c>
      <c r="M103" s="745">
        <f t="shared" si="62"/>
        <v>20.369</v>
      </c>
      <c r="N103" s="745">
        <f t="shared" si="62"/>
        <v>22.411999999999949</v>
      </c>
      <c r="O103" s="745">
        <f t="shared" si="62"/>
        <v>17.927000000000007</v>
      </c>
      <c r="P103" s="745">
        <f t="shared" si="62"/>
        <v>20.344000000000008</v>
      </c>
      <c r="Q103" s="745">
        <f t="shared" si="62"/>
        <v>20.003999999999991</v>
      </c>
      <c r="R103" s="745">
        <f t="shared" si="62"/>
        <v>21.882000000000005</v>
      </c>
      <c r="S103" s="745">
        <f t="shared" si="62"/>
        <v>19.388000000000005</v>
      </c>
      <c r="T103" s="745">
        <f t="shared" si="62"/>
        <v>22.435000000000002</v>
      </c>
      <c r="U103" s="745">
        <f t="shared" si="62"/>
        <v>18.646000000000001</v>
      </c>
      <c r="V103" s="745">
        <f t="shared" si="62"/>
        <v>21.55800000000005</v>
      </c>
      <c r="W103" s="745">
        <f t="shared" si="62"/>
        <v>17.679000000000002</v>
      </c>
      <c r="X103" s="745">
        <f t="shared" si="62"/>
        <v>22.573000000000008</v>
      </c>
      <c r="Y103" s="745">
        <f t="shared" si="62"/>
        <v>19.198999999999998</v>
      </c>
      <c r="Z103" s="745">
        <f t="shared" si="62"/>
        <v>18.29200000000003</v>
      </c>
      <c r="AA103" s="745">
        <f t="shared" si="62"/>
        <v>21.27800000000002</v>
      </c>
      <c r="AB103" s="745">
        <f t="shared" si="62"/>
        <v>22.959000000000017</v>
      </c>
      <c r="AC103" s="745">
        <f t="shared" si="62"/>
        <v>21.667000000000002</v>
      </c>
      <c r="AD103" s="745">
        <f t="shared" si="62"/>
        <v>23.308999999999912</v>
      </c>
      <c r="AE103" s="745">
        <f t="shared" si="62"/>
        <v>17.614000000000004</v>
      </c>
      <c r="AF103" s="746">
        <f t="shared" si="62"/>
        <v>15.897000000000006</v>
      </c>
      <c r="AG103" s="747">
        <f t="shared" si="62"/>
        <v>0</v>
      </c>
      <c r="AH103" s="747">
        <f t="shared" si="62"/>
        <v>0</v>
      </c>
      <c r="AI103" s="747">
        <f t="shared" si="62"/>
        <v>0</v>
      </c>
      <c r="AJ103" s="747">
        <f t="shared" si="62"/>
        <v>0</v>
      </c>
      <c r="AK103" s="747">
        <f t="shared" si="62"/>
        <v>0</v>
      </c>
      <c r="AL103" s="747">
        <f t="shared" si="62"/>
        <v>0</v>
      </c>
      <c r="AM103" s="747"/>
      <c r="AN103" s="744">
        <f t="shared" ref="AN103:BC103" si="63">AN101-AN102</f>
        <v>34.091000000000008</v>
      </c>
      <c r="AO103" s="744">
        <f t="shared" si="63"/>
        <v>42.69</v>
      </c>
      <c r="AP103" s="744">
        <f t="shared" si="63"/>
        <v>56.633999999999958</v>
      </c>
      <c r="AQ103" s="744">
        <f t="shared" si="63"/>
        <v>71.971000000000004</v>
      </c>
      <c r="AR103" s="744">
        <f t="shared" si="63"/>
        <v>76.265000000000043</v>
      </c>
      <c r="AS103" s="744">
        <f t="shared" si="63"/>
        <v>89.575000000000045</v>
      </c>
      <c r="AT103" s="744">
        <f t="shared" si="63"/>
        <v>81.991999999999962</v>
      </c>
      <c r="AU103" s="744">
        <f t="shared" si="63"/>
        <v>80.157000000000039</v>
      </c>
      <c r="AV103" s="744">
        <f t="shared" si="63"/>
        <v>82.027000000000044</v>
      </c>
      <c r="AW103" s="744">
        <f t="shared" si="63"/>
        <v>77.742999999999995</v>
      </c>
      <c r="AX103" s="935">
        <f t="shared" si="63"/>
        <v>89.212999999999965</v>
      </c>
      <c r="AY103" s="748">
        <f t="shared" si="63"/>
        <v>0</v>
      </c>
      <c r="AZ103" s="748">
        <f t="shared" si="63"/>
        <v>0</v>
      </c>
      <c r="BA103" s="748">
        <f t="shared" si="63"/>
        <v>0</v>
      </c>
      <c r="BB103" s="748">
        <f t="shared" si="63"/>
        <v>0</v>
      </c>
      <c r="BC103" s="748">
        <f t="shared" si="63"/>
        <v>0</v>
      </c>
      <c r="BD103" s="632"/>
    </row>
    <row r="104" spans="1:56" s="39" customFormat="1" hidden="1" outlineLevel="1" x14ac:dyDescent="0.25">
      <c r="A104" s="75" t="s">
        <v>66</v>
      </c>
      <c r="B104" s="171"/>
      <c r="C104" s="723">
        <v>9.0890000000000004</v>
      </c>
      <c r="D104" s="723">
        <v>9.8800000000000008</v>
      </c>
      <c r="E104" s="723">
        <v>9.8559999999999999</v>
      </c>
      <c r="F104" s="723">
        <f>AR104-C104-D104-E104</f>
        <v>10.763999999999998</v>
      </c>
      <c r="G104" s="723">
        <v>11.589</v>
      </c>
      <c r="H104" s="723">
        <v>11.462</v>
      </c>
      <c r="I104" s="723">
        <v>11.863</v>
      </c>
      <c r="J104" s="723">
        <f>AS104-G104-H104-I104</f>
        <v>12.193999999999999</v>
      </c>
      <c r="K104" s="723">
        <v>11.599</v>
      </c>
      <c r="L104" s="723">
        <v>12.007</v>
      </c>
      <c r="M104" s="723">
        <v>12.253</v>
      </c>
      <c r="N104" s="723">
        <f>AT104-K104-L104-M104</f>
        <v>11.889000000000003</v>
      </c>
      <c r="O104" s="723">
        <v>11.97</v>
      </c>
      <c r="P104" s="723">
        <v>12.279</v>
      </c>
      <c r="Q104" s="723">
        <v>11.996</v>
      </c>
      <c r="R104" s="723">
        <f>AU104-O104-P104-Q104</f>
        <v>12.352000000000002</v>
      </c>
      <c r="S104" s="723">
        <v>12.994</v>
      </c>
      <c r="T104" s="723">
        <f>12.777+0.461</f>
        <v>13.238</v>
      </c>
      <c r="U104" s="723">
        <f>14.16+0.393</f>
        <v>14.553000000000001</v>
      </c>
      <c r="V104" s="723">
        <f>AV104-SUM(S104,T104,U104)</f>
        <v>16.634</v>
      </c>
      <c r="W104" s="723">
        <v>14.584</v>
      </c>
      <c r="X104" s="723">
        <f>14.121+1.106</f>
        <v>15.227</v>
      </c>
      <c r="Y104" s="723">
        <f>12.227+1.297</f>
        <v>13.524000000000001</v>
      </c>
      <c r="Z104" s="723">
        <f>AW104-SUM(W104,X104,Y104)</f>
        <v>16.311</v>
      </c>
      <c r="AA104" s="723">
        <f>16.127+1.989</f>
        <v>18.116</v>
      </c>
      <c r="AB104" s="723">
        <f>15.402+1.906</f>
        <v>17.308</v>
      </c>
      <c r="AC104" s="723">
        <f>15.24+1.83</f>
        <v>17.07</v>
      </c>
      <c r="AD104" s="723">
        <f t="shared" ref="AD104:AD109" si="64">AX104-SUM(AA104,AB104,AC104)</f>
        <v>19.873000000000005</v>
      </c>
      <c r="AE104" s="723">
        <f>17.284+1.839</f>
        <v>19.122999999999998</v>
      </c>
      <c r="AF104" s="727">
        <f>14.18+1.857</f>
        <v>16.036999999999999</v>
      </c>
      <c r="AG104" s="737"/>
      <c r="AH104" s="737"/>
      <c r="AI104" s="737"/>
      <c r="AJ104" s="737"/>
      <c r="AK104" s="737"/>
      <c r="AL104" s="737"/>
      <c r="AM104" s="737"/>
      <c r="AN104" s="722">
        <v>20.8</v>
      </c>
      <c r="AO104" s="722">
        <v>23.466000000000001</v>
      </c>
      <c r="AP104" s="722">
        <v>30.248999999999999</v>
      </c>
      <c r="AQ104" s="722">
        <v>35.5</v>
      </c>
      <c r="AR104" s="722">
        <v>39.588999999999999</v>
      </c>
      <c r="AS104" s="722">
        <v>47.107999999999997</v>
      </c>
      <c r="AT104" s="722">
        <v>47.747999999999998</v>
      </c>
      <c r="AU104" s="722">
        <v>48.597000000000001</v>
      </c>
      <c r="AV104" s="722">
        <f>55.753+1.666</f>
        <v>57.418999999999997</v>
      </c>
      <c r="AW104" s="722">
        <f>54.848+4.798</f>
        <v>59.646000000000001</v>
      </c>
      <c r="AX104" s="927">
        <f>64.492+7.875</f>
        <v>72.367000000000004</v>
      </c>
      <c r="AY104" s="738"/>
      <c r="AZ104" s="738"/>
      <c r="BA104" s="738"/>
      <c r="BB104" s="738"/>
      <c r="BC104" s="738"/>
      <c r="BD104" s="631"/>
    </row>
    <row r="105" spans="1:56" s="39" customFormat="1" hidden="1" outlineLevel="1" x14ac:dyDescent="0.25">
      <c r="A105" s="75" t="s">
        <v>67</v>
      </c>
      <c r="B105" s="171"/>
      <c r="C105" s="723"/>
      <c r="D105" s="723"/>
      <c r="E105" s="723"/>
      <c r="F105" s="723">
        <f>AR105-C105-D105-E105</f>
        <v>0</v>
      </c>
      <c r="G105" s="723"/>
      <c r="H105" s="723"/>
      <c r="I105" s="723"/>
      <c r="J105" s="723">
        <f>AS105-G105-H105-I105</f>
        <v>0</v>
      </c>
      <c r="K105" s="723"/>
      <c r="L105" s="723"/>
      <c r="M105" s="723"/>
      <c r="N105" s="723">
        <f>AT105-K105-L105-M105</f>
        <v>0</v>
      </c>
      <c r="O105" s="723"/>
      <c r="P105" s="723"/>
      <c r="Q105" s="723"/>
      <c r="R105" s="723">
        <f>AU105-O105-P105-Q105</f>
        <v>0</v>
      </c>
      <c r="S105" s="723"/>
      <c r="T105" s="723"/>
      <c r="U105" s="723"/>
      <c r="V105" s="723">
        <f>AV105-SUM(S105,T105,U105)</f>
        <v>0</v>
      </c>
      <c r="W105" s="723"/>
      <c r="X105" s="723"/>
      <c r="Y105" s="723"/>
      <c r="Z105" s="723">
        <f>AW105-SUM(W105,X105,Y105)</f>
        <v>0</v>
      </c>
      <c r="AA105" s="723"/>
      <c r="AB105" s="723"/>
      <c r="AC105" s="723"/>
      <c r="AD105" s="723">
        <f t="shared" si="64"/>
        <v>0</v>
      </c>
      <c r="AE105" s="723"/>
      <c r="AF105" s="727"/>
      <c r="AG105" s="737"/>
      <c r="AH105" s="737"/>
      <c r="AI105" s="737"/>
      <c r="AJ105" s="737"/>
      <c r="AK105" s="737"/>
      <c r="AL105" s="737"/>
      <c r="AM105" s="737"/>
      <c r="AN105" s="722"/>
      <c r="AO105" s="722">
        <v>0</v>
      </c>
      <c r="AP105" s="722">
        <v>1.0409999999999999</v>
      </c>
      <c r="AQ105" s="722"/>
      <c r="AR105" s="722"/>
      <c r="AS105" s="722"/>
      <c r="AT105" s="722"/>
      <c r="AU105" s="722"/>
      <c r="AV105" s="722"/>
      <c r="AW105" s="722"/>
      <c r="AX105" s="927"/>
      <c r="AY105" s="738"/>
      <c r="AZ105" s="738"/>
      <c r="BA105" s="738"/>
      <c r="BB105" s="738"/>
      <c r="BC105" s="738"/>
      <c r="BD105" s="631"/>
    </row>
    <row r="106" spans="1:56" s="39" customFormat="1" hidden="1" outlineLevel="1" x14ac:dyDescent="0.25">
      <c r="A106" s="75" t="s">
        <v>68</v>
      </c>
      <c r="B106" s="171"/>
      <c r="C106" s="723"/>
      <c r="D106" s="723"/>
      <c r="E106" s="723"/>
      <c r="F106" s="723">
        <f>AR106-C106-D106-E106</f>
        <v>0</v>
      </c>
      <c r="G106" s="723"/>
      <c r="H106" s="723"/>
      <c r="I106" s="723">
        <v>0</v>
      </c>
      <c r="J106" s="723">
        <f>AS106-G106-H106-I106</f>
        <v>0</v>
      </c>
      <c r="K106" s="723"/>
      <c r="L106" s="723"/>
      <c r="M106" s="723">
        <v>1.1950000000000001</v>
      </c>
      <c r="N106" s="723">
        <f>AT106-K106-L106-M106</f>
        <v>0.35599999999999987</v>
      </c>
      <c r="O106" s="723"/>
      <c r="P106" s="723"/>
      <c r="Q106" s="723"/>
      <c r="R106" s="723">
        <f>AU106-O106-P106-Q106</f>
        <v>0</v>
      </c>
      <c r="S106" s="723"/>
      <c r="T106" s="723"/>
      <c r="U106" s="723"/>
      <c r="V106" s="723">
        <f>AV106-SUM(S106,T106,U106)</f>
        <v>3.3170000000000002</v>
      </c>
      <c r="W106" s="723">
        <v>0.435</v>
      </c>
      <c r="X106" s="723">
        <v>2.4950000000000001</v>
      </c>
      <c r="Y106" s="723"/>
      <c r="Z106" s="723">
        <f>AW106-SUM(W106,X106,Y106)</f>
        <v>0</v>
      </c>
      <c r="AA106" s="723">
        <v>1.119</v>
      </c>
      <c r="AB106" s="723">
        <v>0.182</v>
      </c>
      <c r="AC106" s="723">
        <v>0.104</v>
      </c>
      <c r="AD106" s="723">
        <f t="shared" si="64"/>
        <v>0.23399999999999999</v>
      </c>
      <c r="AE106" s="723"/>
      <c r="AF106" s="727">
        <v>0.85499999999999998</v>
      </c>
      <c r="AG106" s="737"/>
      <c r="AH106" s="737"/>
      <c r="AI106" s="737"/>
      <c r="AJ106" s="737"/>
      <c r="AK106" s="737"/>
      <c r="AL106" s="737"/>
      <c r="AM106" s="737"/>
      <c r="AN106" s="722"/>
      <c r="AO106" s="722"/>
      <c r="AP106" s="722"/>
      <c r="AQ106" s="722"/>
      <c r="AR106" s="722">
        <v>0</v>
      </c>
      <c r="AS106" s="722">
        <v>0</v>
      </c>
      <c r="AT106" s="722">
        <v>1.5509999999999999</v>
      </c>
      <c r="AU106" s="722"/>
      <c r="AV106" s="722">
        <v>3.3170000000000002</v>
      </c>
      <c r="AW106" s="722">
        <v>2.93</v>
      </c>
      <c r="AX106" s="927">
        <v>1.639</v>
      </c>
      <c r="AY106" s="738"/>
      <c r="AZ106" s="738"/>
      <c r="BA106" s="738"/>
      <c r="BB106" s="738"/>
      <c r="BC106" s="738"/>
      <c r="BD106" s="631"/>
    </row>
    <row r="107" spans="1:56" s="39" customFormat="1" hidden="1" outlineLevel="1" x14ac:dyDescent="0.25">
      <c r="A107" s="75" t="s">
        <v>69</v>
      </c>
      <c r="B107" s="171"/>
      <c r="C107" s="723">
        <v>0.247</v>
      </c>
      <c r="D107" s="723">
        <v>4.4999999999999998E-2</v>
      </c>
      <c r="E107" s="723">
        <v>0.13500000000000001</v>
      </c>
      <c r="F107" s="723">
        <f>AR107-C107-D107-E107</f>
        <v>1.2489999999999999</v>
      </c>
      <c r="G107" s="723">
        <v>0.377</v>
      </c>
      <c r="H107" s="723">
        <v>0.48099999999999998</v>
      </c>
      <c r="I107" s="723">
        <v>0.65500000000000003</v>
      </c>
      <c r="J107" s="723">
        <f>AS107-G107-H107-I107</f>
        <v>-0.12100000000000011</v>
      </c>
      <c r="K107" s="723">
        <v>-0.20300000000000001</v>
      </c>
      <c r="L107" s="723">
        <v>-5.5E-2</v>
      </c>
      <c r="M107" s="723">
        <v>-5.6000000000000001E-2</v>
      </c>
      <c r="N107" s="723">
        <f>AT107-K107-L107-M107</f>
        <v>-5.6999999999999988E-2</v>
      </c>
      <c r="O107" s="723">
        <v>-0.159</v>
      </c>
      <c r="P107" s="723">
        <v>8.7999999999999995E-2</v>
      </c>
      <c r="Q107" s="723">
        <v>-3.0000000000000001E-3</v>
      </c>
      <c r="R107" s="723">
        <f>AU107-O107-P107-Q107</f>
        <v>-6.2E-2</v>
      </c>
      <c r="S107" s="723">
        <v>0.19700000000000001</v>
      </c>
      <c r="T107" s="723">
        <v>-9.6000000000000002E-2</v>
      </c>
      <c r="U107" s="723">
        <v>0.26800000000000002</v>
      </c>
      <c r="V107" s="723">
        <f>AV107-SUM(S107,T107,U107)</f>
        <v>1.2509999999999999</v>
      </c>
      <c r="W107" s="723">
        <v>2.552</v>
      </c>
      <c r="X107" s="723">
        <v>0.89400000000000002</v>
      </c>
      <c r="Y107" s="723">
        <v>0.52600000000000002</v>
      </c>
      <c r="Z107" s="723">
        <f>AW107-SUM(W107,X107,Y107)</f>
        <v>0.4659999999999993</v>
      </c>
      <c r="AA107" s="723">
        <v>0.05</v>
      </c>
      <c r="AB107" s="723">
        <v>0.627</v>
      </c>
      <c r="AC107" s="723"/>
      <c r="AD107" s="723">
        <f t="shared" si="64"/>
        <v>0</v>
      </c>
      <c r="AE107" s="723"/>
      <c r="AF107" s="727"/>
      <c r="AG107" s="737"/>
      <c r="AH107" s="737"/>
      <c r="AI107" s="737"/>
      <c r="AJ107" s="737"/>
      <c r="AK107" s="737"/>
      <c r="AL107" s="737"/>
      <c r="AM107" s="737"/>
      <c r="AN107" s="722"/>
      <c r="AO107" s="722">
        <v>1.3129999999999999</v>
      </c>
      <c r="AP107" s="722">
        <v>0.51700000000000002</v>
      </c>
      <c r="AQ107" s="722">
        <v>-0.78900000000000003</v>
      </c>
      <c r="AR107" s="722">
        <v>1.6759999999999999</v>
      </c>
      <c r="AS107" s="722">
        <v>1.3919999999999999</v>
      </c>
      <c r="AT107" s="722">
        <v>-0.371</v>
      </c>
      <c r="AU107" s="722">
        <v>-0.13600000000000001</v>
      </c>
      <c r="AV107" s="722">
        <v>1.6199999999999999</v>
      </c>
      <c r="AW107" s="722">
        <v>4.4379999999999997</v>
      </c>
      <c r="AX107" s="927">
        <v>0.67700000000000005</v>
      </c>
      <c r="AY107" s="738"/>
      <c r="AZ107" s="738"/>
      <c r="BA107" s="738"/>
      <c r="BB107" s="738"/>
      <c r="BC107" s="738"/>
      <c r="BD107" s="631"/>
    </row>
    <row r="108" spans="1:56" s="39" customFormat="1" hidden="1" outlineLevel="1" x14ac:dyDescent="0.25">
      <c r="A108" s="75" t="s">
        <v>437</v>
      </c>
      <c r="B108" s="171"/>
      <c r="C108" s="723"/>
      <c r="D108" s="723"/>
      <c r="E108" s="723"/>
      <c r="F108" s="723"/>
      <c r="G108" s="723"/>
      <c r="H108" s="723"/>
      <c r="I108" s="723"/>
      <c r="J108" s="723"/>
      <c r="K108" s="723"/>
      <c r="L108" s="723"/>
      <c r="M108" s="723"/>
      <c r="N108" s="723"/>
      <c r="O108" s="723"/>
      <c r="P108" s="723"/>
      <c r="Q108" s="723"/>
      <c r="R108" s="723"/>
      <c r="S108" s="723"/>
      <c r="T108" s="723"/>
      <c r="U108" s="723"/>
      <c r="V108" s="723"/>
      <c r="W108" s="723"/>
      <c r="X108" s="723"/>
      <c r="Y108" s="723"/>
      <c r="Z108" s="723"/>
      <c r="AA108" s="723"/>
      <c r="AB108" s="723"/>
      <c r="AC108" s="723"/>
      <c r="AD108" s="723">
        <f t="shared" si="64"/>
        <v>12.125999999999999</v>
      </c>
      <c r="AE108" s="723">
        <v>1.0640000000000001</v>
      </c>
      <c r="AF108" s="727"/>
      <c r="AG108" s="737"/>
      <c r="AH108" s="737"/>
      <c r="AI108" s="737"/>
      <c r="AJ108" s="737"/>
      <c r="AK108" s="737"/>
      <c r="AL108" s="737"/>
      <c r="AM108" s="737"/>
      <c r="AN108" s="722"/>
      <c r="AO108" s="722"/>
      <c r="AP108" s="722"/>
      <c r="AQ108" s="722"/>
      <c r="AR108" s="722"/>
      <c r="AS108" s="722"/>
      <c r="AT108" s="722"/>
      <c r="AU108" s="722"/>
      <c r="AV108" s="722"/>
      <c r="AW108" s="722"/>
      <c r="AX108" s="927">
        <v>12.125999999999999</v>
      </c>
      <c r="AY108" s="738"/>
      <c r="AZ108" s="738"/>
      <c r="BA108" s="738"/>
      <c r="BB108" s="738"/>
      <c r="BC108" s="738"/>
      <c r="BD108" s="631"/>
    </row>
    <row r="109" spans="1:56" s="39" customFormat="1" hidden="1" outlineLevel="1" x14ac:dyDescent="0.25">
      <c r="A109" s="75" t="s">
        <v>70</v>
      </c>
      <c r="B109" s="171"/>
      <c r="C109" s="723"/>
      <c r="D109" s="723"/>
      <c r="E109" s="723"/>
      <c r="F109" s="723">
        <f>AR109-C109-D109-E109</f>
        <v>0</v>
      </c>
      <c r="G109" s="723"/>
      <c r="H109" s="723"/>
      <c r="I109" s="723"/>
      <c r="J109" s="723">
        <f>AS109-G109-H109-I109</f>
        <v>0</v>
      </c>
      <c r="K109" s="723"/>
      <c r="L109" s="723"/>
      <c r="M109" s="723"/>
      <c r="N109" s="723">
        <f>AT109-K109-L109-M109</f>
        <v>0</v>
      </c>
      <c r="O109" s="723"/>
      <c r="P109" s="723"/>
      <c r="Q109" s="723"/>
      <c r="R109" s="723">
        <f>AU109-O109-P109-Q109</f>
        <v>0</v>
      </c>
      <c r="S109" s="723"/>
      <c r="T109" s="723"/>
      <c r="U109" s="723"/>
      <c r="V109" s="723">
        <f>AV109-SUM(S109,T109,U109)</f>
        <v>0</v>
      </c>
      <c r="W109" s="723"/>
      <c r="X109" s="723"/>
      <c r="Y109" s="723"/>
      <c r="Z109" s="723">
        <f>AW109-SUM(W109,X109,Y109)</f>
        <v>0</v>
      </c>
      <c r="AA109" s="723"/>
      <c r="AB109" s="723"/>
      <c r="AC109" s="723"/>
      <c r="AD109" s="723">
        <f t="shared" si="64"/>
        <v>0</v>
      </c>
      <c r="AE109" s="723"/>
      <c r="AF109" s="727"/>
      <c r="AG109" s="737"/>
      <c r="AH109" s="737"/>
      <c r="AI109" s="737"/>
      <c r="AJ109" s="737"/>
      <c r="AK109" s="737"/>
      <c r="AL109" s="737"/>
      <c r="AM109" s="737"/>
      <c r="AN109" s="722">
        <v>10.163</v>
      </c>
      <c r="AO109" s="722"/>
      <c r="AP109" s="722"/>
      <c r="AQ109" s="722"/>
      <c r="AR109" s="722"/>
      <c r="AS109" s="722"/>
      <c r="AT109" s="722"/>
      <c r="AU109" s="722"/>
      <c r="AV109" s="722"/>
      <c r="AW109" s="722"/>
      <c r="AX109" s="927"/>
      <c r="AY109" s="738"/>
      <c r="AZ109" s="738"/>
      <c r="BA109" s="738"/>
      <c r="BB109" s="738"/>
      <c r="BC109" s="738"/>
      <c r="BD109" s="631"/>
    </row>
    <row r="110" spans="1:56" s="38" customFormat="1" hidden="1" outlineLevel="1" x14ac:dyDescent="0.25">
      <c r="A110" s="40" t="s">
        <v>71</v>
      </c>
      <c r="B110" s="117"/>
      <c r="C110" s="745">
        <f t="shared" ref="C110:AL110" si="65">C103-C104+C105-C106+C107-C109+C108</f>
        <v>7.3390000000000111</v>
      </c>
      <c r="D110" s="745">
        <f t="shared" si="65"/>
        <v>8.5599999999999952</v>
      </c>
      <c r="E110" s="745">
        <f t="shared" si="65"/>
        <v>10.340000000000007</v>
      </c>
      <c r="F110" s="745">
        <f t="shared" si="65"/>
        <v>12.113000000000074</v>
      </c>
      <c r="G110" s="745">
        <f t="shared" si="65"/>
        <v>7.1429999999999891</v>
      </c>
      <c r="H110" s="745">
        <f t="shared" si="65"/>
        <v>13.78600000000001</v>
      </c>
      <c r="I110" s="745">
        <f t="shared" si="65"/>
        <v>11.31</v>
      </c>
      <c r="J110" s="745">
        <f t="shared" si="65"/>
        <v>11.620000000000088</v>
      </c>
      <c r="K110" s="745">
        <f t="shared" si="65"/>
        <v>7.3330000000000046</v>
      </c>
      <c r="L110" s="745">
        <f t="shared" si="65"/>
        <v>8.0140000000000082</v>
      </c>
      <c r="M110" s="745">
        <f t="shared" si="65"/>
        <v>6.8649999999999993</v>
      </c>
      <c r="N110" s="745">
        <f t="shared" si="65"/>
        <v>10.109999999999946</v>
      </c>
      <c r="O110" s="745">
        <f t="shared" si="65"/>
        <v>5.7980000000000063</v>
      </c>
      <c r="P110" s="745">
        <f t="shared" si="65"/>
        <v>8.1530000000000076</v>
      </c>
      <c r="Q110" s="745">
        <f t="shared" si="65"/>
        <v>8.0049999999999901</v>
      </c>
      <c r="R110" s="745">
        <f t="shared" si="65"/>
        <v>9.4680000000000035</v>
      </c>
      <c r="S110" s="745">
        <f t="shared" si="65"/>
        <v>6.5910000000000055</v>
      </c>
      <c r="T110" s="745">
        <f t="shared" si="65"/>
        <v>9.1010000000000026</v>
      </c>
      <c r="U110" s="745">
        <f t="shared" si="65"/>
        <v>4.3609999999999998</v>
      </c>
      <c r="V110" s="745">
        <f t="shared" si="65"/>
        <v>2.8580000000000489</v>
      </c>
      <c r="W110" s="745">
        <f t="shared" si="65"/>
        <v>5.2120000000000024</v>
      </c>
      <c r="X110" s="745">
        <f t="shared" si="65"/>
        <v>5.7450000000000072</v>
      </c>
      <c r="Y110" s="745">
        <f t="shared" si="65"/>
        <v>6.200999999999997</v>
      </c>
      <c r="Z110" s="745">
        <f t="shared" si="65"/>
        <v>2.4470000000000294</v>
      </c>
      <c r="AA110" s="745">
        <f t="shared" si="65"/>
        <v>2.0930000000000204</v>
      </c>
      <c r="AB110" s="745">
        <f t="shared" si="65"/>
        <v>6.096000000000017</v>
      </c>
      <c r="AC110" s="745">
        <f t="shared" si="65"/>
        <v>4.4930000000000012</v>
      </c>
      <c r="AD110" s="745">
        <f t="shared" si="65"/>
        <v>15.327999999999907</v>
      </c>
      <c r="AE110" s="745">
        <f t="shared" si="65"/>
        <v>-0.44499999999999318</v>
      </c>
      <c r="AF110" s="746">
        <f t="shared" si="65"/>
        <v>-0.99499999999999345</v>
      </c>
      <c r="AG110" s="747">
        <f t="shared" si="65"/>
        <v>0</v>
      </c>
      <c r="AH110" s="747">
        <f t="shared" si="65"/>
        <v>0</v>
      </c>
      <c r="AI110" s="747">
        <f t="shared" si="65"/>
        <v>0</v>
      </c>
      <c r="AJ110" s="747">
        <f t="shared" si="65"/>
        <v>0</v>
      </c>
      <c r="AK110" s="747">
        <f t="shared" si="65"/>
        <v>0</v>
      </c>
      <c r="AL110" s="747">
        <f t="shared" si="65"/>
        <v>0</v>
      </c>
      <c r="AM110" s="747"/>
      <c r="AN110" s="744">
        <f t="shared" ref="AN110:BC110" si="66">AN103-AN104+AN105-AN106+AN107-AN109+AN108</f>
        <v>3.1280000000000072</v>
      </c>
      <c r="AO110" s="744">
        <f t="shared" si="66"/>
        <v>20.536999999999995</v>
      </c>
      <c r="AP110" s="744">
        <f t="shared" si="66"/>
        <v>27.942999999999959</v>
      </c>
      <c r="AQ110" s="744">
        <f t="shared" si="66"/>
        <v>35.682000000000002</v>
      </c>
      <c r="AR110" s="744">
        <f t="shared" si="66"/>
        <v>38.352000000000046</v>
      </c>
      <c r="AS110" s="744">
        <f t="shared" si="66"/>
        <v>43.859000000000052</v>
      </c>
      <c r="AT110" s="744">
        <f t="shared" si="66"/>
        <v>32.32199999999996</v>
      </c>
      <c r="AU110" s="744">
        <f t="shared" si="66"/>
        <v>31.424000000000039</v>
      </c>
      <c r="AV110" s="744">
        <f t="shared" si="66"/>
        <v>22.911000000000048</v>
      </c>
      <c r="AW110" s="744">
        <f t="shared" si="66"/>
        <v>19.604999999999993</v>
      </c>
      <c r="AX110" s="935">
        <f t="shared" si="66"/>
        <v>28.009999999999962</v>
      </c>
      <c r="AY110" s="748">
        <f t="shared" si="66"/>
        <v>0</v>
      </c>
      <c r="AZ110" s="748">
        <f t="shared" si="66"/>
        <v>0</v>
      </c>
      <c r="BA110" s="748">
        <f t="shared" si="66"/>
        <v>0</v>
      </c>
      <c r="BB110" s="748">
        <f t="shared" si="66"/>
        <v>0</v>
      </c>
      <c r="BC110" s="748">
        <f t="shared" si="66"/>
        <v>0</v>
      </c>
      <c r="BD110" s="632"/>
    </row>
    <row r="111" spans="1:56" s="39" customFormat="1" hidden="1" outlineLevel="1" x14ac:dyDescent="0.25">
      <c r="A111" s="75" t="s">
        <v>72</v>
      </c>
      <c r="B111" s="171"/>
      <c r="C111" s="723">
        <v>0.1</v>
      </c>
      <c r="D111" s="723">
        <v>6.6000000000000003E-2</v>
      </c>
      <c r="E111" s="723">
        <v>0.09</v>
      </c>
      <c r="F111" s="723">
        <f>AR111-C111-D111-E111</f>
        <v>0.11000000000000001</v>
      </c>
      <c r="G111" s="723">
        <v>0.20499999999999999</v>
      </c>
      <c r="H111" s="723">
        <v>7.6999999999999999E-2</v>
      </c>
      <c r="I111" s="723">
        <v>0.11700000000000001</v>
      </c>
      <c r="J111" s="723">
        <f>AS111-G111-H111-I111</f>
        <v>0.43400000000000005</v>
      </c>
      <c r="K111" s="723">
        <v>0.36499999999999999</v>
      </c>
      <c r="L111" s="723">
        <v>0.30599999999999999</v>
      </c>
      <c r="M111" s="723">
        <v>0.34</v>
      </c>
      <c r="N111" s="723">
        <f>AT111-K111-L111-M111</f>
        <v>0.36999999999999994</v>
      </c>
      <c r="O111" s="723">
        <v>0.245</v>
      </c>
      <c r="P111" s="723">
        <v>0.35899999999999999</v>
      </c>
      <c r="Q111" s="723">
        <v>0.36599999999999999</v>
      </c>
      <c r="R111" s="723">
        <f>AU111-O111-P111-Q111</f>
        <v>0.59799999999999998</v>
      </c>
      <c r="S111" s="723">
        <v>0.438</v>
      </c>
      <c r="T111" s="723">
        <v>0.53400000000000003</v>
      </c>
      <c r="U111" s="723">
        <v>0.51100000000000001</v>
      </c>
      <c r="V111" s="723">
        <f>AV111-SUM(S111,T111,U111)</f>
        <v>1.649</v>
      </c>
      <c r="W111" s="723">
        <v>0.68600000000000005</v>
      </c>
      <c r="X111" s="723">
        <v>-0.15</v>
      </c>
      <c r="Y111" s="723">
        <v>1.095</v>
      </c>
      <c r="Z111" s="723">
        <f>AW111-SUM(W111,X111,Y111)</f>
        <v>1.3139999999999998</v>
      </c>
      <c r="AA111" s="723">
        <v>1.5980000000000001</v>
      </c>
      <c r="AB111" s="723">
        <v>1.679</v>
      </c>
      <c r="AC111" s="723">
        <v>1.575</v>
      </c>
      <c r="AD111" s="723">
        <f>AX111-SUM(AA111,AB111,AC111)</f>
        <v>1.2059999999999995</v>
      </c>
      <c r="AE111" s="723">
        <v>0.97799999999999998</v>
      </c>
      <c r="AF111" s="727">
        <v>0.60699999999999998</v>
      </c>
      <c r="AG111" s="737"/>
      <c r="AH111" s="737"/>
      <c r="AI111" s="737"/>
      <c r="AJ111" s="737"/>
      <c r="AK111" s="737"/>
      <c r="AL111" s="737"/>
      <c r="AM111" s="737"/>
      <c r="AN111" s="722">
        <v>0.217</v>
      </c>
      <c r="AO111" s="722">
        <v>0.23599999999999999</v>
      </c>
      <c r="AP111" s="722">
        <v>0.20899999999999999</v>
      </c>
      <c r="AQ111" s="722">
        <v>0.26900000000000002</v>
      </c>
      <c r="AR111" s="722">
        <v>0.36599999999999999</v>
      </c>
      <c r="AS111" s="722">
        <v>0.83299999999999996</v>
      </c>
      <c r="AT111" s="722">
        <v>1.381</v>
      </c>
      <c r="AU111" s="722">
        <v>1.5680000000000001</v>
      </c>
      <c r="AV111" s="722">
        <v>3.1320000000000001</v>
      </c>
      <c r="AW111" s="722">
        <v>2.9449999999999998</v>
      </c>
      <c r="AX111" s="927">
        <v>6.0579999999999998</v>
      </c>
      <c r="AY111" s="738"/>
      <c r="AZ111" s="738"/>
      <c r="BA111" s="738"/>
      <c r="BB111" s="738"/>
      <c r="BC111" s="738"/>
      <c r="BD111" s="631"/>
    </row>
    <row r="112" spans="1:56" s="39" customFormat="1" hidden="1" outlineLevel="1" x14ac:dyDescent="0.25">
      <c r="A112" s="75" t="s">
        <v>73</v>
      </c>
      <c r="B112" s="171"/>
      <c r="C112" s="723">
        <v>0.22900000000000001</v>
      </c>
      <c r="D112" s="723">
        <v>9.2999999999999999E-2</v>
      </c>
      <c r="E112" s="723">
        <v>4.0000000000000001E-3</v>
      </c>
      <c r="F112" s="723">
        <f>AR112-C112-D112-E112</f>
        <v>0.17600000000000002</v>
      </c>
      <c r="G112" s="723">
        <v>0.189</v>
      </c>
      <c r="H112" s="723">
        <v>6.8000000000000005E-2</v>
      </c>
      <c r="I112" s="723">
        <v>-7.1999999999999995E-2</v>
      </c>
      <c r="J112" s="723">
        <f>AS112-G112-H112-I112</f>
        <v>-0.38800000000000001</v>
      </c>
      <c r="K112" s="723">
        <v>-0.22500000000000001</v>
      </c>
      <c r="L112" s="723">
        <v>-0.31</v>
      </c>
      <c r="M112" s="723">
        <v>-0.60599999999999998</v>
      </c>
      <c r="N112" s="723">
        <f>AT112-K112-L112-M112</f>
        <v>-0.17699999999999994</v>
      </c>
      <c r="O112" s="723">
        <v>0.45400000000000001</v>
      </c>
      <c r="P112" s="723">
        <v>0.17499999999999999</v>
      </c>
      <c r="Q112" s="723">
        <v>-2.8000000000000001E-2</v>
      </c>
      <c r="R112" s="723">
        <f>AU112-O112-P112-Q112</f>
        <v>-0.42299999999999999</v>
      </c>
      <c r="S112" s="723">
        <v>-7.4999999999999997E-2</v>
      </c>
      <c r="T112" s="723">
        <v>-0.107</v>
      </c>
      <c r="U112" s="723">
        <v>7.3999999999999996E-2</v>
      </c>
      <c r="V112" s="723">
        <f>AV112-SUM(S112,T112,U112)</f>
        <v>1.8000000000000002E-2</v>
      </c>
      <c r="W112" s="723">
        <v>-0.16400000000000001</v>
      </c>
      <c r="X112" s="723">
        <v>-0.98799999999999999</v>
      </c>
      <c r="Y112" s="723">
        <v>-0.76</v>
      </c>
      <c r="Z112" s="723">
        <f>AW112-SUM(W112,X112,Y112)</f>
        <v>1.4999999999999902E-2</v>
      </c>
      <c r="AA112" s="732">
        <v>-1.4E-2</v>
      </c>
      <c r="AB112" s="723">
        <v>0.10199999999999999</v>
      </c>
      <c r="AC112" s="723">
        <v>0.184</v>
      </c>
      <c r="AD112" s="723">
        <f>AX112-SUM(AA112,AB112,AC112)</f>
        <v>0.14499999999999996</v>
      </c>
      <c r="AE112" s="732">
        <v>-0.5</v>
      </c>
      <c r="AF112" s="727">
        <v>-0.189</v>
      </c>
      <c r="AG112" s="737"/>
      <c r="AH112" s="737"/>
      <c r="AI112" s="737"/>
      <c r="AJ112" s="737"/>
      <c r="AK112" s="737"/>
      <c r="AL112" s="737"/>
      <c r="AM112" s="737"/>
      <c r="AN112" s="722">
        <v>0.48399999999999999</v>
      </c>
      <c r="AO112" s="722">
        <v>0.55100000000000005</v>
      </c>
      <c r="AP112" s="722">
        <v>0.65700000000000003</v>
      </c>
      <c r="AQ112" s="722">
        <v>0.38900000000000001</v>
      </c>
      <c r="AR112" s="722">
        <v>0.502</v>
      </c>
      <c r="AS112" s="722">
        <v>-0.20300000000000001</v>
      </c>
      <c r="AT112" s="722">
        <v>-1.3180000000000001</v>
      </c>
      <c r="AU112" s="722">
        <v>0.17799999999999999</v>
      </c>
      <c r="AV112" s="722">
        <v>-0.09</v>
      </c>
      <c r="AW112" s="722">
        <v>-1.897</v>
      </c>
      <c r="AX112" s="927">
        <v>0.41699999999999998</v>
      </c>
      <c r="AY112" s="738"/>
      <c r="AZ112" s="738"/>
      <c r="BA112" s="738"/>
      <c r="BB112" s="738"/>
      <c r="BC112" s="738"/>
      <c r="BD112" s="631"/>
    </row>
    <row r="113" spans="1:56" s="38" customFormat="1" hidden="1" outlineLevel="1" x14ac:dyDescent="0.25">
      <c r="A113" s="40" t="s">
        <v>74</v>
      </c>
      <c r="B113" s="117"/>
      <c r="C113" s="745">
        <f t="shared" ref="C113:AL113" si="67">C110-C111+C112</f>
        <v>7.4680000000000115</v>
      </c>
      <c r="D113" s="745">
        <f t="shared" si="67"/>
        <v>8.5869999999999944</v>
      </c>
      <c r="E113" s="745">
        <f t="shared" si="67"/>
        <v>10.254000000000007</v>
      </c>
      <c r="F113" s="745">
        <f t="shared" si="67"/>
        <v>12.179000000000075</v>
      </c>
      <c r="G113" s="745">
        <f t="shared" si="67"/>
        <v>7.1269999999999891</v>
      </c>
      <c r="H113" s="745">
        <f t="shared" si="67"/>
        <v>13.77700000000001</v>
      </c>
      <c r="I113" s="745">
        <f t="shared" si="67"/>
        <v>11.121</v>
      </c>
      <c r="J113" s="745">
        <f t="shared" si="67"/>
        <v>10.798000000000089</v>
      </c>
      <c r="K113" s="745">
        <f t="shared" si="67"/>
        <v>6.7430000000000048</v>
      </c>
      <c r="L113" s="745">
        <f t="shared" si="67"/>
        <v>7.3980000000000086</v>
      </c>
      <c r="M113" s="745">
        <f t="shared" si="67"/>
        <v>5.9189999999999996</v>
      </c>
      <c r="N113" s="745">
        <f t="shared" si="67"/>
        <v>9.5629999999999473</v>
      </c>
      <c r="O113" s="745">
        <f t="shared" si="67"/>
        <v>6.0070000000000059</v>
      </c>
      <c r="P113" s="745">
        <f t="shared" si="67"/>
        <v>7.9690000000000074</v>
      </c>
      <c r="Q113" s="745">
        <f t="shared" si="67"/>
        <v>7.6109999999999909</v>
      </c>
      <c r="R113" s="745">
        <f t="shared" si="67"/>
        <v>8.4470000000000027</v>
      </c>
      <c r="S113" s="745">
        <f t="shared" si="67"/>
        <v>6.0780000000000056</v>
      </c>
      <c r="T113" s="745">
        <f t="shared" si="67"/>
        <v>8.4600000000000026</v>
      </c>
      <c r="U113" s="745">
        <f t="shared" si="67"/>
        <v>3.9239999999999995</v>
      </c>
      <c r="V113" s="745">
        <f t="shared" si="67"/>
        <v>1.2270000000000489</v>
      </c>
      <c r="W113" s="745">
        <f t="shared" si="67"/>
        <v>4.3620000000000028</v>
      </c>
      <c r="X113" s="745">
        <f t="shared" si="67"/>
        <v>4.9070000000000071</v>
      </c>
      <c r="Y113" s="745">
        <f t="shared" si="67"/>
        <v>4.3459999999999974</v>
      </c>
      <c r="Z113" s="745">
        <f t="shared" si="67"/>
        <v>1.1480000000000294</v>
      </c>
      <c r="AA113" s="745">
        <f t="shared" si="67"/>
        <v>0.4810000000000203</v>
      </c>
      <c r="AB113" s="745">
        <f t="shared" si="67"/>
        <v>4.519000000000017</v>
      </c>
      <c r="AC113" s="745">
        <f t="shared" si="67"/>
        <v>3.1020000000000012</v>
      </c>
      <c r="AD113" s="745">
        <f t="shared" si="67"/>
        <v>14.266999999999907</v>
      </c>
      <c r="AE113" s="745">
        <f t="shared" si="67"/>
        <v>-1.9229999999999932</v>
      </c>
      <c r="AF113" s="746">
        <f t="shared" si="67"/>
        <v>-1.7909999999999935</v>
      </c>
      <c r="AG113" s="747">
        <f t="shared" si="67"/>
        <v>0</v>
      </c>
      <c r="AH113" s="747">
        <f t="shared" si="67"/>
        <v>0</v>
      </c>
      <c r="AI113" s="747">
        <f t="shared" si="67"/>
        <v>0</v>
      </c>
      <c r="AJ113" s="747">
        <f t="shared" si="67"/>
        <v>0</v>
      </c>
      <c r="AK113" s="747">
        <f t="shared" si="67"/>
        <v>0</v>
      </c>
      <c r="AL113" s="747">
        <f t="shared" si="67"/>
        <v>0</v>
      </c>
      <c r="AM113" s="747"/>
      <c r="AN113" s="744">
        <f t="shared" ref="AN113:BC113" si="68">AN110-AN111+AN112</f>
        <v>3.3950000000000071</v>
      </c>
      <c r="AO113" s="744">
        <f t="shared" si="68"/>
        <v>20.851999999999993</v>
      </c>
      <c r="AP113" s="744">
        <f t="shared" si="68"/>
        <v>28.390999999999959</v>
      </c>
      <c r="AQ113" s="744">
        <f t="shared" si="68"/>
        <v>35.802000000000007</v>
      </c>
      <c r="AR113" s="744">
        <f t="shared" si="68"/>
        <v>38.488000000000049</v>
      </c>
      <c r="AS113" s="744">
        <f t="shared" si="68"/>
        <v>42.82300000000005</v>
      </c>
      <c r="AT113" s="744">
        <f t="shared" si="68"/>
        <v>29.622999999999958</v>
      </c>
      <c r="AU113" s="744">
        <f t="shared" si="68"/>
        <v>30.034000000000038</v>
      </c>
      <c r="AV113" s="744">
        <f t="shared" si="68"/>
        <v>19.689000000000046</v>
      </c>
      <c r="AW113" s="744">
        <f t="shared" si="68"/>
        <v>14.762999999999993</v>
      </c>
      <c r="AX113" s="935">
        <f t="shared" si="68"/>
        <v>22.368999999999964</v>
      </c>
      <c r="AY113" s="748">
        <f t="shared" si="68"/>
        <v>0</v>
      </c>
      <c r="AZ113" s="748">
        <f t="shared" si="68"/>
        <v>0</v>
      </c>
      <c r="BA113" s="748">
        <f t="shared" si="68"/>
        <v>0</v>
      </c>
      <c r="BB113" s="748">
        <f t="shared" si="68"/>
        <v>0</v>
      </c>
      <c r="BC113" s="748">
        <f t="shared" si="68"/>
        <v>0</v>
      </c>
      <c r="BD113" s="632"/>
    </row>
    <row r="114" spans="1:56" s="39" customFormat="1" hidden="1" outlineLevel="1" x14ac:dyDescent="0.25">
      <c r="A114" s="75" t="s">
        <v>75</v>
      </c>
      <c r="B114" s="171"/>
      <c r="C114" s="723">
        <v>2.5430000000000001</v>
      </c>
      <c r="D114" s="723">
        <v>3.34</v>
      </c>
      <c r="E114" s="723">
        <v>4.1109999999999998</v>
      </c>
      <c r="F114" s="723">
        <f>AR114-C114-D114-E114</f>
        <v>4.7380000000000004</v>
      </c>
      <c r="G114" s="723">
        <v>2.81</v>
      </c>
      <c r="H114" s="723">
        <v>5.6639999999999997</v>
      </c>
      <c r="I114" s="723">
        <v>3.8769999999999998</v>
      </c>
      <c r="J114" s="723">
        <f>AS114-G114-H114-I114</f>
        <v>3.3739999999999997</v>
      </c>
      <c r="K114" s="723">
        <v>2.6360000000000001</v>
      </c>
      <c r="L114" s="723">
        <v>2.6840000000000002</v>
      </c>
      <c r="M114" s="723">
        <v>2.2029999999999998</v>
      </c>
      <c r="N114" s="723">
        <f>AT114-K114-L114-M114</f>
        <v>3.3110000000000004</v>
      </c>
      <c r="O114" s="723">
        <v>2.2069999999999999</v>
      </c>
      <c r="P114" s="723">
        <v>3.056</v>
      </c>
      <c r="Q114" s="723">
        <v>2.8090000000000002</v>
      </c>
      <c r="R114" s="723">
        <f>AU114-O114-P114-Q114</f>
        <v>1.7150000000000007</v>
      </c>
      <c r="S114" s="723">
        <v>1.992</v>
      </c>
      <c r="T114" s="723">
        <v>2.597</v>
      </c>
      <c r="U114" s="723">
        <v>0.64300000000000002</v>
      </c>
      <c r="V114" s="723">
        <f>AV114-SUM(S114,T114,U114)</f>
        <v>1.5659999999999998</v>
      </c>
      <c r="W114" s="723">
        <v>1.73</v>
      </c>
      <c r="X114" s="723">
        <v>1.3320000000000001</v>
      </c>
      <c r="Y114" s="723">
        <v>1.1020000000000001</v>
      </c>
      <c r="Z114" s="723">
        <f>AW114-SUM(W114,X114,Y114)</f>
        <v>0.76299999999999901</v>
      </c>
      <c r="AA114" s="732">
        <v>0.14699999999999999</v>
      </c>
      <c r="AB114" s="723">
        <v>1.3</v>
      </c>
      <c r="AC114" s="723">
        <v>0.96099999999999997</v>
      </c>
      <c r="AD114" s="723">
        <f>AX114-SUM(AA114,AB114,AC114)</f>
        <v>4.7720000000000002</v>
      </c>
      <c r="AE114" s="732">
        <v>-0.629</v>
      </c>
      <c r="AF114" s="727">
        <v>-1.1850000000000001</v>
      </c>
      <c r="AG114" s="737"/>
      <c r="AH114" s="737"/>
      <c r="AI114" s="737"/>
      <c r="AJ114" s="737"/>
      <c r="AK114" s="737"/>
      <c r="AL114" s="737"/>
      <c r="AM114" s="737"/>
      <c r="AN114" s="722">
        <v>4.585</v>
      </c>
      <c r="AO114" s="722">
        <v>8.1199999999999992</v>
      </c>
      <c r="AP114" s="722">
        <v>10.531000000000001</v>
      </c>
      <c r="AQ114" s="722">
        <v>13.114000000000001</v>
      </c>
      <c r="AR114" s="722">
        <v>14.731999999999999</v>
      </c>
      <c r="AS114" s="722">
        <v>15.725</v>
      </c>
      <c r="AT114" s="722">
        <v>10.834</v>
      </c>
      <c r="AU114" s="722">
        <v>9.7870000000000008</v>
      </c>
      <c r="AV114" s="722">
        <v>6.798</v>
      </c>
      <c r="AW114" s="722">
        <v>4.9269999999999996</v>
      </c>
      <c r="AX114" s="927">
        <v>7.18</v>
      </c>
      <c r="AY114" s="738"/>
      <c r="AZ114" s="738"/>
      <c r="BA114" s="738"/>
      <c r="BB114" s="738"/>
      <c r="BC114" s="738"/>
      <c r="BD114" s="631"/>
    </row>
    <row r="115" spans="1:56" s="38" customFormat="1" hidden="1" outlineLevel="1" x14ac:dyDescent="0.25">
      <c r="A115" s="46" t="s">
        <v>76</v>
      </c>
      <c r="B115" s="118"/>
      <c r="C115" s="750">
        <f t="shared" ref="C115:AL115" si="69">C113-C114</f>
        <v>4.9250000000000114</v>
      </c>
      <c r="D115" s="750">
        <f t="shared" si="69"/>
        <v>5.2469999999999946</v>
      </c>
      <c r="E115" s="750">
        <f t="shared" si="69"/>
        <v>6.1430000000000069</v>
      </c>
      <c r="F115" s="750">
        <f t="shared" si="69"/>
        <v>7.4410000000000744</v>
      </c>
      <c r="G115" s="750">
        <f t="shared" si="69"/>
        <v>4.3169999999999895</v>
      </c>
      <c r="H115" s="750">
        <f t="shared" si="69"/>
        <v>8.1130000000000102</v>
      </c>
      <c r="I115" s="750">
        <f t="shared" si="69"/>
        <v>7.2440000000000007</v>
      </c>
      <c r="J115" s="750">
        <f t="shared" si="69"/>
        <v>7.4240000000000892</v>
      </c>
      <c r="K115" s="750">
        <f t="shared" si="69"/>
        <v>4.1070000000000046</v>
      </c>
      <c r="L115" s="750">
        <f t="shared" si="69"/>
        <v>4.7140000000000084</v>
      </c>
      <c r="M115" s="750">
        <f t="shared" si="69"/>
        <v>3.7159999999999997</v>
      </c>
      <c r="N115" s="750">
        <f t="shared" si="69"/>
        <v>6.2519999999999474</v>
      </c>
      <c r="O115" s="750">
        <f t="shared" si="69"/>
        <v>3.800000000000006</v>
      </c>
      <c r="P115" s="750">
        <f t="shared" si="69"/>
        <v>4.9130000000000074</v>
      </c>
      <c r="Q115" s="750">
        <f t="shared" si="69"/>
        <v>4.8019999999999907</v>
      </c>
      <c r="R115" s="750">
        <f t="shared" si="69"/>
        <v>6.732000000000002</v>
      </c>
      <c r="S115" s="750">
        <f t="shared" si="69"/>
        <v>4.0860000000000056</v>
      </c>
      <c r="T115" s="750">
        <f t="shared" si="69"/>
        <v>5.8630000000000031</v>
      </c>
      <c r="U115" s="750">
        <f t="shared" si="69"/>
        <v>3.2809999999999997</v>
      </c>
      <c r="V115" s="750">
        <f t="shared" si="69"/>
        <v>-0.3389999999999509</v>
      </c>
      <c r="W115" s="750">
        <f t="shared" si="69"/>
        <v>2.6320000000000028</v>
      </c>
      <c r="X115" s="750">
        <f t="shared" si="69"/>
        <v>3.5750000000000073</v>
      </c>
      <c r="Y115" s="750">
        <f t="shared" si="69"/>
        <v>3.2439999999999971</v>
      </c>
      <c r="Z115" s="750">
        <f t="shared" si="69"/>
        <v>0.38500000000003043</v>
      </c>
      <c r="AA115" s="750">
        <f t="shared" si="69"/>
        <v>0.33400000000002028</v>
      </c>
      <c r="AB115" s="750">
        <f t="shared" si="69"/>
        <v>3.2190000000000172</v>
      </c>
      <c r="AC115" s="750">
        <f t="shared" si="69"/>
        <v>2.1410000000000013</v>
      </c>
      <c r="AD115" s="750">
        <f t="shared" si="69"/>
        <v>9.4949999999999068</v>
      </c>
      <c r="AE115" s="750">
        <f t="shared" si="69"/>
        <v>-1.2939999999999932</v>
      </c>
      <c r="AF115" s="751">
        <f t="shared" si="69"/>
        <v>-0.60599999999999343</v>
      </c>
      <c r="AG115" s="752">
        <f t="shared" si="69"/>
        <v>0</v>
      </c>
      <c r="AH115" s="752">
        <f t="shared" si="69"/>
        <v>0</v>
      </c>
      <c r="AI115" s="752">
        <f t="shared" si="69"/>
        <v>0</v>
      </c>
      <c r="AJ115" s="752">
        <f t="shared" si="69"/>
        <v>0</v>
      </c>
      <c r="AK115" s="752">
        <f t="shared" si="69"/>
        <v>0</v>
      </c>
      <c r="AL115" s="752">
        <f t="shared" si="69"/>
        <v>0</v>
      </c>
      <c r="AM115" s="752"/>
      <c r="AN115" s="749">
        <f t="shared" ref="AN115:BC115" si="70">AN113-AN114</f>
        <v>-1.1899999999999928</v>
      </c>
      <c r="AO115" s="749">
        <f t="shared" si="70"/>
        <v>12.731999999999994</v>
      </c>
      <c r="AP115" s="749">
        <f t="shared" si="70"/>
        <v>17.859999999999957</v>
      </c>
      <c r="AQ115" s="749">
        <f t="shared" si="70"/>
        <v>22.688000000000006</v>
      </c>
      <c r="AR115" s="749">
        <f t="shared" si="70"/>
        <v>23.75600000000005</v>
      </c>
      <c r="AS115" s="749">
        <f t="shared" si="70"/>
        <v>27.098000000000049</v>
      </c>
      <c r="AT115" s="749">
        <f t="shared" si="70"/>
        <v>18.788999999999959</v>
      </c>
      <c r="AU115" s="749">
        <f t="shared" si="70"/>
        <v>20.247000000000035</v>
      </c>
      <c r="AV115" s="749">
        <f t="shared" si="70"/>
        <v>12.891000000000046</v>
      </c>
      <c r="AW115" s="749">
        <f t="shared" si="70"/>
        <v>9.8359999999999932</v>
      </c>
      <c r="AX115" s="936">
        <f t="shared" si="70"/>
        <v>15.188999999999965</v>
      </c>
      <c r="AY115" s="753">
        <f t="shared" si="70"/>
        <v>0</v>
      </c>
      <c r="AZ115" s="753">
        <f t="shared" si="70"/>
        <v>0</v>
      </c>
      <c r="BA115" s="753">
        <f t="shared" si="70"/>
        <v>0</v>
      </c>
      <c r="BB115" s="753">
        <f t="shared" si="70"/>
        <v>0</v>
      </c>
      <c r="BC115" s="753">
        <f t="shared" si="70"/>
        <v>0</v>
      </c>
      <c r="BD115" s="632"/>
    </row>
    <row r="116" spans="1:56" s="39" customFormat="1" hidden="1" outlineLevel="1" x14ac:dyDescent="0.25">
      <c r="A116" s="75"/>
      <c r="B116" s="171"/>
      <c r="C116" s="723"/>
      <c r="D116" s="723"/>
      <c r="E116" s="723"/>
      <c r="F116" s="723"/>
      <c r="G116" s="723"/>
      <c r="H116" s="723"/>
      <c r="I116" s="723"/>
      <c r="J116" s="723"/>
      <c r="K116" s="723"/>
      <c r="L116" s="723"/>
      <c r="M116" s="723"/>
      <c r="N116" s="723"/>
      <c r="O116" s="723"/>
      <c r="P116" s="723"/>
      <c r="Q116" s="724"/>
      <c r="R116" s="723"/>
      <c r="S116" s="723"/>
      <c r="T116" s="723"/>
      <c r="U116" s="724"/>
      <c r="V116" s="723"/>
      <c r="W116" s="723"/>
      <c r="X116" s="723"/>
      <c r="Y116" s="724"/>
      <c r="Z116" s="723"/>
      <c r="AA116" s="723"/>
      <c r="AB116" s="723"/>
      <c r="AC116" s="724"/>
      <c r="AD116" s="723"/>
      <c r="AE116" s="723"/>
      <c r="AF116" s="727"/>
      <c r="AG116" s="737"/>
      <c r="AH116" s="737"/>
      <c r="AI116" s="737"/>
      <c r="AJ116" s="737"/>
      <c r="AK116" s="737"/>
      <c r="AL116" s="737"/>
      <c r="AM116" s="737"/>
      <c r="AN116" s="722"/>
      <c r="AO116" s="722"/>
      <c r="AP116" s="722"/>
      <c r="AQ116" s="722"/>
      <c r="AR116" s="722"/>
      <c r="AS116" s="722"/>
      <c r="AT116" s="722"/>
      <c r="AU116" s="722"/>
      <c r="AV116" s="722"/>
      <c r="AW116" s="722"/>
      <c r="AX116" s="927"/>
      <c r="AY116" s="738"/>
      <c r="AZ116" s="738"/>
      <c r="BA116" s="738"/>
      <c r="BB116" s="738"/>
      <c r="BC116" s="738"/>
      <c r="BD116" s="631"/>
    </row>
    <row r="117" spans="1:56" s="39" customFormat="1" hidden="1" outlineLevel="1" x14ac:dyDescent="0.25">
      <c r="A117" s="92" t="s">
        <v>77</v>
      </c>
      <c r="B117" s="92"/>
      <c r="C117" s="804">
        <f t="shared" ref="C117:AL117" si="71">IF(ISBLANK(INDEX(MO_IS_FirstRow,0,COLUMN())),0,ROUND(C115-C327,6))</f>
        <v>0</v>
      </c>
      <c r="D117" s="804">
        <f t="shared" si="71"/>
        <v>0</v>
      </c>
      <c r="E117" s="804">
        <f t="shared" si="71"/>
        <v>0</v>
      </c>
      <c r="F117" s="804">
        <f t="shared" si="71"/>
        <v>0</v>
      </c>
      <c r="G117" s="804">
        <f t="shared" si="71"/>
        <v>0</v>
      </c>
      <c r="H117" s="804">
        <f t="shared" si="71"/>
        <v>0</v>
      </c>
      <c r="I117" s="804">
        <f t="shared" si="71"/>
        <v>0</v>
      </c>
      <c r="J117" s="804">
        <f t="shared" si="71"/>
        <v>0</v>
      </c>
      <c r="K117" s="804">
        <f t="shared" si="71"/>
        <v>0</v>
      </c>
      <c r="L117" s="804">
        <f t="shared" si="71"/>
        <v>0</v>
      </c>
      <c r="M117" s="804">
        <f t="shared" si="71"/>
        <v>0</v>
      </c>
      <c r="N117" s="804">
        <f t="shared" si="71"/>
        <v>0</v>
      </c>
      <c r="O117" s="804">
        <f t="shared" si="71"/>
        <v>0</v>
      </c>
      <c r="P117" s="804">
        <f t="shared" si="71"/>
        <v>0</v>
      </c>
      <c r="Q117" s="804">
        <f t="shared" si="71"/>
        <v>0</v>
      </c>
      <c r="R117" s="804">
        <f t="shared" si="71"/>
        <v>0</v>
      </c>
      <c r="S117" s="804">
        <f t="shared" si="71"/>
        <v>0</v>
      </c>
      <c r="T117" s="804">
        <f t="shared" si="71"/>
        <v>0</v>
      </c>
      <c r="U117" s="804">
        <f t="shared" si="71"/>
        <v>0</v>
      </c>
      <c r="V117" s="804">
        <f t="shared" si="71"/>
        <v>0</v>
      </c>
      <c r="W117" s="804">
        <f t="shared" si="71"/>
        <v>0</v>
      </c>
      <c r="X117" s="804">
        <f t="shared" si="71"/>
        <v>0</v>
      </c>
      <c r="Y117" s="804">
        <f t="shared" si="71"/>
        <v>0</v>
      </c>
      <c r="Z117" s="804">
        <f t="shared" si="71"/>
        <v>0</v>
      </c>
      <c r="AA117" s="804">
        <f t="shared" si="71"/>
        <v>0</v>
      </c>
      <c r="AB117" s="804">
        <f t="shared" si="71"/>
        <v>0</v>
      </c>
      <c r="AC117" s="804">
        <f t="shared" si="71"/>
        <v>0</v>
      </c>
      <c r="AD117" s="804">
        <f t="shared" si="71"/>
        <v>0</v>
      </c>
      <c r="AE117" s="804">
        <f t="shared" si="71"/>
        <v>0</v>
      </c>
      <c r="AF117" s="805">
        <f t="shared" si="71"/>
        <v>0</v>
      </c>
      <c r="AG117" s="806">
        <f t="shared" si="71"/>
        <v>0</v>
      </c>
      <c r="AH117" s="806">
        <f t="shared" si="71"/>
        <v>0</v>
      </c>
      <c r="AI117" s="806">
        <f t="shared" si="71"/>
        <v>0</v>
      </c>
      <c r="AJ117" s="806">
        <f t="shared" si="71"/>
        <v>0</v>
      </c>
      <c r="AK117" s="806">
        <f t="shared" si="71"/>
        <v>0</v>
      </c>
      <c r="AL117" s="806">
        <f t="shared" si="71"/>
        <v>0</v>
      </c>
      <c r="AM117" s="806"/>
      <c r="AN117" s="804">
        <f t="shared" ref="AN117:BC117" si="72">IF(ISBLANK(INDEX(MO_IS_FirstRow,0,COLUMN())),0,ROUND(AN115-AN327,6))</f>
        <v>0</v>
      </c>
      <c r="AO117" s="804">
        <f t="shared" si="72"/>
        <v>0</v>
      </c>
      <c r="AP117" s="804">
        <f t="shared" si="72"/>
        <v>0</v>
      </c>
      <c r="AQ117" s="804">
        <f t="shared" si="72"/>
        <v>0</v>
      </c>
      <c r="AR117" s="804">
        <f t="shared" si="72"/>
        <v>0</v>
      </c>
      <c r="AS117" s="804">
        <f t="shared" si="72"/>
        <v>0</v>
      </c>
      <c r="AT117" s="804">
        <f t="shared" si="72"/>
        <v>0</v>
      </c>
      <c r="AU117" s="804">
        <f t="shared" si="72"/>
        <v>0</v>
      </c>
      <c r="AV117" s="804">
        <f t="shared" si="72"/>
        <v>0</v>
      </c>
      <c r="AW117" s="804">
        <f t="shared" si="72"/>
        <v>0</v>
      </c>
      <c r="AX117" s="805">
        <f t="shared" si="72"/>
        <v>0</v>
      </c>
      <c r="AY117" s="806">
        <f t="shared" si="72"/>
        <v>0</v>
      </c>
      <c r="AZ117" s="806">
        <f t="shared" si="72"/>
        <v>0</v>
      </c>
      <c r="BA117" s="806">
        <f t="shared" si="72"/>
        <v>0</v>
      </c>
      <c r="BB117" s="806">
        <f t="shared" si="72"/>
        <v>0</v>
      </c>
      <c r="BC117" s="806">
        <f t="shared" si="72"/>
        <v>0</v>
      </c>
      <c r="BD117" s="631"/>
    </row>
    <row r="118" spans="1:56" s="39" customFormat="1" collapsed="1" x14ac:dyDescent="0.25">
      <c r="A118" s="75"/>
      <c r="B118" s="171"/>
      <c r="C118" s="723"/>
      <c r="D118" s="723"/>
      <c r="E118" s="723"/>
      <c r="F118" s="723"/>
      <c r="G118" s="723"/>
      <c r="H118" s="723"/>
      <c r="I118" s="723"/>
      <c r="J118" s="723"/>
      <c r="K118" s="723"/>
      <c r="L118" s="723"/>
      <c r="M118" s="723"/>
      <c r="N118" s="723"/>
      <c r="O118" s="723"/>
      <c r="P118" s="723"/>
      <c r="Q118" s="724"/>
      <c r="R118" s="723"/>
      <c r="S118" s="723"/>
      <c r="T118" s="723"/>
      <c r="U118" s="724"/>
      <c r="V118" s="723"/>
      <c r="W118" s="723"/>
      <c r="X118" s="723"/>
      <c r="Y118" s="724"/>
      <c r="Z118" s="723"/>
      <c r="AA118" s="723"/>
      <c r="AB118" s="723"/>
      <c r="AC118" s="724"/>
      <c r="AD118" s="723"/>
      <c r="AE118" s="723"/>
      <c r="AF118" s="727"/>
      <c r="AG118" s="737"/>
      <c r="AH118" s="737"/>
      <c r="AI118" s="737"/>
      <c r="AJ118" s="737"/>
      <c r="AK118" s="737"/>
      <c r="AL118" s="737"/>
      <c r="AM118" s="737"/>
      <c r="AN118" s="722"/>
      <c r="AO118" s="722"/>
      <c r="AP118" s="722"/>
      <c r="AQ118" s="722"/>
      <c r="AR118" s="722"/>
      <c r="AS118" s="722"/>
      <c r="AT118" s="722"/>
      <c r="AU118" s="722"/>
      <c r="AV118" s="722"/>
      <c r="AW118" s="722"/>
      <c r="AX118" s="927"/>
      <c r="AY118" s="738"/>
      <c r="AZ118" s="738"/>
      <c r="BA118" s="738"/>
      <c r="BB118" s="738"/>
      <c r="BC118" s="738"/>
      <c r="BD118" s="631"/>
    </row>
    <row r="119" spans="1:56" s="38" customFormat="1" x14ac:dyDescent="0.25">
      <c r="A119" s="626" t="s">
        <v>78</v>
      </c>
      <c r="B119" s="626"/>
      <c r="C119" s="719"/>
      <c r="D119" s="719"/>
      <c r="E119" s="719"/>
      <c r="F119" s="719"/>
      <c r="G119" s="719"/>
      <c r="H119" s="719"/>
      <c r="I119" s="719"/>
      <c r="J119" s="719"/>
      <c r="K119" s="719"/>
      <c r="L119" s="719"/>
      <c r="M119" s="719"/>
      <c r="N119" s="719"/>
      <c r="O119" s="719"/>
      <c r="P119" s="719"/>
      <c r="Q119" s="719"/>
      <c r="R119" s="719"/>
      <c r="S119" s="719"/>
      <c r="T119" s="719"/>
      <c r="U119" s="719"/>
      <c r="V119" s="719"/>
      <c r="W119" s="719"/>
      <c r="X119" s="719"/>
      <c r="Y119" s="719"/>
      <c r="Z119" s="719"/>
      <c r="AA119" s="719"/>
      <c r="AB119" s="719"/>
      <c r="AC119" s="719"/>
      <c r="AD119" s="719"/>
      <c r="AE119" s="719"/>
      <c r="AF119" s="720"/>
      <c r="AG119" s="721"/>
      <c r="AH119" s="721"/>
      <c r="AI119" s="721"/>
      <c r="AJ119" s="721"/>
      <c r="AK119" s="721"/>
      <c r="AL119" s="721"/>
      <c r="AM119" s="721"/>
      <c r="AN119" s="719"/>
      <c r="AO119" s="719"/>
      <c r="AP119" s="719"/>
      <c r="AQ119" s="719"/>
      <c r="AR119" s="719"/>
      <c r="AS119" s="719"/>
      <c r="AT119" s="719"/>
      <c r="AU119" s="719"/>
      <c r="AV119" s="719"/>
      <c r="AW119" s="719"/>
      <c r="AX119" s="720"/>
      <c r="AY119" s="721"/>
      <c r="AZ119" s="721"/>
      <c r="BA119" s="721"/>
      <c r="BB119" s="721"/>
      <c r="BC119" s="721"/>
      <c r="BD119" s="632"/>
    </row>
    <row r="120" spans="1:56" s="38" customFormat="1" hidden="1" outlineLevel="1" x14ac:dyDescent="0.25">
      <c r="A120" s="162" t="s">
        <v>76</v>
      </c>
      <c r="B120" s="187"/>
      <c r="C120" s="740">
        <f t="shared" ref="C120:U120" si="73">C115</f>
        <v>4.9250000000000114</v>
      </c>
      <c r="D120" s="740">
        <f t="shared" si="73"/>
        <v>5.2469999999999946</v>
      </c>
      <c r="E120" s="740">
        <f t="shared" si="73"/>
        <v>6.1430000000000069</v>
      </c>
      <c r="F120" s="740">
        <f t="shared" si="73"/>
        <v>7.4410000000000744</v>
      </c>
      <c r="G120" s="740">
        <f t="shared" si="73"/>
        <v>4.3169999999999895</v>
      </c>
      <c r="H120" s="740">
        <f t="shared" si="73"/>
        <v>8.1130000000000102</v>
      </c>
      <c r="I120" s="740">
        <f t="shared" si="73"/>
        <v>7.2440000000000007</v>
      </c>
      <c r="J120" s="740">
        <f t="shared" si="73"/>
        <v>7.4240000000000892</v>
      </c>
      <c r="K120" s="740">
        <f t="shared" si="73"/>
        <v>4.1070000000000046</v>
      </c>
      <c r="L120" s="740">
        <f t="shared" si="73"/>
        <v>4.7140000000000084</v>
      </c>
      <c r="M120" s="740">
        <f t="shared" si="73"/>
        <v>3.7159999999999997</v>
      </c>
      <c r="N120" s="740">
        <f t="shared" si="73"/>
        <v>6.2519999999999474</v>
      </c>
      <c r="O120" s="740">
        <f t="shared" si="73"/>
        <v>3.800000000000006</v>
      </c>
      <c r="P120" s="740">
        <f t="shared" si="73"/>
        <v>4.9130000000000074</v>
      </c>
      <c r="Q120" s="754">
        <f t="shared" si="73"/>
        <v>4.8019999999999907</v>
      </c>
      <c r="R120" s="740">
        <f t="shared" si="73"/>
        <v>6.732000000000002</v>
      </c>
      <c r="S120" s="740">
        <f t="shared" si="73"/>
        <v>4.0860000000000056</v>
      </c>
      <c r="T120" s="740">
        <f t="shared" si="73"/>
        <v>5.8630000000000031</v>
      </c>
      <c r="U120" s="754">
        <f t="shared" si="73"/>
        <v>3.2809999999999997</v>
      </c>
      <c r="V120" s="740">
        <v>-0.33900000000000002</v>
      </c>
      <c r="W120" s="740">
        <f t="shared" ref="W120:AF120" si="74">W115</f>
        <v>2.6320000000000028</v>
      </c>
      <c r="X120" s="740">
        <f t="shared" si="74"/>
        <v>3.5750000000000073</v>
      </c>
      <c r="Y120" s="754">
        <f t="shared" si="74"/>
        <v>3.2439999999999971</v>
      </c>
      <c r="Z120" s="740">
        <f t="shared" si="74"/>
        <v>0.38500000000003043</v>
      </c>
      <c r="AA120" s="740">
        <f t="shared" si="74"/>
        <v>0.33400000000002028</v>
      </c>
      <c r="AB120" s="740">
        <f t="shared" si="74"/>
        <v>3.2190000000000172</v>
      </c>
      <c r="AC120" s="754">
        <f t="shared" si="74"/>
        <v>2.1410000000000013</v>
      </c>
      <c r="AD120" s="740">
        <f t="shared" si="74"/>
        <v>9.4949999999999068</v>
      </c>
      <c r="AE120" s="740">
        <f t="shared" si="74"/>
        <v>-1.2939999999999932</v>
      </c>
      <c r="AF120" s="741">
        <f t="shared" si="74"/>
        <v>-0.60599999999999343</v>
      </c>
      <c r="AG120" s="742"/>
      <c r="AH120" s="742"/>
      <c r="AI120" s="742"/>
      <c r="AJ120" s="742"/>
      <c r="AK120" s="742"/>
      <c r="AL120" s="742"/>
      <c r="AM120" s="742"/>
      <c r="AN120" s="739">
        <f t="shared" ref="AN120:AU120" si="75">AN115</f>
        <v>-1.1899999999999928</v>
      </c>
      <c r="AO120" s="739">
        <f t="shared" si="75"/>
        <v>12.731999999999994</v>
      </c>
      <c r="AP120" s="739">
        <f t="shared" si="75"/>
        <v>17.859999999999957</v>
      </c>
      <c r="AQ120" s="739">
        <f t="shared" si="75"/>
        <v>22.688000000000006</v>
      </c>
      <c r="AR120" s="739">
        <f t="shared" si="75"/>
        <v>23.75600000000005</v>
      </c>
      <c r="AS120" s="739">
        <f t="shared" si="75"/>
        <v>27.098000000000049</v>
      </c>
      <c r="AT120" s="739">
        <f t="shared" si="75"/>
        <v>18.788999999999959</v>
      </c>
      <c r="AU120" s="739">
        <f t="shared" si="75"/>
        <v>20.247000000000035</v>
      </c>
      <c r="AV120" s="739">
        <v>12.891</v>
      </c>
      <c r="AW120" s="739">
        <f>AW115</f>
        <v>9.8359999999999932</v>
      </c>
      <c r="AX120" s="934">
        <f>AX115</f>
        <v>15.188999999999965</v>
      </c>
      <c r="AY120" s="743"/>
      <c r="AZ120" s="743"/>
      <c r="BA120" s="743"/>
      <c r="BB120" s="743"/>
      <c r="BC120" s="743"/>
      <c r="BD120" s="632"/>
    </row>
    <row r="121" spans="1:56" s="39" customFormat="1" hidden="1" outlineLevel="1" x14ac:dyDescent="0.25">
      <c r="A121" s="75" t="s">
        <v>72</v>
      </c>
      <c r="B121" s="171"/>
      <c r="C121" s="723">
        <v>0.1</v>
      </c>
      <c r="D121" s="723">
        <v>6.6000000000000003E-2</v>
      </c>
      <c r="E121" s="723">
        <v>0.09</v>
      </c>
      <c r="F121" s="723">
        <v>0.11</v>
      </c>
      <c r="G121" s="723">
        <v>0.20499999999999999</v>
      </c>
      <c r="H121" s="723">
        <v>7.6999999999999999E-2</v>
      </c>
      <c r="I121" s="723">
        <v>0.11700000000000001</v>
      </c>
      <c r="J121" s="723">
        <v>0.434</v>
      </c>
      <c r="K121" s="723">
        <v>0.36499999999999999</v>
      </c>
      <c r="L121" s="723">
        <v>0.30599999999999999</v>
      </c>
      <c r="M121" s="723">
        <v>0.34</v>
      </c>
      <c r="N121" s="723">
        <v>0.37</v>
      </c>
      <c r="O121" s="723">
        <v>0.245</v>
      </c>
      <c r="P121" s="723">
        <v>0.35899999999999999</v>
      </c>
      <c r="Q121" s="724">
        <v>0.36599999999999999</v>
      </c>
      <c r="R121" s="723">
        <v>0.59799999999999998</v>
      </c>
      <c r="S121" s="723">
        <v>0.438</v>
      </c>
      <c r="T121" s="723">
        <v>0.53400000000000003</v>
      </c>
      <c r="U121" s="724">
        <v>0.51100000000000001</v>
      </c>
      <c r="V121" s="723">
        <v>1.649</v>
      </c>
      <c r="W121" s="723">
        <v>0.68600000000000005</v>
      </c>
      <c r="X121" s="723">
        <v>-0.15</v>
      </c>
      <c r="Y121" s="724">
        <v>1.095</v>
      </c>
      <c r="Z121" s="723">
        <v>1.3139999999999998</v>
      </c>
      <c r="AA121" s="723">
        <v>1.5980000000000001</v>
      </c>
      <c r="AB121" s="723">
        <v>1.679</v>
      </c>
      <c r="AC121" s="724">
        <v>1.575</v>
      </c>
      <c r="AD121" s="723">
        <v>1.2059999999999995</v>
      </c>
      <c r="AE121" s="723">
        <v>0.97799999999999998</v>
      </c>
      <c r="AF121" s="727">
        <v>0.60699999999999998</v>
      </c>
      <c r="AG121" s="737"/>
      <c r="AH121" s="737"/>
      <c r="AI121" s="737"/>
      <c r="AJ121" s="737"/>
      <c r="AK121" s="737"/>
      <c r="AL121" s="737"/>
      <c r="AM121" s="737"/>
      <c r="AN121" s="722">
        <v>0.217</v>
      </c>
      <c r="AO121" s="722">
        <v>0.23599999999999999</v>
      </c>
      <c r="AP121" s="722">
        <v>0.20899999999999999</v>
      </c>
      <c r="AQ121" s="722">
        <v>0.26900000000000002</v>
      </c>
      <c r="AR121" s="722">
        <v>0.36599999999999999</v>
      </c>
      <c r="AS121" s="722">
        <v>0.83299999999999996</v>
      </c>
      <c r="AT121" s="722">
        <v>1.381</v>
      </c>
      <c r="AU121" s="722">
        <v>1.5680000000000001</v>
      </c>
      <c r="AV121" s="722">
        <v>3.1320000000000001</v>
      </c>
      <c r="AW121" s="722">
        <v>2.9449999999999998</v>
      </c>
      <c r="AX121" s="927">
        <v>6.0579999999999998</v>
      </c>
      <c r="AY121" s="738"/>
      <c r="AZ121" s="738"/>
      <c r="BA121" s="738"/>
      <c r="BB121" s="738"/>
      <c r="BC121" s="738"/>
      <c r="BD121" s="631"/>
    </row>
    <row r="122" spans="1:56" s="39" customFormat="1" hidden="1" outlineLevel="1" x14ac:dyDescent="0.25">
      <c r="A122" s="75" t="s">
        <v>75</v>
      </c>
      <c r="B122" s="171"/>
      <c r="C122" s="723">
        <v>2.5430000000000001</v>
      </c>
      <c r="D122" s="723">
        <v>3.34</v>
      </c>
      <c r="E122" s="723">
        <v>4.1109999999999998</v>
      </c>
      <c r="F122" s="723">
        <v>4.7380000000000004</v>
      </c>
      <c r="G122" s="723">
        <v>2.81</v>
      </c>
      <c r="H122" s="723">
        <v>5.6639999999999997</v>
      </c>
      <c r="I122" s="723">
        <v>3.8769999999999998</v>
      </c>
      <c r="J122" s="723">
        <v>3.3740000000000001</v>
      </c>
      <c r="K122" s="723">
        <v>2.6360000000000001</v>
      </c>
      <c r="L122" s="723">
        <v>2.6840000000000002</v>
      </c>
      <c r="M122" s="723">
        <v>2.2029999999999998</v>
      </c>
      <c r="N122" s="723">
        <v>3.3109999999999999</v>
      </c>
      <c r="O122" s="723">
        <v>2.2069999999999999</v>
      </c>
      <c r="P122" s="723">
        <v>3.056</v>
      </c>
      <c r="Q122" s="724">
        <v>2.8090000000000002</v>
      </c>
      <c r="R122" s="723">
        <v>1.7150000000000001</v>
      </c>
      <c r="S122" s="723">
        <v>1.992</v>
      </c>
      <c r="T122" s="723">
        <v>2.597</v>
      </c>
      <c r="U122" s="724">
        <v>0.64300000000000002</v>
      </c>
      <c r="V122" s="723">
        <v>1.5660000000000001</v>
      </c>
      <c r="W122" s="723">
        <v>1.73</v>
      </c>
      <c r="X122" s="723">
        <v>1.3320000000000001</v>
      </c>
      <c r="Y122" s="724">
        <v>1.1020000000000001</v>
      </c>
      <c r="Z122" s="723">
        <v>0.76299999999999901</v>
      </c>
      <c r="AA122" s="723">
        <v>0.14699999999999999</v>
      </c>
      <c r="AB122" s="723">
        <v>1.3</v>
      </c>
      <c r="AC122" s="724">
        <v>0.96099999999999997</v>
      </c>
      <c r="AD122" s="723">
        <v>4.7720000000000002</v>
      </c>
      <c r="AE122" s="723">
        <v>-0.629</v>
      </c>
      <c r="AF122" s="727">
        <v>-1.1850000000000001</v>
      </c>
      <c r="AG122" s="737"/>
      <c r="AH122" s="737"/>
      <c r="AI122" s="737"/>
      <c r="AJ122" s="737"/>
      <c r="AK122" s="737"/>
      <c r="AL122" s="737"/>
      <c r="AM122" s="737"/>
      <c r="AN122" s="722">
        <v>4.585</v>
      </c>
      <c r="AO122" s="722">
        <v>8.1199999999999992</v>
      </c>
      <c r="AP122" s="722">
        <v>10.531000000000001</v>
      </c>
      <c r="AQ122" s="722">
        <v>13.114000000000001</v>
      </c>
      <c r="AR122" s="722">
        <v>14.731999999999999</v>
      </c>
      <c r="AS122" s="722">
        <v>15.725</v>
      </c>
      <c r="AT122" s="722">
        <v>10.834</v>
      </c>
      <c r="AU122" s="722">
        <v>9.7870000000000008</v>
      </c>
      <c r="AV122" s="722">
        <v>6.798</v>
      </c>
      <c r="AW122" s="722">
        <v>4.9269999999999996</v>
      </c>
      <c r="AX122" s="927">
        <v>7.18</v>
      </c>
      <c r="AY122" s="738"/>
      <c r="AZ122" s="738"/>
      <c r="BA122" s="738"/>
      <c r="BB122" s="738"/>
      <c r="BC122" s="738"/>
      <c r="BD122" s="631"/>
    </row>
    <row r="123" spans="1:56" s="39" customFormat="1" hidden="1" outlineLevel="1" x14ac:dyDescent="0.25">
      <c r="A123" s="75" t="s">
        <v>79</v>
      </c>
      <c r="B123" s="171"/>
      <c r="C123" s="723">
        <v>1.958</v>
      </c>
      <c r="D123" s="723">
        <v>1.992</v>
      </c>
      <c r="E123" s="723">
        <v>2.3050000000000002</v>
      </c>
      <c r="F123" s="723">
        <v>2.3620000000000001</v>
      </c>
      <c r="G123" s="723">
        <v>2.4079999999999999</v>
      </c>
      <c r="H123" s="723">
        <v>2.5430000000000001</v>
      </c>
      <c r="I123" s="723">
        <v>2.5259999999999998</v>
      </c>
      <c r="J123" s="723">
        <v>2.2810000000000001</v>
      </c>
      <c r="K123" s="723">
        <v>2.0680000000000001</v>
      </c>
      <c r="L123" s="723">
        <v>1.984</v>
      </c>
      <c r="M123" s="723">
        <v>1.962</v>
      </c>
      <c r="N123" s="723">
        <v>1.851</v>
      </c>
      <c r="O123" s="723">
        <v>1.7649999999999999</v>
      </c>
      <c r="P123" s="723">
        <v>1.71</v>
      </c>
      <c r="Q123" s="724">
        <v>1.494</v>
      </c>
      <c r="R123" s="723">
        <v>1.4930000000000001</v>
      </c>
      <c r="S123" s="723">
        <v>1.4430000000000001</v>
      </c>
      <c r="T123" s="723">
        <v>1.7629999999999999</v>
      </c>
      <c r="U123" s="724">
        <v>1.9470000000000001</v>
      </c>
      <c r="V123" s="723">
        <v>1.821</v>
      </c>
      <c r="W123" s="723">
        <v>1.8420000000000001</v>
      </c>
      <c r="X123" s="723">
        <v>1.919</v>
      </c>
      <c r="Y123" s="724">
        <v>1.909</v>
      </c>
      <c r="Z123" s="723">
        <v>2.2510000000000003</v>
      </c>
      <c r="AA123" s="723">
        <v>2.3410000000000002</v>
      </c>
      <c r="AB123" s="723">
        <v>2.3159999999999998</v>
      </c>
      <c r="AC123" s="724">
        <v>2.335</v>
      </c>
      <c r="AD123" s="723">
        <v>2.4899999999999993</v>
      </c>
      <c r="AE123" s="723">
        <v>2.177</v>
      </c>
      <c r="AF123" s="727">
        <v>2.077</v>
      </c>
      <c r="AG123" s="737"/>
      <c r="AH123" s="737"/>
      <c r="AI123" s="737"/>
      <c r="AJ123" s="737"/>
      <c r="AK123" s="737"/>
      <c r="AL123" s="737"/>
      <c r="AM123" s="737"/>
      <c r="AN123" s="722">
        <v>3.38</v>
      </c>
      <c r="AO123" s="722">
        <v>4.2300000000000004</v>
      </c>
      <c r="AP123" s="722">
        <v>6.1870000000000003</v>
      </c>
      <c r="AQ123" s="722">
        <v>7.9710000000000001</v>
      </c>
      <c r="AR123" s="722">
        <v>8.6170000000000009</v>
      </c>
      <c r="AS123" s="722">
        <v>9.7579999999999991</v>
      </c>
      <c r="AT123" s="722">
        <v>7.8650000000000002</v>
      </c>
      <c r="AU123" s="722">
        <v>6.4619999999999997</v>
      </c>
      <c r="AV123" s="722">
        <v>6.9740000000000002</v>
      </c>
      <c r="AW123" s="722">
        <v>7.9210000000000003</v>
      </c>
      <c r="AX123" s="927">
        <v>9.4819999999999993</v>
      </c>
      <c r="AY123" s="738"/>
      <c r="AZ123" s="738"/>
      <c r="BA123" s="738"/>
      <c r="BB123" s="738"/>
      <c r="BC123" s="738"/>
      <c r="BD123" s="631"/>
    </row>
    <row r="124" spans="1:56" s="39" customFormat="1" hidden="1" outlineLevel="1" x14ac:dyDescent="0.25">
      <c r="A124" s="75" t="s">
        <v>80</v>
      </c>
      <c r="B124" s="171"/>
      <c r="C124" s="723">
        <v>0</v>
      </c>
      <c r="D124" s="723">
        <v>0</v>
      </c>
      <c r="E124" s="723">
        <v>0</v>
      </c>
      <c r="F124" s="723">
        <v>0</v>
      </c>
      <c r="G124" s="723">
        <v>0</v>
      </c>
      <c r="H124" s="723">
        <v>0</v>
      </c>
      <c r="I124" s="723">
        <v>0</v>
      </c>
      <c r="J124" s="723">
        <v>0</v>
      </c>
      <c r="K124" s="723">
        <v>0</v>
      </c>
      <c r="L124" s="723">
        <v>0</v>
      </c>
      <c r="M124" s="723">
        <v>0</v>
      </c>
      <c r="N124" s="723">
        <v>0</v>
      </c>
      <c r="O124" s="723">
        <v>0</v>
      </c>
      <c r="P124" s="723">
        <v>0</v>
      </c>
      <c r="Q124" s="724"/>
      <c r="R124" s="723"/>
      <c r="S124" s="723"/>
      <c r="T124" s="723"/>
      <c r="U124" s="724"/>
      <c r="V124" s="723"/>
      <c r="W124" s="723"/>
      <c r="X124" s="723"/>
      <c r="Y124" s="724"/>
      <c r="Z124" s="723"/>
      <c r="AA124" s="723"/>
      <c r="AB124" s="723"/>
      <c r="AC124" s="724"/>
      <c r="AD124" s="723"/>
      <c r="AE124" s="723"/>
      <c r="AF124" s="727"/>
      <c r="AG124" s="737"/>
      <c r="AH124" s="737"/>
      <c r="AI124" s="737"/>
      <c r="AJ124" s="737"/>
      <c r="AK124" s="737"/>
      <c r="AL124" s="737"/>
      <c r="AM124" s="737"/>
      <c r="AN124" s="722">
        <v>10.163</v>
      </c>
      <c r="AO124" s="722">
        <v>0</v>
      </c>
      <c r="AP124" s="722">
        <v>0</v>
      </c>
      <c r="AQ124" s="722">
        <v>0</v>
      </c>
      <c r="AR124" s="722">
        <v>0</v>
      </c>
      <c r="AS124" s="722">
        <v>0</v>
      </c>
      <c r="AT124" s="722">
        <v>0</v>
      </c>
      <c r="AU124" s="722"/>
      <c r="AV124" s="722"/>
      <c r="AW124" s="722"/>
      <c r="AX124" s="927"/>
      <c r="AY124" s="738"/>
      <c r="AZ124" s="738"/>
      <c r="BA124" s="738"/>
      <c r="BB124" s="738"/>
      <c r="BC124" s="738"/>
      <c r="BD124" s="631"/>
    </row>
    <row r="125" spans="1:56" s="38" customFormat="1" hidden="1" outlineLevel="1" x14ac:dyDescent="0.25">
      <c r="A125" s="40" t="s">
        <v>81</v>
      </c>
      <c r="B125" s="117"/>
      <c r="C125" s="745">
        <f t="shared" ref="C125:AF125" si="76">SUM(C120:C124)</f>
        <v>9.5260000000000105</v>
      </c>
      <c r="D125" s="745">
        <f t="shared" si="76"/>
        <v>10.644999999999996</v>
      </c>
      <c r="E125" s="745">
        <f t="shared" si="76"/>
        <v>12.649000000000006</v>
      </c>
      <c r="F125" s="745">
        <f t="shared" si="76"/>
        <v>14.651000000000076</v>
      </c>
      <c r="G125" s="745">
        <f t="shared" si="76"/>
        <v>9.7399999999999896</v>
      </c>
      <c r="H125" s="745">
        <f t="shared" si="76"/>
        <v>16.397000000000009</v>
      </c>
      <c r="I125" s="745">
        <f t="shared" si="76"/>
        <v>13.763999999999999</v>
      </c>
      <c r="J125" s="745">
        <f t="shared" si="76"/>
        <v>13.51300000000009</v>
      </c>
      <c r="K125" s="745">
        <f t="shared" si="76"/>
        <v>9.1760000000000055</v>
      </c>
      <c r="L125" s="745">
        <f t="shared" si="76"/>
        <v>9.6880000000000095</v>
      </c>
      <c r="M125" s="745">
        <f t="shared" si="76"/>
        <v>8.2210000000000001</v>
      </c>
      <c r="N125" s="745">
        <f t="shared" si="76"/>
        <v>11.783999999999946</v>
      </c>
      <c r="O125" s="745">
        <f t="shared" si="76"/>
        <v>8.0170000000000066</v>
      </c>
      <c r="P125" s="745">
        <f t="shared" si="76"/>
        <v>10.038000000000007</v>
      </c>
      <c r="Q125" s="755">
        <f t="shared" si="76"/>
        <v>9.4709999999999912</v>
      </c>
      <c r="R125" s="745">
        <f t="shared" si="76"/>
        <v>10.538000000000002</v>
      </c>
      <c r="S125" s="745">
        <f t="shared" si="76"/>
        <v>7.959000000000005</v>
      </c>
      <c r="T125" s="745">
        <f t="shared" si="76"/>
        <v>10.757000000000003</v>
      </c>
      <c r="U125" s="755">
        <f t="shared" si="76"/>
        <v>6.3819999999999997</v>
      </c>
      <c r="V125" s="755">
        <f t="shared" si="76"/>
        <v>4.6970000000000001</v>
      </c>
      <c r="W125" s="745">
        <f t="shared" si="76"/>
        <v>6.8900000000000023</v>
      </c>
      <c r="X125" s="745">
        <f t="shared" si="76"/>
        <v>6.6760000000000073</v>
      </c>
      <c r="Y125" s="755">
        <f t="shared" si="76"/>
        <v>7.349999999999997</v>
      </c>
      <c r="Z125" s="755">
        <f t="shared" si="76"/>
        <v>4.7130000000000294</v>
      </c>
      <c r="AA125" s="745">
        <f t="shared" si="76"/>
        <v>4.4200000000000204</v>
      </c>
      <c r="AB125" s="745">
        <f t="shared" si="76"/>
        <v>8.5140000000000171</v>
      </c>
      <c r="AC125" s="755">
        <f t="shared" si="76"/>
        <v>7.0120000000000013</v>
      </c>
      <c r="AD125" s="755">
        <f t="shared" si="76"/>
        <v>17.962999999999905</v>
      </c>
      <c r="AE125" s="745">
        <f t="shared" si="76"/>
        <v>1.2320000000000069</v>
      </c>
      <c r="AF125" s="746">
        <f t="shared" si="76"/>
        <v>0.89300000000000646</v>
      </c>
      <c r="AG125" s="745"/>
      <c r="AH125" s="745"/>
      <c r="AI125" s="745"/>
      <c r="AJ125" s="745"/>
      <c r="AK125" s="745"/>
      <c r="AL125" s="745"/>
      <c r="AM125" s="745"/>
      <c r="AN125" s="744">
        <f t="shared" ref="AN125:AX125" si="77">SUM(AN120:AN124)</f>
        <v>17.155000000000008</v>
      </c>
      <c r="AO125" s="744">
        <f t="shared" si="77"/>
        <v>25.317999999999994</v>
      </c>
      <c r="AP125" s="744">
        <f t="shared" si="77"/>
        <v>34.786999999999956</v>
      </c>
      <c r="AQ125" s="744">
        <f t="shared" si="77"/>
        <v>44.042000000000002</v>
      </c>
      <c r="AR125" s="744">
        <f t="shared" si="77"/>
        <v>47.471000000000046</v>
      </c>
      <c r="AS125" s="744">
        <f t="shared" si="77"/>
        <v>53.414000000000044</v>
      </c>
      <c r="AT125" s="744">
        <f t="shared" si="77"/>
        <v>38.868999999999957</v>
      </c>
      <c r="AU125" s="744">
        <f t="shared" si="77"/>
        <v>38.064000000000036</v>
      </c>
      <c r="AV125" s="744">
        <f t="shared" si="77"/>
        <v>29.794999999999998</v>
      </c>
      <c r="AW125" s="744">
        <f t="shared" si="77"/>
        <v>25.628999999999991</v>
      </c>
      <c r="AX125" s="935">
        <f t="shared" si="77"/>
        <v>37.908999999999963</v>
      </c>
      <c r="AY125" s="744"/>
      <c r="AZ125" s="744"/>
      <c r="BA125" s="744"/>
      <c r="BB125" s="744"/>
      <c r="BC125" s="744"/>
      <c r="BD125" s="632"/>
    </row>
    <row r="126" spans="1:56" s="39" customFormat="1" hidden="1" outlineLevel="1" x14ac:dyDescent="0.25">
      <c r="A126" s="75" t="s">
        <v>82</v>
      </c>
      <c r="B126" s="171"/>
      <c r="C126" s="723"/>
      <c r="D126" s="723"/>
      <c r="E126" s="723"/>
      <c r="F126" s="723"/>
      <c r="G126" s="723"/>
      <c r="H126" s="723"/>
      <c r="I126" s="723"/>
      <c r="J126" s="723"/>
      <c r="K126" s="723"/>
      <c r="L126" s="723"/>
      <c r="M126" s="723"/>
      <c r="N126" s="723"/>
      <c r="O126" s="723"/>
      <c r="P126" s="723"/>
      <c r="Q126" s="724"/>
      <c r="R126" s="723">
        <v>1.5589999999999999</v>
      </c>
      <c r="S126" s="723">
        <f>3.192-T126</f>
        <v>1.4580000000000002</v>
      </c>
      <c r="T126" s="723">
        <v>1.734</v>
      </c>
      <c r="U126" s="724">
        <v>1.6839999999999999</v>
      </c>
      <c r="V126" s="723">
        <v>1.4379999999999999</v>
      </c>
      <c r="W126" s="723">
        <v>1.409</v>
      </c>
      <c r="X126" s="723">
        <v>1.125</v>
      </c>
      <c r="Y126" s="724">
        <v>0.96699999999999997</v>
      </c>
      <c r="Z126" s="723">
        <v>0.80900000000000005</v>
      </c>
      <c r="AA126" s="723">
        <v>1.089</v>
      </c>
      <c r="AB126" s="723">
        <v>1.33</v>
      </c>
      <c r="AC126" s="724">
        <v>1.52</v>
      </c>
      <c r="AD126" s="723">
        <v>1.6559999999999999</v>
      </c>
      <c r="AE126" s="723">
        <v>1.256</v>
      </c>
      <c r="AF126" s="727">
        <v>1.536</v>
      </c>
      <c r="AG126" s="737"/>
      <c r="AH126" s="737"/>
      <c r="AI126" s="737"/>
      <c r="AJ126" s="737"/>
      <c r="AK126" s="737"/>
      <c r="AL126" s="737"/>
      <c r="AM126" s="737"/>
      <c r="AN126" s="722"/>
      <c r="AO126" s="722"/>
      <c r="AP126" s="722"/>
      <c r="AQ126" s="722"/>
      <c r="AR126" s="722"/>
      <c r="AS126" s="722"/>
      <c r="AT126" s="722"/>
      <c r="AU126" s="722">
        <v>6.0149999999999997</v>
      </c>
      <c r="AV126" s="722">
        <v>6.3140000000000001</v>
      </c>
      <c r="AW126" s="722">
        <v>4.3099999999999996</v>
      </c>
      <c r="AX126" s="927">
        <v>5.5949999999999998</v>
      </c>
      <c r="AY126" s="738"/>
      <c r="AZ126" s="738"/>
      <c r="BA126" s="738"/>
      <c r="BB126" s="738"/>
      <c r="BC126" s="738"/>
      <c r="BD126" s="631"/>
    </row>
    <row r="127" spans="1:56" s="39" customFormat="1" hidden="1" outlineLevel="1" x14ac:dyDescent="0.25">
      <c r="A127" s="75" t="s">
        <v>83</v>
      </c>
      <c r="B127" s="171"/>
      <c r="C127" s="723"/>
      <c r="D127" s="723"/>
      <c r="E127" s="723"/>
      <c r="F127" s="723"/>
      <c r="G127" s="723"/>
      <c r="H127" s="723"/>
      <c r="I127" s="723"/>
      <c r="J127" s="723"/>
      <c r="K127" s="723"/>
      <c r="L127" s="723"/>
      <c r="M127" s="723"/>
      <c r="N127" s="723"/>
      <c r="O127" s="723"/>
      <c r="P127" s="723"/>
      <c r="Q127" s="724"/>
      <c r="R127" s="723">
        <v>0</v>
      </c>
      <c r="S127" s="723"/>
      <c r="T127" s="723"/>
      <c r="U127" s="724"/>
      <c r="V127" s="723">
        <v>3.3170000000000002</v>
      </c>
      <c r="W127" s="723">
        <v>0.435</v>
      </c>
      <c r="X127" s="723">
        <v>2.4950000000000001</v>
      </c>
      <c r="Y127" s="724"/>
      <c r="Z127" s="723"/>
      <c r="AA127" s="723">
        <v>1.119</v>
      </c>
      <c r="AB127" s="723">
        <v>0.182</v>
      </c>
      <c r="AC127" s="724">
        <v>0.104</v>
      </c>
      <c r="AD127" s="723">
        <v>0.23400000000000001</v>
      </c>
      <c r="AE127" s="723"/>
      <c r="AF127" s="727">
        <v>0.85499999999999998</v>
      </c>
      <c r="AG127" s="737"/>
      <c r="AH127" s="737"/>
      <c r="AI127" s="737"/>
      <c r="AJ127" s="737"/>
      <c r="AK127" s="737"/>
      <c r="AL127" s="737"/>
      <c r="AM127" s="737"/>
      <c r="AN127" s="722"/>
      <c r="AO127" s="722"/>
      <c r="AP127" s="722"/>
      <c r="AQ127" s="722"/>
      <c r="AR127" s="722"/>
      <c r="AS127" s="722"/>
      <c r="AT127" s="722"/>
      <c r="AU127" s="722">
        <v>0</v>
      </c>
      <c r="AV127" s="722">
        <v>3.3170000000000002</v>
      </c>
      <c r="AW127" s="722">
        <v>2.93</v>
      </c>
      <c r="AX127" s="927">
        <v>1.639</v>
      </c>
      <c r="AY127" s="738"/>
      <c r="AZ127" s="738"/>
      <c r="BA127" s="738"/>
      <c r="BB127" s="738"/>
      <c r="BC127" s="738"/>
      <c r="BD127" s="631"/>
    </row>
    <row r="128" spans="1:56" s="39" customFormat="1" hidden="1" outlineLevel="1" x14ac:dyDescent="0.25">
      <c r="A128" s="75" t="s">
        <v>84</v>
      </c>
      <c r="B128" s="171"/>
      <c r="C128" s="723"/>
      <c r="D128" s="723"/>
      <c r="E128" s="723"/>
      <c r="F128" s="723"/>
      <c r="G128" s="723"/>
      <c r="H128" s="723"/>
      <c r="I128" s="723"/>
      <c r="J128" s="723"/>
      <c r="K128" s="723"/>
      <c r="L128" s="723"/>
      <c r="M128" s="723"/>
      <c r="N128" s="723"/>
      <c r="O128" s="723"/>
      <c r="P128" s="723"/>
      <c r="Q128" s="724"/>
      <c r="R128" s="723"/>
      <c r="S128" s="723"/>
      <c r="T128" s="723"/>
      <c r="U128" s="724"/>
      <c r="V128" s="723"/>
      <c r="W128" s="723"/>
      <c r="X128" s="723"/>
      <c r="Y128" s="724"/>
      <c r="Z128" s="723">
        <v>0.51500000000000001</v>
      </c>
      <c r="AA128" s="723">
        <v>1.0109999999999999</v>
      </c>
      <c r="AB128" s="723"/>
      <c r="AC128" s="724">
        <v>1.0149999999999999</v>
      </c>
      <c r="AD128" s="723">
        <v>0.20599999999999999</v>
      </c>
      <c r="AE128" s="723">
        <v>0.21099999999999999</v>
      </c>
      <c r="AF128" s="727">
        <v>2.3540000000000001</v>
      </c>
      <c r="AG128" s="737"/>
      <c r="AH128" s="737"/>
      <c r="AI128" s="737"/>
      <c r="AJ128" s="737"/>
      <c r="AK128" s="737"/>
      <c r="AL128" s="737"/>
      <c r="AM128" s="737"/>
      <c r="AN128" s="722"/>
      <c r="AO128" s="722"/>
      <c r="AP128" s="722"/>
      <c r="AQ128" s="722"/>
      <c r="AR128" s="722"/>
      <c r="AS128" s="722"/>
      <c r="AT128" s="722"/>
      <c r="AU128" s="722"/>
      <c r="AV128" s="722"/>
      <c r="AW128" s="722">
        <v>0.51500000000000001</v>
      </c>
      <c r="AX128" s="927">
        <v>2.2320000000000002</v>
      </c>
      <c r="AY128" s="738"/>
      <c r="AZ128" s="738"/>
      <c r="BA128" s="738"/>
      <c r="BB128" s="738"/>
      <c r="BC128" s="738"/>
      <c r="BD128" s="631"/>
    </row>
    <row r="129" spans="1:56" s="39" customFormat="1" hidden="1" outlineLevel="1" x14ac:dyDescent="0.25">
      <c r="A129" s="75" t="s">
        <v>85</v>
      </c>
      <c r="B129" s="171"/>
      <c r="C129" s="723"/>
      <c r="D129" s="723"/>
      <c r="E129" s="723"/>
      <c r="F129" s="723"/>
      <c r="G129" s="723"/>
      <c r="H129" s="723"/>
      <c r="I129" s="723"/>
      <c r="J129" s="723"/>
      <c r="K129" s="723"/>
      <c r="L129" s="723"/>
      <c r="M129" s="723"/>
      <c r="N129" s="723"/>
      <c r="O129" s="723"/>
      <c r="P129" s="723"/>
      <c r="Q129" s="724"/>
      <c r="R129" s="723">
        <v>6.2E-2</v>
      </c>
      <c r="S129" s="723">
        <f>-0.101-T129</f>
        <v>-0.19700000000000001</v>
      </c>
      <c r="T129" s="723">
        <v>9.6000000000000002E-2</v>
      </c>
      <c r="U129" s="724">
        <v>-0.26800000000000002</v>
      </c>
      <c r="V129" s="723">
        <v>-1.2509999999999999</v>
      </c>
      <c r="W129" s="723">
        <v>-2.552</v>
      </c>
      <c r="X129" s="723">
        <v>-0.89400000000000002</v>
      </c>
      <c r="Y129" s="724">
        <v>-0.52600000000000002</v>
      </c>
      <c r="Z129" s="723">
        <v>-0.46600000000000003</v>
      </c>
      <c r="AA129" s="723">
        <v>-0.05</v>
      </c>
      <c r="AB129" s="723">
        <v>-0.627</v>
      </c>
      <c r="AC129" s="724"/>
      <c r="AD129" s="723"/>
      <c r="AE129" s="723"/>
      <c r="AF129" s="727"/>
      <c r="AG129" s="737"/>
      <c r="AH129" s="737"/>
      <c r="AI129" s="737"/>
      <c r="AJ129" s="737"/>
      <c r="AK129" s="737"/>
      <c r="AL129" s="737"/>
      <c r="AM129" s="737"/>
      <c r="AN129" s="722"/>
      <c r="AO129" s="722"/>
      <c r="AP129" s="722"/>
      <c r="AQ129" s="722"/>
      <c r="AR129" s="722"/>
      <c r="AS129" s="722"/>
      <c r="AT129" s="722"/>
      <c r="AU129" s="722">
        <v>0.13600000000000001</v>
      </c>
      <c r="AV129" s="722">
        <v>-1.62</v>
      </c>
      <c r="AW129" s="722">
        <v>-4.4379999999999997</v>
      </c>
      <c r="AX129" s="927">
        <v>-0.67700000000000005</v>
      </c>
      <c r="AY129" s="738"/>
      <c r="AZ129" s="738"/>
      <c r="BA129" s="738"/>
      <c r="BB129" s="738"/>
      <c r="BC129" s="738"/>
      <c r="BD129" s="631"/>
    </row>
    <row r="130" spans="1:56" s="39" customFormat="1" hidden="1" outlineLevel="1" x14ac:dyDescent="0.25">
      <c r="A130" s="75" t="s">
        <v>86</v>
      </c>
      <c r="B130" s="171"/>
      <c r="C130" s="723"/>
      <c r="D130" s="723"/>
      <c r="E130" s="723"/>
      <c r="F130" s="723"/>
      <c r="G130" s="723"/>
      <c r="H130" s="723"/>
      <c r="I130" s="723"/>
      <c r="J130" s="723"/>
      <c r="K130" s="723"/>
      <c r="L130" s="723"/>
      <c r="M130" s="723"/>
      <c r="N130" s="723"/>
      <c r="O130" s="723"/>
      <c r="P130" s="723"/>
      <c r="Q130" s="724"/>
      <c r="R130" s="723">
        <v>0</v>
      </c>
      <c r="S130" s="723">
        <f>1.692-T130</f>
        <v>0.54200000000000004</v>
      </c>
      <c r="T130" s="723">
        <v>1.1499999999999999</v>
      </c>
      <c r="U130" s="724">
        <v>1.5289999999999999</v>
      </c>
      <c r="V130" s="723">
        <v>1.6950000000000001</v>
      </c>
      <c r="W130" s="723">
        <v>1.4039999999999999</v>
      </c>
      <c r="X130" s="723">
        <v>1.206</v>
      </c>
      <c r="Y130" s="724">
        <v>0.34599999999999997</v>
      </c>
      <c r="Z130" s="723">
        <v>1.081</v>
      </c>
      <c r="AA130" s="723">
        <v>0.68400000000000005</v>
      </c>
      <c r="AB130" s="723">
        <v>0.46400000000000002</v>
      </c>
      <c r="AC130" s="724">
        <v>0.45500000000000002</v>
      </c>
      <c r="AD130" s="723">
        <v>0.58499999999999996</v>
      </c>
      <c r="AE130" s="723"/>
      <c r="AF130" s="727"/>
      <c r="AG130" s="737"/>
      <c r="AH130" s="737"/>
      <c r="AI130" s="737"/>
      <c r="AJ130" s="737"/>
      <c r="AK130" s="737"/>
      <c r="AL130" s="737"/>
      <c r="AM130" s="737"/>
      <c r="AN130" s="722"/>
      <c r="AO130" s="722"/>
      <c r="AP130" s="722"/>
      <c r="AQ130" s="722"/>
      <c r="AR130" s="722"/>
      <c r="AS130" s="722"/>
      <c r="AT130" s="722"/>
      <c r="AU130" s="722">
        <v>0</v>
      </c>
      <c r="AV130" s="722">
        <v>4.9160000000000004</v>
      </c>
      <c r="AW130" s="722">
        <v>4.0369999999999999</v>
      </c>
      <c r="AX130" s="927">
        <v>2.1880000000000002</v>
      </c>
      <c r="AY130" s="738"/>
      <c r="AZ130" s="738"/>
      <c r="BA130" s="738"/>
      <c r="BB130" s="738"/>
      <c r="BC130" s="738"/>
      <c r="BD130" s="631"/>
    </row>
    <row r="131" spans="1:56" s="39" customFormat="1" hidden="1" outlineLevel="1" x14ac:dyDescent="0.25">
      <c r="A131" s="75" t="s">
        <v>87</v>
      </c>
      <c r="B131" s="171"/>
      <c r="C131" s="723"/>
      <c r="D131" s="723"/>
      <c r="E131" s="723"/>
      <c r="F131" s="723"/>
      <c r="G131" s="723"/>
      <c r="H131" s="723"/>
      <c r="I131" s="723"/>
      <c r="J131" s="723"/>
      <c r="K131" s="723"/>
      <c r="L131" s="723"/>
      <c r="M131" s="723"/>
      <c r="N131" s="723"/>
      <c r="O131" s="723"/>
      <c r="P131" s="723"/>
      <c r="Q131" s="724"/>
      <c r="R131" s="723"/>
      <c r="S131" s="723"/>
      <c r="T131" s="723"/>
      <c r="U131" s="724">
        <v>0.04</v>
      </c>
      <c r="V131" s="723">
        <v>0.13100000000000001</v>
      </c>
      <c r="W131" s="723">
        <v>0.25700000000000001</v>
      </c>
      <c r="X131" s="723">
        <v>1.1599999999999999</v>
      </c>
      <c r="Y131" s="724">
        <v>0.52900000000000003</v>
      </c>
      <c r="Z131" s="723">
        <v>0.27400000000000002</v>
      </c>
      <c r="AA131" s="723">
        <v>0.34499999999999997</v>
      </c>
      <c r="AB131" s="723">
        <v>0.20699999999999999</v>
      </c>
      <c r="AC131" s="724">
        <v>0.5</v>
      </c>
      <c r="AD131" s="723">
        <v>-0.33400000000000002</v>
      </c>
      <c r="AE131" s="723">
        <v>0.496</v>
      </c>
      <c r="AF131" s="727"/>
      <c r="AG131" s="737"/>
      <c r="AH131" s="737"/>
      <c r="AI131" s="737"/>
      <c r="AJ131" s="737"/>
      <c r="AK131" s="737"/>
      <c r="AL131" s="737"/>
      <c r="AM131" s="737"/>
      <c r="AN131" s="722"/>
      <c r="AO131" s="722"/>
      <c r="AP131" s="722"/>
      <c r="AQ131" s="722"/>
      <c r="AR131" s="722"/>
      <c r="AS131" s="722"/>
      <c r="AT131" s="722"/>
      <c r="AU131" s="722"/>
      <c r="AV131" s="722">
        <v>0.33400000000000002</v>
      </c>
      <c r="AW131" s="722">
        <v>2.298</v>
      </c>
      <c r="AX131" s="927">
        <v>0.71799999999999997</v>
      </c>
      <c r="AY131" s="738"/>
      <c r="AZ131" s="738"/>
      <c r="BA131" s="738"/>
      <c r="BB131" s="738"/>
      <c r="BC131" s="738"/>
      <c r="BD131" s="631"/>
    </row>
    <row r="132" spans="1:56" s="39" customFormat="1" hidden="1" outlineLevel="1" x14ac:dyDescent="0.25">
      <c r="A132" s="75" t="s">
        <v>88</v>
      </c>
      <c r="B132" s="171"/>
      <c r="C132" s="723"/>
      <c r="D132" s="723"/>
      <c r="E132" s="723"/>
      <c r="F132" s="723"/>
      <c r="G132" s="723"/>
      <c r="H132" s="723"/>
      <c r="I132" s="723"/>
      <c r="J132" s="723"/>
      <c r="K132" s="723"/>
      <c r="L132" s="723"/>
      <c r="M132" s="723"/>
      <c r="N132" s="723"/>
      <c r="O132" s="723"/>
      <c r="P132" s="723"/>
      <c r="Q132" s="724"/>
      <c r="R132" s="723"/>
      <c r="S132" s="723"/>
      <c r="T132" s="723"/>
      <c r="U132" s="724">
        <v>0.14000000000000001</v>
      </c>
      <c r="V132" s="723">
        <v>9.7000000000000003E-2</v>
      </c>
      <c r="W132" s="723">
        <v>0.29899999999999999</v>
      </c>
      <c r="X132" s="723"/>
      <c r="Y132" s="724">
        <v>0.50800000000000001</v>
      </c>
      <c r="Z132" s="723">
        <v>0.56899999999999995</v>
      </c>
      <c r="AA132" s="723">
        <v>0.153</v>
      </c>
      <c r="AB132" s="723">
        <v>0.36499999999999999</v>
      </c>
      <c r="AC132" s="724">
        <v>0.152</v>
      </c>
      <c r="AD132" s="723">
        <v>0.621</v>
      </c>
      <c r="AE132" s="723">
        <v>1.038</v>
      </c>
      <c r="AF132" s="727">
        <v>0.34599999999999997</v>
      </c>
      <c r="AG132" s="737"/>
      <c r="AH132" s="737"/>
      <c r="AI132" s="737"/>
      <c r="AJ132" s="737"/>
      <c r="AK132" s="737"/>
      <c r="AL132" s="737"/>
      <c r="AM132" s="737"/>
      <c r="AN132" s="722"/>
      <c r="AO132" s="722"/>
      <c r="AP132" s="722"/>
      <c r="AQ132" s="722"/>
      <c r="AR132" s="722"/>
      <c r="AS132" s="722"/>
      <c r="AT132" s="722"/>
      <c r="AU132" s="722"/>
      <c r="AV132" s="722">
        <v>0.45900000000000002</v>
      </c>
      <c r="AW132" s="722">
        <v>1.68</v>
      </c>
      <c r="AX132" s="927">
        <v>1.2909999999999999</v>
      </c>
      <c r="AY132" s="738"/>
      <c r="AZ132" s="738"/>
      <c r="BA132" s="738"/>
      <c r="BB132" s="738"/>
      <c r="BC132" s="738"/>
      <c r="BD132" s="631"/>
    </row>
    <row r="133" spans="1:56" s="39" customFormat="1" hidden="1" outlineLevel="1" x14ac:dyDescent="0.25">
      <c r="A133" s="75" t="s">
        <v>469</v>
      </c>
      <c r="B133" s="171"/>
      <c r="C133" s="723"/>
      <c r="D133" s="723"/>
      <c r="E133" s="723"/>
      <c r="F133" s="723"/>
      <c r="G133" s="723"/>
      <c r="H133" s="723"/>
      <c r="I133" s="723"/>
      <c r="J133" s="723"/>
      <c r="K133" s="723"/>
      <c r="L133" s="723"/>
      <c r="M133" s="723"/>
      <c r="N133" s="723"/>
      <c r="O133" s="723"/>
      <c r="P133" s="723"/>
      <c r="Q133" s="724"/>
      <c r="R133" s="723"/>
      <c r="S133" s="723"/>
      <c r="T133" s="723"/>
      <c r="U133" s="724"/>
      <c r="V133" s="723"/>
      <c r="W133" s="723"/>
      <c r="X133" s="723"/>
      <c r="Y133" s="724"/>
      <c r="Z133" s="723"/>
      <c r="AA133" s="723"/>
      <c r="AB133" s="723"/>
      <c r="AC133" s="724"/>
      <c r="AD133" s="723"/>
      <c r="AE133" s="723">
        <v>0.255</v>
      </c>
      <c r="AF133" s="727"/>
      <c r="AG133" s="737"/>
      <c r="AH133" s="737"/>
      <c r="AI133" s="737"/>
      <c r="AJ133" s="737"/>
      <c r="AK133" s="737"/>
      <c r="AL133" s="737"/>
      <c r="AM133" s="737"/>
      <c r="AN133" s="722"/>
      <c r="AO133" s="722"/>
      <c r="AP133" s="722"/>
      <c r="AQ133" s="722"/>
      <c r="AR133" s="722"/>
      <c r="AS133" s="722"/>
      <c r="AT133" s="722"/>
      <c r="AU133" s="722"/>
      <c r="AV133" s="722"/>
      <c r="AW133" s="722"/>
      <c r="AX133" s="927"/>
      <c r="AY133" s="738"/>
      <c r="AZ133" s="738"/>
      <c r="BA133" s="738"/>
      <c r="BB133" s="738"/>
      <c r="BC133" s="738"/>
      <c r="BD133" s="631"/>
    </row>
    <row r="134" spans="1:56" s="39" customFormat="1" hidden="1" outlineLevel="1" x14ac:dyDescent="0.25">
      <c r="A134" s="75" t="s">
        <v>89</v>
      </c>
      <c r="B134" s="171"/>
      <c r="C134" s="723"/>
      <c r="D134" s="723"/>
      <c r="E134" s="723"/>
      <c r="F134" s="723"/>
      <c r="G134" s="723"/>
      <c r="H134" s="723"/>
      <c r="I134" s="723"/>
      <c r="J134" s="723"/>
      <c r="K134" s="723"/>
      <c r="L134" s="723"/>
      <c r="M134" s="723"/>
      <c r="N134" s="723"/>
      <c r="O134" s="723"/>
      <c r="P134" s="723"/>
      <c r="Q134" s="724"/>
      <c r="R134" s="723"/>
      <c r="S134" s="723"/>
      <c r="T134" s="723"/>
      <c r="U134" s="724">
        <v>0.253</v>
      </c>
      <c r="V134" s="723">
        <v>0.33700000000000002</v>
      </c>
      <c r="W134" s="723"/>
      <c r="X134" s="723"/>
      <c r="Y134" s="724">
        <v>0.63900000000000001</v>
      </c>
      <c r="Z134" s="723"/>
      <c r="AA134" s="723"/>
      <c r="AB134" s="723"/>
      <c r="AC134" s="724"/>
      <c r="AD134" s="723">
        <v>-12.125999999999999</v>
      </c>
      <c r="AE134" s="723">
        <v>-1.0640000000000001</v>
      </c>
      <c r="AF134" s="727"/>
      <c r="AG134" s="737"/>
      <c r="AH134" s="737"/>
      <c r="AI134" s="737"/>
      <c r="AJ134" s="737"/>
      <c r="AK134" s="737"/>
      <c r="AL134" s="737"/>
      <c r="AM134" s="737"/>
      <c r="AN134" s="722"/>
      <c r="AO134" s="722"/>
      <c r="AP134" s="722"/>
      <c r="AQ134" s="722"/>
      <c r="AR134" s="722"/>
      <c r="AS134" s="722"/>
      <c r="AT134" s="722"/>
      <c r="AU134" s="722"/>
      <c r="AV134" s="722">
        <v>1.3680000000000001</v>
      </c>
      <c r="AW134" s="722">
        <v>0.95599999999999996</v>
      </c>
      <c r="AX134" s="927">
        <v>-12.125999999999999</v>
      </c>
      <c r="AY134" s="738"/>
      <c r="AZ134" s="738"/>
      <c r="BA134" s="738"/>
      <c r="BB134" s="738"/>
      <c r="BC134" s="738"/>
      <c r="BD134" s="631"/>
    </row>
    <row r="135" spans="1:56" s="39" customFormat="1" hidden="1" outlineLevel="1" x14ac:dyDescent="0.25">
      <c r="A135" s="75" t="s">
        <v>446</v>
      </c>
      <c r="B135" s="171"/>
      <c r="C135" s="723"/>
      <c r="D135" s="723"/>
      <c r="E135" s="723"/>
      <c r="F135" s="723"/>
      <c r="G135" s="723"/>
      <c r="H135" s="723"/>
      <c r="I135" s="723"/>
      <c r="J135" s="723"/>
      <c r="K135" s="723"/>
      <c r="L135" s="723"/>
      <c r="M135" s="723"/>
      <c r="N135" s="723"/>
      <c r="O135" s="723"/>
      <c r="P135" s="723"/>
      <c r="Q135" s="724"/>
      <c r="R135" s="723"/>
      <c r="S135" s="723"/>
      <c r="T135" s="723"/>
      <c r="U135" s="724"/>
      <c r="V135" s="723"/>
      <c r="W135" s="723"/>
      <c r="X135" s="723"/>
      <c r="Y135" s="724"/>
      <c r="Z135" s="723"/>
      <c r="AA135" s="723"/>
      <c r="AB135" s="723"/>
      <c r="AC135" s="724"/>
      <c r="AD135" s="723">
        <v>2.1539999999999999</v>
      </c>
      <c r="AE135" s="723"/>
      <c r="AF135" s="727"/>
      <c r="AG135" s="737"/>
      <c r="AH135" s="737"/>
      <c r="AI135" s="737"/>
      <c r="AJ135" s="737"/>
      <c r="AK135" s="737"/>
      <c r="AL135" s="737"/>
      <c r="AM135" s="737"/>
      <c r="AN135" s="722"/>
      <c r="AO135" s="722"/>
      <c r="AP135" s="722"/>
      <c r="AQ135" s="722"/>
      <c r="AR135" s="722"/>
      <c r="AS135" s="722"/>
      <c r="AT135" s="722"/>
      <c r="AU135" s="722"/>
      <c r="AV135" s="722"/>
      <c r="AW135" s="722"/>
      <c r="AX135" s="927">
        <v>2.1539999999999999</v>
      </c>
      <c r="AY135" s="738"/>
      <c r="AZ135" s="738"/>
      <c r="BA135" s="738"/>
      <c r="BB135" s="738"/>
      <c r="BC135" s="738"/>
      <c r="BD135" s="631"/>
    </row>
    <row r="136" spans="1:56" s="39" customFormat="1" hidden="1" outlineLevel="1" x14ac:dyDescent="0.25">
      <c r="A136" s="75" t="s">
        <v>90</v>
      </c>
      <c r="B136" s="171"/>
      <c r="C136" s="723"/>
      <c r="D136" s="723"/>
      <c r="E136" s="723"/>
      <c r="F136" s="723"/>
      <c r="G136" s="723"/>
      <c r="H136" s="723"/>
      <c r="I136" s="723"/>
      <c r="J136" s="723"/>
      <c r="K136" s="723"/>
      <c r="L136" s="723"/>
      <c r="M136" s="723"/>
      <c r="N136" s="723"/>
      <c r="O136" s="723"/>
      <c r="P136" s="723"/>
      <c r="Q136" s="724"/>
      <c r="R136" s="723">
        <v>0</v>
      </c>
      <c r="S136" s="723">
        <f>0.164-T136</f>
        <v>-7.0000000000000062E-3</v>
      </c>
      <c r="T136" s="723">
        <v>0.17100000000000001</v>
      </c>
      <c r="U136" s="724">
        <v>2.633</v>
      </c>
      <c r="V136" s="723">
        <v>1.75</v>
      </c>
      <c r="W136" s="723"/>
      <c r="X136" s="723"/>
      <c r="Y136" s="724"/>
      <c r="Z136" s="723"/>
      <c r="AA136" s="723"/>
      <c r="AB136" s="723"/>
      <c r="AC136" s="724"/>
      <c r="AD136" s="723"/>
      <c r="AE136" s="723"/>
      <c r="AF136" s="727"/>
      <c r="AG136" s="737"/>
      <c r="AH136" s="737"/>
      <c r="AI136" s="737"/>
      <c r="AJ136" s="737"/>
      <c r="AK136" s="737"/>
      <c r="AL136" s="737"/>
      <c r="AM136" s="737"/>
      <c r="AN136" s="722"/>
      <c r="AO136" s="722"/>
      <c r="AP136" s="722"/>
      <c r="AQ136" s="722"/>
      <c r="AR136" s="722"/>
      <c r="AS136" s="722"/>
      <c r="AT136" s="722"/>
      <c r="AU136" s="722">
        <v>0</v>
      </c>
      <c r="AV136" s="722">
        <v>4.383</v>
      </c>
      <c r="AW136" s="722"/>
      <c r="AX136" s="927"/>
      <c r="AY136" s="738"/>
      <c r="AZ136" s="738"/>
      <c r="BA136" s="738"/>
      <c r="BB136" s="738"/>
      <c r="BC136" s="738"/>
      <c r="BD136" s="631"/>
    </row>
    <row r="137" spans="1:56" s="38" customFormat="1" hidden="1" outlineLevel="1" x14ac:dyDescent="0.25">
      <c r="A137" s="40" t="s">
        <v>91</v>
      </c>
      <c r="B137" s="117"/>
      <c r="C137" s="745"/>
      <c r="D137" s="745"/>
      <c r="E137" s="745"/>
      <c r="F137" s="745"/>
      <c r="G137" s="745"/>
      <c r="H137" s="745"/>
      <c r="I137" s="745"/>
      <c r="J137" s="745"/>
      <c r="K137" s="745"/>
      <c r="L137" s="745"/>
      <c r="M137" s="745"/>
      <c r="N137" s="745"/>
      <c r="O137" s="745"/>
      <c r="P137" s="745"/>
      <c r="Q137" s="755"/>
      <c r="R137" s="745">
        <v>12.159000000000001</v>
      </c>
      <c r="S137" s="745">
        <f t="shared" ref="S137:AF137" si="78">SUM(S125:S136)</f>
        <v>9.7550000000000061</v>
      </c>
      <c r="T137" s="745">
        <f t="shared" si="78"/>
        <v>13.908000000000003</v>
      </c>
      <c r="U137" s="755">
        <f t="shared" si="78"/>
        <v>12.392999999999997</v>
      </c>
      <c r="V137" s="755">
        <f t="shared" si="78"/>
        <v>12.211</v>
      </c>
      <c r="W137" s="745">
        <f t="shared" si="78"/>
        <v>8.142000000000003</v>
      </c>
      <c r="X137" s="745">
        <f t="shared" si="78"/>
        <v>11.768000000000006</v>
      </c>
      <c r="Y137" s="755">
        <f t="shared" si="78"/>
        <v>9.8129999999999953</v>
      </c>
      <c r="Z137" s="755">
        <f t="shared" si="78"/>
        <v>7.4950000000000294</v>
      </c>
      <c r="AA137" s="745">
        <f t="shared" si="78"/>
        <v>8.7710000000000203</v>
      </c>
      <c r="AB137" s="745">
        <f t="shared" si="78"/>
        <v>10.435000000000018</v>
      </c>
      <c r="AC137" s="755">
        <f t="shared" si="78"/>
        <v>10.758000000000001</v>
      </c>
      <c r="AD137" s="755">
        <f t="shared" si="78"/>
        <v>10.958999999999905</v>
      </c>
      <c r="AE137" s="745">
        <f t="shared" si="78"/>
        <v>3.4240000000000066</v>
      </c>
      <c r="AF137" s="746">
        <f t="shared" si="78"/>
        <v>5.9840000000000071</v>
      </c>
      <c r="AG137" s="745"/>
      <c r="AH137" s="745"/>
      <c r="AI137" s="745"/>
      <c r="AJ137" s="745"/>
      <c r="AK137" s="745"/>
      <c r="AL137" s="745"/>
      <c r="AM137" s="745"/>
      <c r="AN137" s="744"/>
      <c r="AO137" s="744"/>
      <c r="AP137" s="744"/>
      <c r="AQ137" s="744"/>
      <c r="AR137" s="744"/>
      <c r="AS137" s="744"/>
      <c r="AT137" s="744"/>
      <c r="AU137" s="744">
        <f>SUM(AU125:AU136)</f>
        <v>44.215000000000039</v>
      </c>
      <c r="AV137" s="744">
        <f>SUM(AV125:AV136)</f>
        <v>49.266000000000005</v>
      </c>
      <c r="AW137" s="744">
        <f>SUM(AW125:AW136)</f>
        <v>37.917000000000002</v>
      </c>
      <c r="AX137" s="935">
        <f>SUM(AX125:AX136)</f>
        <v>40.922999999999973</v>
      </c>
      <c r="AY137" s="744"/>
      <c r="AZ137" s="744"/>
      <c r="BA137" s="744"/>
      <c r="BB137" s="744"/>
      <c r="BC137" s="744"/>
      <c r="BD137" s="632"/>
    </row>
    <row r="138" spans="1:56" s="38" customFormat="1" hidden="1" outlineLevel="1" x14ac:dyDescent="0.25">
      <c r="A138" s="162"/>
      <c r="B138" s="187"/>
      <c r="C138" s="740"/>
      <c r="D138" s="740"/>
      <c r="E138" s="740"/>
      <c r="F138" s="740"/>
      <c r="G138" s="740"/>
      <c r="H138" s="740"/>
      <c r="I138" s="740"/>
      <c r="J138" s="740"/>
      <c r="K138" s="740"/>
      <c r="L138" s="740"/>
      <c r="M138" s="740"/>
      <c r="N138" s="740"/>
      <c r="O138" s="740"/>
      <c r="P138" s="740"/>
      <c r="Q138" s="754"/>
      <c r="R138" s="740"/>
      <c r="S138" s="740"/>
      <c r="T138" s="740"/>
      <c r="U138" s="754"/>
      <c r="V138" s="740"/>
      <c r="W138" s="740"/>
      <c r="X138" s="740"/>
      <c r="Y138" s="754"/>
      <c r="Z138" s="740"/>
      <c r="AA138" s="740"/>
      <c r="AB138" s="740"/>
      <c r="AC138" s="754"/>
      <c r="AD138" s="740"/>
      <c r="AE138" s="740"/>
      <c r="AF138" s="741"/>
      <c r="AG138" s="742"/>
      <c r="AH138" s="742"/>
      <c r="AI138" s="742"/>
      <c r="AJ138" s="742"/>
      <c r="AK138" s="742"/>
      <c r="AL138" s="742"/>
      <c r="AM138" s="742"/>
      <c r="AN138" s="739"/>
      <c r="AO138" s="739"/>
      <c r="AP138" s="739"/>
      <c r="AQ138" s="739"/>
      <c r="AR138" s="739"/>
      <c r="AS138" s="739"/>
      <c r="AT138" s="739"/>
      <c r="AU138" s="739"/>
      <c r="AV138" s="739"/>
      <c r="AW138" s="739"/>
      <c r="AX138" s="934"/>
      <c r="AY138" s="743"/>
      <c r="AZ138" s="743"/>
      <c r="BA138" s="743"/>
      <c r="BB138" s="743"/>
      <c r="BC138" s="743"/>
      <c r="BD138" s="632"/>
    </row>
    <row r="139" spans="1:56" s="49" customFormat="1" hidden="1" outlineLevel="1" x14ac:dyDescent="0.25">
      <c r="A139" s="321" t="s">
        <v>92</v>
      </c>
      <c r="B139" s="190"/>
      <c r="C139" s="405"/>
      <c r="D139" s="405"/>
      <c r="E139" s="405"/>
      <c r="F139" s="405"/>
      <c r="G139" s="405"/>
      <c r="H139" s="405"/>
      <c r="I139" s="405"/>
      <c r="J139" s="405"/>
      <c r="K139" s="405"/>
      <c r="L139" s="405"/>
      <c r="M139" s="405"/>
      <c r="N139" s="405"/>
      <c r="O139" s="405"/>
      <c r="P139" s="405"/>
      <c r="Q139" s="406"/>
      <c r="R139" s="405">
        <v>0.4</v>
      </c>
      <c r="S139" s="405">
        <f t="shared" ref="S139:AF139" si="79">S198</f>
        <v>0.24262217208004297</v>
      </c>
      <c r="T139" s="405">
        <f t="shared" si="79"/>
        <v>0.34830392681043243</v>
      </c>
      <c r="U139" s="405">
        <f t="shared" si="79"/>
        <v>0.19418797348484867</v>
      </c>
      <c r="V139" s="405">
        <f t="shared" si="79"/>
        <v>-2.0039014009573485E-2</v>
      </c>
      <c r="W139" s="405">
        <f t="shared" si="79"/>
        <v>0.1574821994854306</v>
      </c>
      <c r="X139" s="405">
        <f t="shared" si="79"/>
        <v>0.2153484729835555</v>
      </c>
      <c r="Y139" s="406">
        <f t="shared" si="79"/>
        <v>0.19509261486649052</v>
      </c>
      <c r="Z139" s="405">
        <f t="shared" si="79"/>
        <v>2.3120345904397935E-2</v>
      </c>
      <c r="AA139" s="405">
        <f t="shared" si="79"/>
        <v>1.999640783092934E-2</v>
      </c>
      <c r="AB139" s="405">
        <f t="shared" si="79"/>
        <v>0.19183551847437544</v>
      </c>
      <c r="AC139" s="406">
        <f t="shared" si="79"/>
        <v>0.12639471043154815</v>
      </c>
      <c r="AD139" s="405">
        <f t="shared" si="79"/>
        <v>0.55787309048178124</v>
      </c>
      <c r="AE139" s="405">
        <f t="shared" si="79"/>
        <v>-7.5597359350352625E-2</v>
      </c>
      <c r="AF139" s="653">
        <f t="shared" si="79"/>
        <v>-3.5218225140930759E-2</v>
      </c>
      <c r="AG139" s="73"/>
      <c r="AH139" s="73"/>
      <c r="AI139" s="73"/>
      <c r="AJ139" s="73"/>
      <c r="AK139" s="73"/>
      <c r="AL139" s="73"/>
      <c r="AM139" s="73"/>
      <c r="AN139" s="404"/>
      <c r="AO139" s="404"/>
      <c r="AP139" s="404"/>
      <c r="AQ139" s="404"/>
      <c r="AR139" s="404"/>
      <c r="AS139" s="404"/>
      <c r="AT139" s="404"/>
      <c r="AU139" s="404">
        <v>1.21</v>
      </c>
      <c r="AV139" s="404">
        <f>AV198</f>
        <v>0.76400165945593757</v>
      </c>
      <c r="AW139" s="404">
        <f>AW198</f>
        <v>0.58912314326784776</v>
      </c>
      <c r="AX139" s="937">
        <f>AX198</f>
        <v>0.90083624933277573</v>
      </c>
      <c r="AY139" s="108"/>
      <c r="AZ139" s="108"/>
      <c r="BA139" s="108"/>
      <c r="BB139" s="108"/>
      <c r="BC139" s="108"/>
      <c r="BD139" s="73"/>
    </row>
    <row r="140" spans="1:56" s="53" customFormat="1" hidden="1" outlineLevel="1" x14ac:dyDescent="0.25">
      <c r="A140" s="178" t="s">
        <v>93</v>
      </c>
      <c r="B140" s="322"/>
      <c r="C140" s="408"/>
      <c r="D140" s="408"/>
      <c r="E140" s="408"/>
      <c r="F140" s="408"/>
      <c r="G140" s="408"/>
      <c r="H140" s="408"/>
      <c r="I140" s="408"/>
      <c r="J140" s="408"/>
      <c r="K140" s="408"/>
      <c r="L140" s="408"/>
      <c r="M140" s="408"/>
      <c r="N140" s="408"/>
      <c r="O140" s="408"/>
      <c r="P140" s="408"/>
      <c r="Q140" s="409"/>
      <c r="R140" s="408"/>
      <c r="S140" s="408"/>
      <c r="T140" s="408"/>
      <c r="U140" s="409"/>
      <c r="V140" s="408">
        <v>0.12</v>
      </c>
      <c r="W140" s="408">
        <v>0.02</v>
      </c>
      <c r="X140" s="408">
        <v>0.11</v>
      </c>
      <c r="Y140" s="409">
        <v>-0.02</v>
      </c>
      <c r="Z140" s="408"/>
      <c r="AA140" s="408">
        <v>0.05</v>
      </c>
      <c r="AB140" s="408">
        <v>0.01</v>
      </c>
      <c r="AC140" s="409"/>
      <c r="AD140" s="408">
        <v>0.01</v>
      </c>
      <c r="AE140" s="408"/>
      <c r="AF140" s="654">
        <v>0.04</v>
      </c>
      <c r="AG140" s="309"/>
      <c r="AH140" s="309"/>
      <c r="AI140" s="309"/>
      <c r="AJ140" s="309"/>
      <c r="AK140" s="309"/>
      <c r="AL140" s="309"/>
      <c r="AM140" s="309"/>
      <c r="AN140" s="407"/>
      <c r="AO140" s="407"/>
      <c r="AP140" s="407"/>
      <c r="AQ140" s="407"/>
      <c r="AR140" s="407"/>
      <c r="AS140" s="407"/>
      <c r="AT140" s="407"/>
      <c r="AU140" s="407"/>
      <c r="AV140" s="407">
        <v>0.12</v>
      </c>
      <c r="AW140" s="407">
        <v>0.13</v>
      </c>
      <c r="AX140" s="938">
        <v>7.0000000000000007E-2</v>
      </c>
      <c r="AY140" s="323"/>
      <c r="AZ140" s="323"/>
      <c r="BA140" s="323"/>
      <c r="BB140" s="323"/>
      <c r="BC140" s="323"/>
      <c r="BD140" s="309"/>
    </row>
    <row r="141" spans="1:56" s="53" customFormat="1" hidden="1" outlineLevel="1" x14ac:dyDescent="0.25">
      <c r="A141" s="178" t="s">
        <v>84</v>
      </c>
      <c r="B141" s="322"/>
      <c r="C141" s="408"/>
      <c r="D141" s="408"/>
      <c r="E141" s="408"/>
      <c r="F141" s="408"/>
      <c r="G141" s="408"/>
      <c r="H141" s="408"/>
      <c r="I141" s="408"/>
      <c r="J141" s="408"/>
      <c r="K141" s="408"/>
      <c r="L141" s="408"/>
      <c r="M141" s="408"/>
      <c r="N141" s="408"/>
      <c r="O141" s="408"/>
      <c r="P141" s="408"/>
      <c r="Q141" s="409"/>
      <c r="R141" s="408"/>
      <c r="S141" s="408"/>
      <c r="T141" s="408"/>
      <c r="U141" s="409"/>
      <c r="V141" s="408"/>
      <c r="W141" s="408"/>
      <c r="X141" s="408"/>
      <c r="Y141" s="409"/>
      <c r="Z141" s="408">
        <v>0.02</v>
      </c>
      <c r="AA141" s="408">
        <v>0.04</v>
      </c>
      <c r="AB141" s="408"/>
      <c r="AC141" s="409">
        <v>0.04</v>
      </c>
      <c r="AD141" s="408">
        <v>0.01</v>
      </c>
      <c r="AE141" s="408">
        <v>0.01</v>
      </c>
      <c r="AF141" s="654">
        <v>0.1</v>
      </c>
      <c r="AG141" s="309"/>
      <c r="AH141" s="309"/>
      <c r="AI141" s="309"/>
      <c r="AJ141" s="309"/>
      <c r="AK141" s="309"/>
      <c r="AL141" s="309"/>
      <c r="AM141" s="309"/>
      <c r="AN141" s="407"/>
      <c r="AO141" s="407"/>
      <c r="AP141" s="407"/>
      <c r="AQ141" s="407"/>
      <c r="AR141" s="407"/>
      <c r="AS141" s="407"/>
      <c r="AT141" s="407"/>
      <c r="AU141" s="407"/>
      <c r="AV141" s="407"/>
      <c r="AW141" s="407">
        <v>0.02</v>
      </c>
      <c r="AX141" s="938">
        <v>0.09</v>
      </c>
      <c r="AY141" s="323"/>
      <c r="AZ141" s="323"/>
      <c r="BA141" s="323"/>
      <c r="BB141" s="323"/>
      <c r="BC141" s="323"/>
      <c r="BD141" s="309"/>
    </row>
    <row r="142" spans="1:56" s="53" customFormat="1" hidden="1" outlineLevel="1" x14ac:dyDescent="0.25">
      <c r="A142" s="178" t="s">
        <v>85</v>
      </c>
      <c r="B142" s="322"/>
      <c r="C142" s="408"/>
      <c r="D142" s="408"/>
      <c r="E142" s="408"/>
      <c r="F142" s="408"/>
      <c r="G142" s="408"/>
      <c r="H142" s="408"/>
      <c r="I142" s="408"/>
      <c r="J142" s="408"/>
      <c r="K142" s="408"/>
      <c r="L142" s="408"/>
      <c r="M142" s="408"/>
      <c r="N142" s="408"/>
      <c r="O142" s="408"/>
      <c r="P142" s="408"/>
      <c r="Q142" s="409"/>
      <c r="R142" s="408"/>
      <c r="S142" s="408"/>
      <c r="T142" s="408"/>
      <c r="U142" s="409">
        <v>-0.01</v>
      </c>
      <c r="V142" s="408">
        <v>-7.0000000000000007E-2</v>
      </c>
      <c r="W142" s="408">
        <v>-0.09</v>
      </c>
      <c r="X142" s="408">
        <v>-0.04</v>
      </c>
      <c r="Y142" s="409"/>
      <c r="Z142" s="408">
        <v>-0.02</v>
      </c>
      <c r="AA142" s="408"/>
      <c r="AB142" s="408">
        <v>-0.03</v>
      </c>
      <c r="AC142" s="409">
        <v>0.02</v>
      </c>
      <c r="AD142" s="408"/>
      <c r="AE142" s="408"/>
      <c r="AF142" s="654"/>
      <c r="AG142" s="309"/>
      <c r="AH142" s="309"/>
      <c r="AI142" s="309"/>
      <c r="AJ142" s="309"/>
      <c r="AK142" s="309"/>
      <c r="AL142" s="309"/>
      <c r="AM142" s="309"/>
      <c r="AN142" s="407"/>
      <c r="AO142" s="407"/>
      <c r="AP142" s="407"/>
      <c r="AQ142" s="407"/>
      <c r="AR142" s="407"/>
      <c r="AS142" s="407"/>
      <c r="AT142" s="407"/>
      <c r="AU142" s="407">
        <v>0.01</v>
      </c>
      <c r="AV142" s="407">
        <v>-0.1</v>
      </c>
      <c r="AW142" s="407">
        <v>-0.2</v>
      </c>
      <c r="AX142" s="938">
        <v>-0.03</v>
      </c>
      <c r="AY142" s="323"/>
      <c r="AZ142" s="323"/>
      <c r="BA142" s="323"/>
      <c r="BB142" s="323"/>
      <c r="BC142" s="323"/>
      <c r="BD142" s="309"/>
    </row>
    <row r="143" spans="1:56" s="53" customFormat="1" hidden="1" outlineLevel="1" x14ac:dyDescent="0.25">
      <c r="A143" s="178" t="s">
        <v>94</v>
      </c>
      <c r="B143" s="322"/>
      <c r="C143" s="408"/>
      <c r="D143" s="408"/>
      <c r="E143" s="408"/>
      <c r="F143" s="408"/>
      <c r="G143" s="408"/>
      <c r="H143" s="408"/>
      <c r="I143" s="408"/>
      <c r="J143" s="408"/>
      <c r="K143" s="408"/>
      <c r="L143" s="408"/>
      <c r="M143" s="408"/>
      <c r="N143" s="408"/>
      <c r="O143" s="408"/>
      <c r="P143" s="408"/>
      <c r="Q143" s="409"/>
      <c r="R143" s="408"/>
      <c r="S143" s="408"/>
      <c r="T143" s="408"/>
      <c r="U143" s="409"/>
      <c r="V143" s="408">
        <v>0.19</v>
      </c>
      <c r="W143" s="408"/>
      <c r="X143" s="408"/>
      <c r="Y143" s="409"/>
      <c r="Z143" s="408"/>
      <c r="AA143" s="408"/>
      <c r="AB143" s="408"/>
      <c r="AC143" s="409"/>
      <c r="AD143" s="408"/>
      <c r="AE143" s="408"/>
      <c r="AF143" s="654"/>
      <c r="AG143" s="309"/>
      <c r="AH143" s="309"/>
      <c r="AI143" s="309"/>
      <c r="AJ143" s="309"/>
      <c r="AK143" s="309"/>
      <c r="AL143" s="309"/>
      <c r="AM143" s="309"/>
      <c r="AN143" s="407"/>
      <c r="AO143" s="407"/>
      <c r="AP143" s="407"/>
      <c r="AQ143" s="407"/>
      <c r="AR143" s="407"/>
      <c r="AS143" s="407"/>
      <c r="AT143" s="407"/>
      <c r="AU143" s="407"/>
      <c r="AV143" s="407">
        <v>0.19</v>
      </c>
      <c r="AW143" s="407">
        <v>0.02</v>
      </c>
      <c r="AX143" s="938"/>
      <c r="AY143" s="323"/>
      <c r="AZ143" s="323"/>
      <c r="BA143" s="323"/>
      <c r="BB143" s="323"/>
      <c r="BC143" s="323"/>
      <c r="BD143" s="309"/>
    </row>
    <row r="144" spans="1:56" s="53" customFormat="1" hidden="1" outlineLevel="1" x14ac:dyDescent="0.25">
      <c r="A144" s="178" t="s">
        <v>86</v>
      </c>
      <c r="B144" s="322"/>
      <c r="C144" s="408"/>
      <c r="D144" s="408"/>
      <c r="E144" s="408"/>
      <c r="F144" s="408"/>
      <c r="G144" s="408"/>
      <c r="H144" s="408"/>
      <c r="I144" s="408"/>
      <c r="J144" s="408"/>
      <c r="K144" s="408"/>
      <c r="L144" s="408"/>
      <c r="M144" s="408"/>
      <c r="N144" s="408"/>
      <c r="O144" s="408"/>
      <c r="P144" s="408"/>
      <c r="Q144" s="409"/>
      <c r="R144" s="408"/>
      <c r="S144" s="408">
        <f>0.07-T144</f>
        <v>2.0000000000000004E-2</v>
      </c>
      <c r="T144" s="408">
        <v>0.05</v>
      </c>
      <c r="U144" s="409">
        <v>0.06</v>
      </c>
      <c r="V144" s="408">
        <v>0.06</v>
      </c>
      <c r="W144" s="408">
        <v>0.05</v>
      </c>
      <c r="X144" s="408">
        <v>0.05</v>
      </c>
      <c r="Y144" s="409">
        <v>0.02</v>
      </c>
      <c r="Z144" s="408">
        <v>0.05</v>
      </c>
      <c r="AA144" s="408">
        <v>0.03</v>
      </c>
      <c r="AB144" s="408">
        <v>0.02</v>
      </c>
      <c r="AC144" s="409">
        <v>0.02</v>
      </c>
      <c r="AD144" s="408">
        <v>0.02</v>
      </c>
      <c r="AE144" s="408"/>
      <c r="AF144" s="654"/>
      <c r="AG144" s="309"/>
      <c r="AH144" s="309"/>
      <c r="AI144" s="309"/>
      <c r="AJ144" s="309"/>
      <c r="AK144" s="309"/>
      <c r="AL144" s="309"/>
      <c r="AM144" s="309"/>
      <c r="AN144" s="407"/>
      <c r="AO144" s="407"/>
      <c r="AP144" s="407"/>
      <c r="AQ144" s="407"/>
      <c r="AR144" s="407"/>
      <c r="AS144" s="407"/>
      <c r="AT144" s="407"/>
      <c r="AU144" s="407"/>
      <c r="AV144" s="407">
        <v>0.18</v>
      </c>
      <c r="AW144" s="407">
        <v>0.18</v>
      </c>
      <c r="AX144" s="938">
        <v>0.09</v>
      </c>
      <c r="AY144" s="323"/>
      <c r="AZ144" s="323"/>
      <c r="BA144" s="323"/>
      <c r="BB144" s="323"/>
      <c r="BC144" s="323"/>
      <c r="BD144" s="309"/>
    </row>
    <row r="145" spans="1:56" s="53" customFormat="1" hidden="1" outlineLevel="1" x14ac:dyDescent="0.25">
      <c r="A145" s="178" t="s">
        <v>95</v>
      </c>
      <c r="B145" s="322"/>
      <c r="C145" s="408"/>
      <c r="D145" s="408"/>
      <c r="E145" s="408"/>
      <c r="F145" s="408"/>
      <c r="G145" s="408"/>
      <c r="H145" s="408"/>
      <c r="I145" s="408"/>
      <c r="J145" s="408"/>
      <c r="K145" s="408"/>
      <c r="L145" s="408"/>
      <c r="M145" s="408"/>
      <c r="N145" s="408"/>
      <c r="O145" s="408"/>
      <c r="P145" s="408"/>
      <c r="Q145" s="409"/>
      <c r="R145" s="408"/>
      <c r="S145" s="408">
        <f>0.01-T145</f>
        <v>0</v>
      </c>
      <c r="T145" s="408">
        <v>0.01</v>
      </c>
      <c r="U145" s="409"/>
      <c r="V145" s="408"/>
      <c r="W145" s="408">
        <v>0.01</v>
      </c>
      <c r="X145" s="408">
        <v>0.05</v>
      </c>
      <c r="Y145" s="409">
        <v>0.02</v>
      </c>
      <c r="Z145" s="408">
        <v>0.01</v>
      </c>
      <c r="AA145" s="408">
        <v>0.01</v>
      </c>
      <c r="AB145" s="408">
        <v>0.01</v>
      </c>
      <c r="AC145" s="409">
        <v>0.02</v>
      </c>
      <c r="AD145" s="408">
        <v>-0.01</v>
      </c>
      <c r="AE145" s="408">
        <v>0.02</v>
      </c>
      <c r="AF145" s="654">
        <v>0.01</v>
      </c>
      <c r="AG145" s="309"/>
      <c r="AH145" s="309"/>
      <c r="AI145" s="309"/>
      <c r="AJ145" s="309"/>
      <c r="AK145" s="309"/>
      <c r="AL145" s="309"/>
      <c r="AM145" s="309"/>
      <c r="AN145" s="407"/>
      <c r="AO145" s="407"/>
      <c r="AP145" s="407"/>
      <c r="AQ145" s="407"/>
      <c r="AR145" s="407"/>
      <c r="AS145" s="407"/>
      <c r="AT145" s="407"/>
      <c r="AU145" s="407"/>
      <c r="AV145" s="407">
        <v>0.01</v>
      </c>
      <c r="AW145" s="407">
        <v>0.1</v>
      </c>
      <c r="AX145" s="938">
        <v>0.03</v>
      </c>
      <c r="AY145" s="323"/>
      <c r="AZ145" s="323"/>
      <c r="BA145" s="323"/>
      <c r="BB145" s="323"/>
      <c r="BC145" s="323"/>
      <c r="BD145" s="309"/>
    </row>
    <row r="146" spans="1:56" s="53" customFormat="1" hidden="1" outlineLevel="1" x14ac:dyDescent="0.25">
      <c r="A146" s="178" t="s">
        <v>88</v>
      </c>
      <c r="B146" s="322"/>
      <c r="C146" s="408"/>
      <c r="D146" s="408"/>
      <c r="E146" s="408"/>
      <c r="F146" s="408"/>
      <c r="G146" s="408"/>
      <c r="H146" s="408"/>
      <c r="I146" s="408"/>
      <c r="J146" s="408"/>
      <c r="K146" s="408"/>
      <c r="L146" s="408"/>
      <c r="M146" s="408"/>
      <c r="N146" s="408"/>
      <c r="O146" s="408"/>
      <c r="P146" s="408"/>
      <c r="Q146" s="409"/>
      <c r="R146" s="408"/>
      <c r="S146" s="408"/>
      <c r="T146" s="408"/>
      <c r="U146" s="409">
        <v>0.01</v>
      </c>
      <c r="V146" s="408"/>
      <c r="W146" s="408">
        <v>0.01</v>
      </c>
      <c r="X146" s="408"/>
      <c r="Y146" s="409">
        <v>0.02</v>
      </c>
      <c r="Z146" s="408">
        <v>0.03</v>
      </c>
      <c r="AA146" s="408">
        <v>0.01</v>
      </c>
      <c r="AB146" s="408">
        <v>0.02</v>
      </c>
      <c r="AC146" s="409">
        <v>0.01</v>
      </c>
      <c r="AD146" s="408">
        <v>0.02</v>
      </c>
      <c r="AE146" s="408">
        <v>0.04</v>
      </c>
      <c r="AF146" s="654"/>
      <c r="AG146" s="309"/>
      <c r="AH146" s="309"/>
      <c r="AI146" s="309"/>
      <c r="AJ146" s="309"/>
      <c r="AK146" s="309"/>
      <c r="AL146" s="309"/>
      <c r="AM146" s="309"/>
      <c r="AN146" s="407"/>
      <c r="AO146" s="407"/>
      <c r="AP146" s="407"/>
      <c r="AQ146" s="407"/>
      <c r="AR146" s="407"/>
      <c r="AS146" s="407"/>
      <c r="AT146" s="407"/>
      <c r="AU146" s="407"/>
      <c r="AV146" s="407">
        <v>0.02</v>
      </c>
      <c r="AW146" s="407">
        <v>7.0000000000000007E-2</v>
      </c>
      <c r="AX146" s="938">
        <v>0.05</v>
      </c>
      <c r="AY146" s="323"/>
      <c r="AZ146" s="323"/>
      <c r="BA146" s="323"/>
      <c r="BB146" s="323"/>
      <c r="BC146" s="323"/>
      <c r="BD146" s="309"/>
    </row>
    <row r="147" spans="1:56" s="53" customFormat="1" hidden="1" outlineLevel="1" x14ac:dyDescent="0.25">
      <c r="A147" s="75" t="s">
        <v>469</v>
      </c>
      <c r="B147" s="322"/>
      <c r="C147" s="408"/>
      <c r="D147" s="408"/>
      <c r="E147" s="408"/>
      <c r="F147" s="408"/>
      <c r="G147" s="408"/>
      <c r="H147" s="408"/>
      <c r="I147" s="408"/>
      <c r="J147" s="408"/>
      <c r="K147" s="408"/>
      <c r="L147" s="408"/>
      <c r="M147" s="408"/>
      <c r="N147" s="408"/>
      <c r="O147" s="408"/>
      <c r="P147" s="408"/>
      <c r="Q147" s="409"/>
      <c r="R147" s="408"/>
      <c r="S147" s="408"/>
      <c r="T147" s="408"/>
      <c r="U147" s="409"/>
      <c r="V147" s="408"/>
      <c r="W147" s="408"/>
      <c r="X147" s="408"/>
      <c r="Y147" s="409"/>
      <c r="Z147" s="408"/>
      <c r="AA147" s="408"/>
      <c r="AB147" s="408"/>
      <c r="AC147" s="409"/>
      <c r="AD147" s="408"/>
      <c r="AE147" s="408">
        <v>0.01</v>
      </c>
      <c r="AF147" s="654"/>
      <c r="AG147" s="309"/>
      <c r="AH147" s="309"/>
      <c r="AI147" s="309"/>
      <c r="AJ147" s="309"/>
      <c r="AK147" s="309"/>
      <c r="AL147" s="309"/>
      <c r="AM147" s="309"/>
      <c r="AN147" s="407"/>
      <c r="AO147" s="407"/>
      <c r="AP147" s="407"/>
      <c r="AQ147" s="407"/>
      <c r="AR147" s="407"/>
      <c r="AS147" s="407"/>
      <c r="AT147" s="407"/>
      <c r="AU147" s="407"/>
      <c r="AV147" s="407"/>
      <c r="AW147" s="407"/>
      <c r="AX147" s="938"/>
      <c r="AY147" s="323"/>
      <c r="AZ147" s="323"/>
      <c r="BA147" s="323"/>
      <c r="BB147" s="323"/>
      <c r="BC147" s="323"/>
      <c r="BD147" s="309"/>
    </row>
    <row r="148" spans="1:56" s="53" customFormat="1" hidden="1" outlineLevel="1" x14ac:dyDescent="0.25">
      <c r="A148" s="178" t="s">
        <v>447</v>
      </c>
      <c r="B148" s="322"/>
      <c r="C148" s="408"/>
      <c r="D148" s="408"/>
      <c r="E148" s="408"/>
      <c r="F148" s="408"/>
      <c r="G148" s="408"/>
      <c r="H148" s="408"/>
      <c r="I148" s="408"/>
      <c r="J148" s="408"/>
      <c r="K148" s="408"/>
      <c r="L148" s="408"/>
      <c r="M148" s="408"/>
      <c r="N148" s="408"/>
      <c r="O148" s="408"/>
      <c r="P148" s="408"/>
      <c r="Q148" s="409"/>
      <c r="R148" s="408"/>
      <c r="S148" s="408"/>
      <c r="T148" s="408"/>
      <c r="U148" s="409"/>
      <c r="V148" s="408"/>
      <c r="W148" s="408"/>
      <c r="X148" s="408"/>
      <c r="Y148" s="409"/>
      <c r="Z148" s="408"/>
      <c r="AA148" s="408"/>
      <c r="AB148" s="408"/>
      <c r="AC148" s="409"/>
      <c r="AD148" s="408">
        <v>0.01</v>
      </c>
      <c r="AE148" s="408">
        <v>0.01</v>
      </c>
      <c r="AF148" s="654">
        <v>0.01</v>
      </c>
      <c r="AG148" s="309"/>
      <c r="AH148" s="309"/>
      <c r="AI148" s="309"/>
      <c r="AJ148" s="309"/>
      <c r="AK148" s="309"/>
      <c r="AL148" s="309"/>
      <c r="AM148" s="309"/>
      <c r="AN148" s="407"/>
      <c r="AO148" s="407"/>
      <c r="AP148" s="407"/>
      <c r="AQ148" s="407"/>
      <c r="AR148" s="407"/>
      <c r="AS148" s="407"/>
      <c r="AT148" s="407"/>
      <c r="AU148" s="407"/>
      <c r="AV148" s="407"/>
      <c r="AW148" s="407"/>
      <c r="AX148" s="938">
        <v>0.03</v>
      </c>
      <c r="AY148" s="323"/>
      <c r="AZ148" s="323"/>
      <c r="BA148" s="323"/>
      <c r="BB148" s="323"/>
      <c r="BC148" s="323"/>
      <c r="BD148" s="309"/>
    </row>
    <row r="149" spans="1:56" s="53" customFormat="1" hidden="1" outlineLevel="1" x14ac:dyDescent="0.25">
      <c r="A149" s="178" t="s">
        <v>89</v>
      </c>
      <c r="B149" s="322"/>
      <c r="C149" s="408"/>
      <c r="D149" s="408"/>
      <c r="E149" s="408"/>
      <c r="F149" s="408"/>
      <c r="G149" s="408"/>
      <c r="H149" s="408"/>
      <c r="I149" s="408"/>
      <c r="J149" s="408"/>
      <c r="K149" s="408"/>
      <c r="L149" s="408"/>
      <c r="M149" s="408"/>
      <c r="N149" s="408"/>
      <c r="O149" s="408"/>
      <c r="P149" s="408"/>
      <c r="Q149" s="409"/>
      <c r="R149" s="408"/>
      <c r="S149" s="408"/>
      <c r="T149" s="408"/>
      <c r="U149" s="409">
        <v>0.01</v>
      </c>
      <c r="V149" s="408">
        <v>0.01</v>
      </c>
      <c r="W149" s="408"/>
      <c r="X149" s="408"/>
      <c r="Y149" s="409">
        <v>0.03</v>
      </c>
      <c r="Z149" s="408"/>
      <c r="AA149" s="408"/>
      <c r="AB149" s="408"/>
      <c r="AC149" s="409"/>
      <c r="AD149" s="408">
        <v>-0.48</v>
      </c>
      <c r="AE149" s="408">
        <v>-0.04</v>
      </c>
      <c r="AF149" s="654"/>
      <c r="AG149" s="309"/>
      <c r="AH149" s="309"/>
      <c r="AI149" s="309"/>
      <c r="AJ149" s="309"/>
      <c r="AK149" s="309"/>
      <c r="AL149" s="309"/>
      <c r="AM149" s="309"/>
      <c r="AN149" s="407"/>
      <c r="AO149" s="407"/>
      <c r="AP149" s="407"/>
      <c r="AQ149" s="407"/>
      <c r="AR149" s="407"/>
      <c r="AS149" s="407"/>
      <c r="AT149" s="407"/>
      <c r="AU149" s="407"/>
      <c r="AV149" s="407">
        <v>0.05</v>
      </c>
      <c r="AW149" s="407">
        <v>0.04</v>
      </c>
      <c r="AX149" s="938">
        <v>-0.48</v>
      </c>
      <c r="AY149" s="323"/>
      <c r="AZ149" s="323"/>
      <c r="BA149" s="323"/>
      <c r="BB149" s="323"/>
      <c r="BC149" s="323"/>
      <c r="BD149" s="309"/>
    </row>
    <row r="150" spans="1:56" s="53" customFormat="1" hidden="1" outlineLevel="1" x14ac:dyDescent="0.25">
      <c r="A150" s="75" t="s">
        <v>446</v>
      </c>
      <c r="B150" s="322"/>
      <c r="C150" s="408"/>
      <c r="D150" s="408"/>
      <c r="E150" s="408"/>
      <c r="F150" s="408"/>
      <c r="G150" s="408"/>
      <c r="H150" s="408"/>
      <c r="I150" s="408"/>
      <c r="J150" s="408"/>
      <c r="K150" s="408"/>
      <c r="L150" s="408"/>
      <c r="M150" s="408"/>
      <c r="N150" s="408"/>
      <c r="O150" s="408"/>
      <c r="P150" s="408"/>
      <c r="Q150" s="409"/>
      <c r="R150" s="408"/>
      <c r="S150" s="408"/>
      <c r="T150" s="408"/>
      <c r="U150" s="409"/>
      <c r="V150" s="408"/>
      <c r="W150" s="408"/>
      <c r="X150" s="408"/>
      <c r="Y150" s="409"/>
      <c r="Z150" s="408"/>
      <c r="AA150" s="408"/>
      <c r="AB150" s="408"/>
      <c r="AC150" s="409"/>
      <c r="AD150" s="408">
        <v>0.09</v>
      </c>
      <c r="AE150" s="408"/>
      <c r="AF150" s="654"/>
      <c r="AG150" s="309"/>
      <c r="AH150" s="309"/>
      <c r="AI150" s="309"/>
      <c r="AJ150" s="309"/>
      <c r="AK150" s="309"/>
      <c r="AL150" s="309"/>
      <c r="AM150" s="309"/>
      <c r="AN150" s="407"/>
      <c r="AO150" s="407"/>
      <c r="AP150" s="407"/>
      <c r="AQ150" s="407"/>
      <c r="AR150" s="407"/>
      <c r="AS150" s="407"/>
      <c r="AT150" s="407"/>
      <c r="AU150" s="407"/>
      <c r="AV150" s="407"/>
      <c r="AW150" s="407"/>
      <c r="AX150" s="938">
        <v>0.09</v>
      </c>
      <c r="AY150" s="323"/>
      <c r="AZ150" s="323"/>
      <c r="BA150" s="323"/>
      <c r="BB150" s="323"/>
      <c r="BC150" s="323"/>
      <c r="BD150" s="309"/>
    </row>
    <row r="151" spans="1:56" s="53" customFormat="1" hidden="1" outlineLevel="1" x14ac:dyDescent="0.25">
      <c r="A151" s="178" t="s">
        <v>90</v>
      </c>
      <c r="B151" s="322"/>
      <c r="C151" s="408"/>
      <c r="D151" s="408"/>
      <c r="E151" s="408"/>
      <c r="F151" s="408"/>
      <c r="G151" s="408"/>
      <c r="H151" s="408"/>
      <c r="I151" s="408"/>
      <c r="J151" s="408"/>
      <c r="K151" s="408"/>
      <c r="L151" s="408"/>
      <c r="M151" s="408"/>
      <c r="N151" s="408"/>
      <c r="O151" s="408"/>
      <c r="P151" s="408"/>
      <c r="Q151" s="409"/>
      <c r="R151" s="408"/>
      <c r="S151" s="408"/>
      <c r="T151" s="408"/>
      <c r="U151" s="409">
        <v>0.11</v>
      </c>
      <c r="V151" s="408">
        <v>0.06</v>
      </c>
      <c r="W151" s="408"/>
      <c r="X151" s="408"/>
      <c r="Y151" s="409"/>
      <c r="Z151" s="408"/>
      <c r="AA151" s="408"/>
      <c r="AB151" s="408"/>
      <c r="AC151" s="409"/>
      <c r="AD151" s="408"/>
      <c r="AE151" s="408"/>
      <c r="AF151" s="654"/>
      <c r="AG151" s="309"/>
      <c r="AH151" s="309"/>
      <c r="AI151" s="309"/>
      <c r="AJ151" s="309"/>
      <c r="AK151" s="309"/>
      <c r="AL151" s="309"/>
      <c r="AM151" s="309"/>
      <c r="AN151" s="407"/>
      <c r="AO151" s="407"/>
      <c r="AP151" s="407"/>
      <c r="AQ151" s="407"/>
      <c r="AR151" s="407"/>
      <c r="AS151" s="407"/>
      <c r="AT151" s="407"/>
      <c r="AU151" s="407"/>
      <c r="AV151" s="407">
        <v>0.16</v>
      </c>
      <c r="AW151" s="407"/>
      <c r="AX151" s="938"/>
      <c r="AY151" s="323"/>
      <c r="AZ151" s="323"/>
      <c r="BA151" s="323"/>
      <c r="BB151" s="323"/>
      <c r="BC151" s="323"/>
      <c r="BD151" s="309"/>
    </row>
    <row r="152" spans="1:56" s="53" customFormat="1" hidden="1" outlineLevel="1" x14ac:dyDescent="0.25">
      <c r="A152" s="324" t="s">
        <v>96</v>
      </c>
      <c r="B152" s="325"/>
      <c r="C152" s="327"/>
      <c r="D152" s="327"/>
      <c r="E152" s="327"/>
      <c r="F152" s="327"/>
      <c r="G152" s="327"/>
      <c r="H152" s="327"/>
      <c r="I152" s="327"/>
      <c r="J152" s="327"/>
      <c r="K152" s="327"/>
      <c r="L152" s="327"/>
      <c r="M152" s="327"/>
      <c r="N152" s="327"/>
      <c r="O152" s="327"/>
      <c r="P152" s="327"/>
      <c r="Q152" s="328"/>
      <c r="R152" s="327"/>
      <c r="S152" s="327"/>
      <c r="T152" s="327"/>
      <c r="U152" s="328"/>
      <c r="V152" s="327">
        <v>0.04</v>
      </c>
      <c r="W152" s="327"/>
      <c r="X152" s="327">
        <v>-0.05</v>
      </c>
      <c r="Y152" s="328"/>
      <c r="Z152" s="327"/>
      <c r="AA152" s="327"/>
      <c r="AB152" s="327"/>
      <c r="AC152" s="328"/>
      <c r="AD152" s="327"/>
      <c r="AE152" s="327"/>
      <c r="AF152" s="655"/>
      <c r="AG152" s="327"/>
      <c r="AH152" s="327"/>
      <c r="AI152" s="327"/>
      <c r="AJ152" s="327"/>
      <c r="AK152" s="327"/>
      <c r="AL152" s="327"/>
      <c r="AM152" s="327"/>
      <c r="AN152" s="326"/>
      <c r="AO152" s="326"/>
      <c r="AP152" s="326"/>
      <c r="AQ152" s="326"/>
      <c r="AR152" s="326"/>
      <c r="AS152" s="326"/>
      <c r="AT152" s="326"/>
      <c r="AU152" s="326"/>
      <c r="AV152" s="326">
        <v>0.04</v>
      </c>
      <c r="AW152" s="326">
        <v>-0.05</v>
      </c>
      <c r="AX152" s="939"/>
      <c r="AY152" s="326"/>
      <c r="AZ152" s="326"/>
      <c r="BA152" s="326"/>
      <c r="BB152" s="326"/>
      <c r="BC152" s="326"/>
      <c r="BD152" s="309"/>
    </row>
    <row r="153" spans="1:56" s="49" customFormat="1" hidden="1" outlineLevel="1" x14ac:dyDescent="0.25">
      <c r="A153" s="321" t="s">
        <v>97</v>
      </c>
      <c r="B153" s="190"/>
      <c r="C153" s="405"/>
      <c r="D153" s="405"/>
      <c r="E153" s="405"/>
      <c r="F153" s="405"/>
      <c r="G153" s="405"/>
      <c r="H153" s="405"/>
      <c r="I153" s="405"/>
      <c r="J153" s="405"/>
      <c r="K153" s="405"/>
      <c r="L153" s="405"/>
      <c r="M153" s="405"/>
      <c r="N153" s="405"/>
      <c r="O153" s="405"/>
      <c r="P153" s="405"/>
      <c r="Q153" s="406"/>
      <c r="R153" s="405">
        <v>0.4</v>
      </c>
      <c r="S153" s="405">
        <f t="shared" ref="S153:AF153" si="80">SUM(S139:S152)</f>
        <v>0.26262217208004296</v>
      </c>
      <c r="T153" s="405">
        <f t="shared" si="80"/>
        <v>0.40830392681043243</v>
      </c>
      <c r="U153" s="405">
        <f t="shared" si="80"/>
        <v>0.37418797348484867</v>
      </c>
      <c r="V153" s="405">
        <f t="shared" si="80"/>
        <v>0.3899609859904265</v>
      </c>
      <c r="W153" s="405">
        <f t="shared" si="80"/>
        <v>0.15748219948543063</v>
      </c>
      <c r="X153" s="405">
        <f t="shared" si="80"/>
        <v>0.33534847298355552</v>
      </c>
      <c r="Y153" s="406">
        <f t="shared" si="80"/>
        <v>0.26509261486649049</v>
      </c>
      <c r="Z153" s="405">
        <f t="shared" si="80"/>
        <v>0.11312034590439793</v>
      </c>
      <c r="AA153" s="405">
        <f t="shared" si="80"/>
        <v>0.15999640783092936</v>
      </c>
      <c r="AB153" s="405">
        <f t="shared" si="80"/>
        <v>0.22183551847437544</v>
      </c>
      <c r="AC153" s="406">
        <f t="shared" si="80"/>
        <v>0.23639471043154814</v>
      </c>
      <c r="AD153" s="405">
        <f t="shared" si="80"/>
        <v>0.22787309048178131</v>
      </c>
      <c r="AE153" s="405">
        <f t="shared" si="80"/>
        <v>-2.5597359350352625E-2</v>
      </c>
      <c r="AF153" s="653">
        <f t="shared" si="80"/>
        <v>0.12478177485906924</v>
      </c>
      <c r="AG153" s="73"/>
      <c r="AH153" s="73"/>
      <c r="AI153" s="73"/>
      <c r="AJ153" s="73"/>
      <c r="AK153" s="73"/>
      <c r="AL153" s="73"/>
      <c r="AM153" s="73"/>
      <c r="AN153" s="404"/>
      <c r="AO153" s="404"/>
      <c r="AP153" s="404"/>
      <c r="AQ153" s="404"/>
      <c r="AR153" s="404"/>
      <c r="AS153" s="404"/>
      <c r="AT153" s="404"/>
      <c r="AU153" s="404">
        <v>1.22</v>
      </c>
      <c r="AV153" s="404">
        <f>SUM(AV139:AV152)</f>
        <v>1.4340016594559375</v>
      </c>
      <c r="AW153" s="404">
        <f>SUM(AW139:AW152)</f>
        <v>0.8991231432678477</v>
      </c>
      <c r="AX153" s="937">
        <f>SUM(AX139:AX152)</f>
        <v>0.84083624933277601</v>
      </c>
      <c r="AY153" s="108"/>
      <c r="AZ153" s="108"/>
      <c r="BA153" s="108"/>
      <c r="BB153" s="108"/>
      <c r="BC153" s="108"/>
      <c r="BD153" s="73"/>
    </row>
    <row r="154" spans="1:56" s="39" customFormat="1" hidden="1" outlineLevel="1" x14ac:dyDescent="0.25">
      <c r="A154" s="521"/>
      <c r="B154" s="171"/>
      <c r="C154" s="723"/>
      <c r="D154" s="723"/>
      <c r="E154" s="723"/>
      <c r="F154" s="723"/>
      <c r="G154" s="723"/>
      <c r="H154" s="723"/>
      <c r="I154" s="723"/>
      <c r="J154" s="723"/>
      <c r="K154" s="723"/>
      <c r="L154" s="723"/>
      <c r="M154" s="723"/>
      <c r="N154" s="723"/>
      <c r="O154" s="723"/>
      <c r="P154" s="723"/>
      <c r="Q154" s="724"/>
      <c r="R154" s="723"/>
      <c r="S154" s="723"/>
      <c r="T154" s="723"/>
      <c r="U154" s="723"/>
      <c r="V154" s="723"/>
      <c r="W154" s="723"/>
      <c r="X154" s="723"/>
      <c r="Y154" s="724"/>
      <c r="Z154" s="723"/>
      <c r="AA154" s="723"/>
      <c r="AB154" s="723"/>
      <c r="AC154" s="724"/>
      <c r="AD154" s="723"/>
      <c r="AE154" s="723"/>
      <c r="AF154" s="727"/>
      <c r="AG154" s="737"/>
      <c r="AH154" s="737"/>
      <c r="AI154" s="737"/>
      <c r="AJ154" s="737"/>
      <c r="AK154" s="737"/>
      <c r="AL154" s="737"/>
      <c r="AM154" s="737"/>
      <c r="AN154" s="722"/>
      <c r="AO154" s="722"/>
      <c r="AP154" s="722"/>
      <c r="AQ154" s="722"/>
      <c r="AR154" s="722"/>
      <c r="AS154" s="722"/>
      <c r="AT154" s="722"/>
      <c r="AU154" s="722"/>
      <c r="AV154" s="722"/>
      <c r="AW154" s="722"/>
      <c r="AX154" s="927"/>
      <c r="AY154" s="738"/>
      <c r="AZ154" s="738"/>
      <c r="BA154" s="738"/>
      <c r="BB154" s="738"/>
      <c r="BC154" s="738"/>
      <c r="BD154" s="631"/>
    </row>
    <row r="155" spans="1:56" s="39" customFormat="1" hidden="1" outlineLevel="1" x14ac:dyDescent="0.25">
      <c r="A155" s="75" t="s">
        <v>450</v>
      </c>
      <c r="B155" s="171"/>
      <c r="C155" s="723"/>
      <c r="D155" s="723"/>
      <c r="E155" s="723"/>
      <c r="F155" s="723"/>
      <c r="G155" s="723"/>
      <c r="H155" s="723"/>
      <c r="I155" s="723"/>
      <c r="J155" s="723"/>
      <c r="K155" s="723"/>
      <c r="L155" s="723"/>
      <c r="M155" s="723"/>
      <c r="N155" s="723"/>
      <c r="O155" s="723"/>
      <c r="P155" s="723"/>
      <c r="Q155" s="724"/>
      <c r="R155" s="723"/>
      <c r="S155" s="723"/>
      <c r="T155" s="723"/>
      <c r="U155" s="723"/>
      <c r="V155" s="723"/>
      <c r="W155" s="723"/>
      <c r="X155" s="723"/>
      <c r="Y155" s="724"/>
      <c r="Z155" s="723"/>
      <c r="AA155" s="723"/>
      <c r="AB155" s="723"/>
      <c r="AC155" s="724"/>
      <c r="AD155" s="723"/>
      <c r="AE155" s="723"/>
      <c r="AF155" s="727"/>
      <c r="AG155" s="737"/>
      <c r="AH155" s="737"/>
      <c r="AI155" s="737"/>
      <c r="AJ155" s="737"/>
      <c r="AK155" s="737"/>
      <c r="AL155" s="737"/>
      <c r="AM155" s="737"/>
      <c r="AN155" s="722">
        <v>6.3E-2</v>
      </c>
      <c r="AO155" s="722">
        <v>0.105</v>
      </c>
      <c r="AP155" s="722">
        <v>5.7000000000000002E-2</v>
      </c>
      <c r="AQ155" s="722">
        <v>2.9000000000000001E-2</v>
      </c>
      <c r="AR155" s="722">
        <v>5.6000000000000001E-2</v>
      </c>
      <c r="AS155" s="722">
        <v>0.112</v>
      </c>
      <c r="AT155" s="722">
        <v>0.14899999999999999</v>
      </c>
      <c r="AU155" s="722">
        <v>9.4E-2</v>
      </c>
      <c r="AV155" s="722">
        <v>4.2999999999999997E-2</v>
      </c>
      <c r="AW155" s="722">
        <v>8.0000000000000002E-3</v>
      </c>
      <c r="AX155" s="927">
        <v>0.05</v>
      </c>
      <c r="AY155" s="738"/>
      <c r="AZ155" s="738"/>
      <c r="BA155" s="738"/>
      <c r="BB155" s="738"/>
      <c r="BC155" s="738"/>
      <c r="BD155" s="631"/>
    </row>
    <row r="156" spans="1:56" s="39" customFormat="1" hidden="1" outlineLevel="1" x14ac:dyDescent="0.25">
      <c r="A156" s="75" t="s">
        <v>73</v>
      </c>
      <c r="B156" s="171"/>
      <c r="C156" s="723"/>
      <c r="D156" s="723"/>
      <c r="E156" s="723"/>
      <c r="F156" s="723"/>
      <c r="G156" s="723"/>
      <c r="H156" s="723"/>
      <c r="I156" s="723"/>
      <c r="J156" s="723"/>
      <c r="K156" s="723"/>
      <c r="L156" s="723"/>
      <c r="M156" s="723"/>
      <c r="N156" s="723"/>
      <c r="O156" s="723"/>
      <c r="P156" s="723"/>
      <c r="Q156" s="724"/>
      <c r="R156" s="723"/>
      <c r="S156" s="723"/>
      <c r="T156" s="723"/>
      <c r="U156" s="723"/>
      <c r="V156" s="723"/>
      <c r="W156" s="723"/>
      <c r="X156" s="723"/>
      <c r="Y156" s="724"/>
      <c r="Z156" s="723"/>
      <c r="AA156" s="723"/>
      <c r="AB156" s="723"/>
      <c r="AC156" s="724"/>
      <c r="AD156" s="723"/>
      <c r="AE156" s="723"/>
      <c r="AF156" s="727"/>
      <c r="AG156" s="737"/>
      <c r="AH156" s="737"/>
      <c r="AI156" s="737"/>
      <c r="AJ156" s="737"/>
      <c r="AK156" s="737"/>
      <c r="AL156" s="737"/>
      <c r="AM156" s="737"/>
      <c r="AN156" s="722">
        <f t="shared" ref="AN156:AX156" si="81">AN157-AN155</f>
        <v>0.42099999999999999</v>
      </c>
      <c r="AO156" s="722">
        <f t="shared" si="81"/>
        <v>0.44600000000000006</v>
      </c>
      <c r="AP156" s="722">
        <f t="shared" si="81"/>
        <v>0.6</v>
      </c>
      <c r="AQ156" s="722">
        <f t="shared" si="81"/>
        <v>0.36</v>
      </c>
      <c r="AR156" s="722">
        <f t="shared" si="81"/>
        <v>0.44600000000000001</v>
      </c>
      <c r="AS156" s="722">
        <f t="shared" si="81"/>
        <v>-0.315</v>
      </c>
      <c r="AT156" s="722">
        <f t="shared" si="81"/>
        <v>-1.4670000000000001</v>
      </c>
      <c r="AU156" s="722">
        <f t="shared" si="81"/>
        <v>8.3999999999999991E-2</v>
      </c>
      <c r="AV156" s="722">
        <f t="shared" si="81"/>
        <v>-0.13300000000000001</v>
      </c>
      <c r="AW156" s="722">
        <f t="shared" si="81"/>
        <v>-1.905</v>
      </c>
      <c r="AX156" s="927">
        <f t="shared" si="81"/>
        <v>0.36699999999999999</v>
      </c>
      <c r="AY156" s="738"/>
      <c r="AZ156" s="738"/>
      <c r="BA156" s="738"/>
      <c r="BB156" s="738"/>
      <c r="BC156" s="738"/>
      <c r="BD156" s="631"/>
    </row>
    <row r="157" spans="1:56" s="38" customFormat="1" hidden="1" outlineLevel="1" x14ac:dyDescent="0.25">
      <c r="A157" s="40" t="s">
        <v>451</v>
      </c>
      <c r="B157" s="117"/>
      <c r="C157" s="745"/>
      <c r="D157" s="745"/>
      <c r="E157" s="745"/>
      <c r="F157" s="745"/>
      <c r="G157" s="745"/>
      <c r="H157" s="745"/>
      <c r="I157" s="745"/>
      <c r="J157" s="745"/>
      <c r="K157" s="745"/>
      <c r="L157" s="745"/>
      <c r="M157" s="745"/>
      <c r="N157" s="745"/>
      <c r="O157" s="745"/>
      <c r="P157" s="745"/>
      <c r="Q157" s="755"/>
      <c r="R157" s="745"/>
      <c r="S157" s="745"/>
      <c r="T157" s="745"/>
      <c r="U157" s="745"/>
      <c r="V157" s="745"/>
      <c r="W157" s="745"/>
      <c r="X157" s="745"/>
      <c r="Y157" s="755"/>
      <c r="Z157" s="745"/>
      <c r="AA157" s="745"/>
      <c r="AB157" s="745"/>
      <c r="AC157" s="755"/>
      <c r="AD157" s="745"/>
      <c r="AE157" s="745"/>
      <c r="AF157" s="746"/>
      <c r="AG157" s="745"/>
      <c r="AH157" s="745"/>
      <c r="AI157" s="745"/>
      <c r="AJ157" s="745"/>
      <c r="AK157" s="745"/>
      <c r="AL157" s="745"/>
      <c r="AM157" s="745"/>
      <c r="AN157" s="744">
        <f t="shared" ref="AN157:AX157" si="82">AN112</f>
        <v>0.48399999999999999</v>
      </c>
      <c r="AO157" s="744">
        <f t="shared" si="82"/>
        <v>0.55100000000000005</v>
      </c>
      <c r="AP157" s="744">
        <f t="shared" si="82"/>
        <v>0.65700000000000003</v>
      </c>
      <c r="AQ157" s="744">
        <f t="shared" si="82"/>
        <v>0.38900000000000001</v>
      </c>
      <c r="AR157" s="744">
        <f t="shared" si="82"/>
        <v>0.502</v>
      </c>
      <c r="AS157" s="744">
        <f t="shared" si="82"/>
        <v>-0.20300000000000001</v>
      </c>
      <c r="AT157" s="744">
        <f t="shared" si="82"/>
        <v>-1.3180000000000001</v>
      </c>
      <c r="AU157" s="744">
        <f t="shared" si="82"/>
        <v>0.17799999999999999</v>
      </c>
      <c r="AV157" s="744">
        <f t="shared" si="82"/>
        <v>-0.09</v>
      </c>
      <c r="AW157" s="744">
        <f t="shared" si="82"/>
        <v>-1.897</v>
      </c>
      <c r="AX157" s="935">
        <f t="shared" si="82"/>
        <v>0.41699999999999998</v>
      </c>
      <c r="AY157" s="744"/>
      <c r="AZ157" s="744"/>
      <c r="BA157" s="744"/>
      <c r="BB157" s="744"/>
      <c r="BC157" s="744"/>
      <c r="BD157" s="632"/>
    </row>
    <row r="158" spans="1:56" s="39" customFormat="1" collapsed="1" x14ac:dyDescent="0.25">
      <c r="A158" s="521"/>
      <c r="B158" s="171"/>
      <c r="C158" s="723"/>
      <c r="D158" s="723"/>
      <c r="E158" s="723"/>
      <c r="F158" s="723"/>
      <c r="G158" s="723"/>
      <c r="H158" s="723"/>
      <c r="I158" s="723"/>
      <c r="J158" s="723"/>
      <c r="K158" s="723"/>
      <c r="L158" s="723"/>
      <c r="M158" s="723"/>
      <c r="N158" s="723"/>
      <c r="O158" s="723"/>
      <c r="P158" s="723"/>
      <c r="Q158" s="724"/>
      <c r="R158" s="723"/>
      <c r="S158" s="723"/>
      <c r="T158" s="723"/>
      <c r="U158" s="724"/>
      <c r="V158" s="723"/>
      <c r="W158" s="723"/>
      <c r="X158" s="723"/>
      <c r="Y158" s="724"/>
      <c r="Z158" s="723"/>
      <c r="AA158" s="723"/>
      <c r="AB158" s="723"/>
      <c r="AC158" s="724"/>
      <c r="AD158" s="723"/>
      <c r="AE158" s="723"/>
      <c r="AF158" s="727"/>
      <c r="AG158" s="737"/>
      <c r="AH158" s="737"/>
      <c r="AI158" s="737"/>
      <c r="AJ158" s="737"/>
      <c r="AK158" s="737"/>
      <c r="AL158" s="737"/>
      <c r="AM158" s="737"/>
      <c r="AN158" s="722"/>
      <c r="AO158" s="722"/>
      <c r="AP158" s="722"/>
      <c r="AQ158" s="722"/>
      <c r="AR158" s="722"/>
      <c r="AS158" s="722"/>
      <c r="AT158" s="722"/>
      <c r="AU158" s="722"/>
      <c r="AV158" s="722"/>
      <c r="AW158" s="722"/>
      <c r="AX158" s="927"/>
      <c r="AY158" s="738"/>
      <c r="AZ158" s="738"/>
      <c r="BA158" s="738"/>
      <c r="BB158" s="738"/>
      <c r="BC158" s="738"/>
      <c r="BD158" s="631"/>
    </row>
    <row r="159" spans="1:56" s="38" customFormat="1" x14ac:dyDescent="0.25">
      <c r="A159" s="626" t="s">
        <v>98</v>
      </c>
      <c r="B159" s="626"/>
      <c r="C159" s="719"/>
      <c r="D159" s="719"/>
      <c r="E159" s="719"/>
      <c r="F159" s="719"/>
      <c r="G159" s="719"/>
      <c r="H159" s="719"/>
      <c r="I159" s="719"/>
      <c r="J159" s="719"/>
      <c r="K159" s="719"/>
      <c r="L159" s="719"/>
      <c r="M159" s="719"/>
      <c r="N159" s="719"/>
      <c r="O159" s="719"/>
      <c r="P159" s="719"/>
      <c r="Q159" s="719"/>
      <c r="R159" s="719"/>
      <c r="S159" s="719"/>
      <c r="T159" s="719"/>
      <c r="U159" s="719"/>
      <c r="V159" s="719"/>
      <c r="W159" s="719"/>
      <c r="X159" s="719"/>
      <c r="Y159" s="719"/>
      <c r="Z159" s="719"/>
      <c r="AA159" s="719"/>
      <c r="AB159" s="719"/>
      <c r="AC159" s="719"/>
      <c r="AD159" s="719"/>
      <c r="AE159" s="719"/>
      <c r="AF159" s="720"/>
      <c r="AG159" s="721"/>
      <c r="AH159" s="721"/>
      <c r="AI159" s="721"/>
      <c r="AJ159" s="721"/>
      <c r="AK159" s="721"/>
      <c r="AL159" s="721"/>
      <c r="AM159" s="721"/>
      <c r="AN159" s="719"/>
      <c r="AO159" s="719"/>
      <c r="AP159" s="719"/>
      <c r="AQ159" s="719"/>
      <c r="AR159" s="719"/>
      <c r="AS159" s="719"/>
      <c r="AT159" s="719"/>
      <c r="AU159" s="719"/>
      <c r="AV159" s="719"/>
      <c r="AW159" s="719"/>
      <c r="AX159" s="720"/>
      <c r="AY159" s="721"/>
      <c r="AZ159" s="721"/>
      <c r="BA159" s="721"/>
      <c r="BB159" s="721"/>
      <c r="BC159" s="721"/>
      <c r="BD159" s="632"/>
    </row>
    <row r="160" spans="1:56" s="38" customFormat="1" x14ac:dyDescent="0.25">
      <c r="A160" s="503" t="s">
        <v>99</v>
      </c>
      <c r="B160" s="504"/>
      <c r="C160" s="757">
        <f t="shared" ref="C160:AF160" si="83">C101</f>
        <v>101.373</v>
      </c>
      <c r="D160" s="757">
        <f t="shared" si="83"/>
        <v>104.899</v>
      </c>
      <c r="E160" s="757">
        <f t="shared" si="83"/>
        <v>113.197</v>
      </c>
      <c r="F160" s="757">
        <f t="shared" si="83"/>
        <v>117.22000000000003</v>
      </c>
      <c r="G160" s="757">
        <f t="shared" si="83"/>
        <v>117.88</v>
      </c>
      <c r="H160" s="757">
        <f t="shared" si="83"/>
        <v>134.91800000000001</v>
      </c>
      <c r="I160" s="757">
        <f t="shared" si="83"/>
        <v>123.869</v>
      </c>
      <c r="J160" s="757">
        <f t="shared" si="83"/>
        <v>125.20000000000002</v>
      </c>
      <c r="K160" s="757">
        <f t="shared" si="83"/>
        <v>115.253</v>
      </c>
      <c r="L160" s="757">
        <f t="shared" si="83"/>
        <v>125.66500000000001</v>
      </c>
      <c r="M160" s="757">
        <f t="shared" si="83"/>
        <v>122.931</v>
      </c>
      <c r="N160" s="757">
        <f t="shared" si="83"/>
        <v>126.43099999999997</v>
      </c>
      <c r="O160" s="757">
        <f t="shared" si="83"/>
        <v>115.756</v>
      </c>
      <c r="P160" s="757">
        <f t="shared" si="83"/>
        <v>125.542</v>
      </c>
      <c r="Q160" s="757">
        <f t="shared" si="83"/>
        <v>121.97799999999999</v>
      </c>
      <c r="R160" s="757">
        <f t="shared" si="83"/>
        <v>127.283</v>
      </c>
      <c r="S160" s="757">
        <f t="shared" si="83"/>
        <v>122.447</v>
      </c>
      <c r="T160" s="757">
        <f t="shared" si="83"/>
        <v>131.161</v>
      </c>
      <c r="U160" s="757">
        <f t="shared" si="83"/>
        <v>124.09699999999999</v>
      </c>
      <c r="V160" s="757">
        <f t="shared" si="83"/>
        <v>131.50300000000004</v>
      </c>
      <c r="W160" s="757">
        <f t="shared" si="83"/>
        <v>125.032</v>
      </c>
      <c r="X160" s="757">
        <f t="shared" si="83"/>
        <v>133.691</v>
      </c>
      <c r="Y160" s="757">
        <f t="shared" si="83"/>
        <v>123.566</v>
      </c>
      <c r="Z160" s="757">
        <f t="shared" si="83"/>
        <v>132.87099999999998</v>
      </c>
      <c r="AA160" s="757">
        <f t="shared" si="83"/>
        <v>139.47300000000001</v>
      </c>
      <c r="AB160" s="757">
        <f t="shared" si="83"/>
        <v>149.41300000000001</v>
      </c>
      <c r="AC160" s="757">
        <f t="shared" si="83"/>
        <v>139.005</v>
      </c>
      <c r="AD160" s="740">
        <f t="shared" si="83"/>
        <v>155.39899999999994</v>
      </c>
      <c r="AE160" s="757">
        <f t="shared" si="83"/>
        <v>128.28100000000001</v>
      </c>
      <c r="AF160" s="758">
        <f t="shared" si="83"/>
        <v>106.14400000000001</v>
      </c>
      <c r="AG160" s="759">
        <f t="shared" ref="AG160:AL160" si="84">AG29</f>
        <v>130</v>
      </c>
      <c r="AH160" s="759">
        <f t="shared" si="84"/>
        <v>147</v>
      </c>
      <c r="AI160" s="759">
        <f t="shared" si="84"/>
        <v>137.26067</v>
      </c>
      <c r="AJ160" s="759">
        <f t="shared" si="84"/>
        <v>127.35121000000001</v>
      </c>
      <c r="AK160" s="759">
        <f t="shared" si="84"/>
        <v>132.30000000000001</v>
      </c>
      <c r="AL160" s="759">
        <f t="shared" si="84"/>
        <v>149.70999999999998</v>
      </c>
      <c r="AM160" s="759"/>
      <c r="AN160" s="756">
        <f t="shared" ref="AN160:AX160" si="85">AN101</f>
        <v>219.24</v>
      </c>
      <c r="AO160" s="756">
        <f t="shared" si="85"/>
        <v>259.92599999999999</v>
      </c>
      <c r="AP160" s="756">
        <f t="shared" si="85"/>
        <v>333.16699999999997</v>
      </c>
      <c r="AQ160" s="756">
        <f t="shared" si="85"/>
        <v>401.572</v>
      </c>
      <c r="AR160" s="756">
        <f t="shared" si="85"/>
        <v>436.68900000000002</v>
      </c>
      <c r="AS160" s="756">
        <f t="shared" si="85"/>
        <v>501.86700000000002</v>
      </c>
      <c r="AT160" s="756">
        <f t="shared" si="85"/>
        <v>490.28</v>
      </c>
      <c r="AU160" s="756">
        <f t="shared" si="85"/>
        <v>490.55900000000003</v>
      </c>
      <c r="AV160" s="756">
        <f t="shared" si="85"/>
        <v>509.20800000000003</v>
      </c>
      <c r="AW160" s="756">
        <f t="shared" si="85"/>
        <v>515.16</v>
      </c>
      <c r="AX160" s="934">
        <f t="shared" si="85"/>
        <v>583.29</v>
      </c>
      <c r="AY160" s="760">
        <f>SUM(AE160,AF160,AG160,AH160)</f>
        <v>511.42500000000001</v>
      </c>
      <c r="AZ160" s="760">
        <f>SUM(AI160,AJ160,AK160,AL160)</f>
        <v>546.62188000000003</v>
      </c>
      <c r="BA160" s="760">
        <f>BA29</f>
        <v>601.28406800000005</v>
      </c>
      <c r="BB160" s="760">
        <f>BB29</f>
        <v>661.41247480000015</v>
      </c>
      <c r="BC160" s="760">
        <f>BC29</f>
        <v>694.48309854000013</v>
      </c>
      <c r="BD160" s="632"/>
    </row>
    <row r="161" spans="1:56" s="110" customFormat="1" x14ac:dyDescent="0.25">
      <c r="A161" s="811" t="str">
        <f>CONCATENATE("Consensus Estimates - ",IFERROR(LEFT(A160,FIND("(",A160)-1),A160))</f>
        <v>Consensus Estimates - Net Revenue</v>
      </c>
      <c r="B161" s="812"/>
      <c r="C161" s="762"/>
      <c r="D161" s="762"/>
      <c r="E161" s="762"/>
      <c r="F161" s="762"/>
      <c r="G161" s="762"/>
      <c r="H161" s="762"/>
      <c r="I161" s="762"/>
      <c r="J161" s="762"/>
      <c r="K161" s="762"/>
      <c r="L161" s="762"/>
      <c r="M161" s="762"/>
      <c r="N161" s="762"/>
      <c r="O161" s="762"/>
      <c r="P161" s="762"/>
      <c r="Q161" s="763"/>
      <c r="R161" s="762"/>
      <c r="S161" s="762"/>
      <c r="T161" s="762"/>
      <c r="U161" s="763"/>
      <c r="V161" s="762"/>
      <c r="W161" s="762"/>
      <c r="X161" s="762"/>
      <c r="Y161" s="763"/>
      <c r="Z161" s="762"/>
      <c r="AA161" s="762"/>
      <c r="AB161" s="762"/>
      <c r="AC161" s="763"/>
      <c r="AD161" s="764"/>
      <c r="AE161" s="762"/>
      <c r="AF161" s="766"/>
      <c r="AG161" s="767" t="str">
        <f t="shared" ref="AG161:AL161" ca="1" si="86">IFERROR(VLOOKUP($A161,tb_ConsensusEstimate,MATCH(AG$5,OFFSET(tb_ConsensusEstimate,0,0,1,COLUMNS(tb_ConsensusEstimate)),0),FALSE),"-")</f>
        <v>N/A</v>
      </c>
      <c r="AH161" s="767" t="str">
        <f t="shared" ca="1" si="86"/>
        <v>N/A</v>
      </c>
      <c r="AI161" s="767" t="str">
        <f t="shared" ca="1" si="86"/>
        <v>N/A</v>
      </c>
      <c r="AJ161" s="767" t="str">
        <f t="shared" ca="1" si="86"/>
        <v>N/A</v>
      </c>
      <c r="AK161" s="767" t="str">
        <f t="shared" ca="1" si="86"/>
        <v>N/A</v>
      </c>
      <c r="AL161" s="767" t="str">
        <f t="shared" ca="1" si="86"/>
        <v>N/A</v>
      </c>
      <c r="AM161" s="767"/>
      <c r="AN161" s="761"/>
      <c r="AO161" s="761"/>
      <c r="AP161" s="761"/>
      <c r="AQ161" s="761"/>
      <c r="AR161" s="761"/>
      <c r="AS161" s="761"/>
      <c r="AT161" s="761"/>
      <c r="AU161" s="761"/>
      <c r="AV161" s="761"/>
      <c r="AW161" s="761"/>
      <c r="AX161" s="940"/>
      <c r="AY161" s="768" t="str">
        <f ca="1">IFERROR(VLOOKUP($A161,tb_ConsensusEstimate,MATCH(AY$5,OFFSET(tb_ConsensusEstimate,0,0,1,COLUMNS(tb_ConsensusEstimate)),0),FALSE),"-")</f>
        <v>N/A</v>
      </c>
      <c r="AZ161" s="768" t="str">
        <f ca="1">IFERROR(VLOOKUP($A161,tb_ConsensusEstimate,MATCH(AZ$5,OFFSET(tb_ConsensusEstimate,0,0,1,COLUMNS(tb_ConsensusEstimate)),0),FALSE),"-")</f>
        <v>N/A</v>
      </c>
      <c r="BA161" s="768" t="str">
        <f ca="1">IFERROR(VLOOKUP(A161,tb_ConsensusEstimate,MATCH(BA5,OFFSET(tb_ConsensusEstimate,0,0,1,COLUMNS(tb_ConsensusEstimate)),0),FALSE),"-")</f>
        <v>N/A</v>
      </c>
      <c r="BB161" s="768" t="str">
        <f ca="1">IFERROR(VLOOKUP(A161,tb_ConsensusEstimate,MATCH(BB5,OFFSET(tb_ConsensusEstimate,0,0,1,COLUMNS(tb_ConsensusEstimate)),0),FALSE),"-")</f>
        <v>N/A</v>
      </c>
      <c r="BC161" s="768" t="str">
        <f ca="1">IFERROR(VLOOKUP(A161,tb_ConsensusEstimate,MATCH(BC5,OFFSET(tb_ConsensusEstimate,0,0,1,COLUMNS(tb_ConsensusEstimate)),0),FALSE),"-")</f>
        <v>-</v>
      </c>
      <c r="BD161" s="634"/>
    </row>
    <row r="162" spans="1:56" s="38" customFormat="1" x14ac:dyDescent="0.25">
      <c r="A162" s="503"/>
      <c r="B162" s="504"/>
      <c r="C162" s="757"/>
      <c r="D162" s="757"/>
      <c r="E162" s="757"/>
      <c r="F162" s="757"/>
      <c r="G162" s="757"/>
      <c r="H162" s="757"/>
      <c r="I162" s="757"/>
      <c r="J162" s="757"/>
      <c r="K162" s="757"/>
      <c r="L162" s="757"/>
      <c r="M162" s="757"/>
      <c r="N162" s="757"/>
      <c r="O162" s="757"/>
      <c r="P162" s="757"/>
      <c r="Q162" s="757"/>
      <c r="R162" s="757"/>
      <c r="S162" s="757"/>
      <c r="T162" s="757"/>
      <c r="U162" s="757"/>
      <c r="V162" s="757"/>
      <c r="W162" s="757"/>
      <c r="X162" s="757"/>
      <c r="Y162" s="757"/>
      <c r="Z162" s="757"/>
      <c r="AA162" s="757"/>
      <c r="AB162" s="757"/>
      <c r="AC162" s="757"/>
      <c r="AD162" s="740"/>
      <c r="AE162" s="757"/>
      <c r="AF162" s="758"/>
      <c r="AG162" s="769"/>
      <c r="AH162" s="769"/>
      <c r="AI162" s="769"/>
      <c r="AJ162" s="769"/>
      <c r="AK162" s="769"/>
      <c r="AL162" s="769"/>
      <c r="AM162" s="769"/>
      <c r="AN162" s="756"/>
      <c r="AO162" s="756"/>
      <c r="AP162" s="756"/>
      <c r="AQ162" s="756"/>
      <c r="AR162" s="756"/>
      <c r="AS162" s="756"/>
      <c r="AT162" s="756"/>
      <c r="AU162" s="756"/>
      <c r="AV162" s="756"/>
      <c r="AW162" s="756"/>
      <c r="AX162" s="934"/>
      <c r="AY162" s="770"/>
      <c r="AZ162" s="770"/>
      <c r="BA162" s="770"/>
      <c r="BB162" s="770"/>
      <c r="BC162" s="770"/>
      <c r="BD162" s="632"/>
    </row>
    <row r="163" spans="1:56" s="39" customFormat="1" x14ac:dyDescent="0.25">
      <c r="A163" s="307" t="s">
        <v>100</v>
      </c>
      <c r="B163" s="225"/>
      <c r="C163" s="725">
        <f t="shared" ref="C163:AF163" si="87">C102-C171</f>
        <v>83.233999999999995</v>
      </c>
      <c r="D163" s="725">
        <f t="shared" si="87"/>
        <v>84.512</v>
      </c>
      <c r="E163" s="725">
        <f t="shared" si="87"/>
        <v>90.830999999999989</v>
      </c>
      <c r="F163" s="725">
        <f t="shared" si="87"/>
        <v>93.229999999999961</v>
      </c>
      <c r="G163" s="725">
        <f t="shared" si="87"/>
        <v>97.117000000000004</v>
      </c>
      <c r="H163" s="725">
        <f t="shared" si="87"/>
        <v>107.60799999999999</v>
      </c>
      <c r="I163" s="725">
        <f t="shared" si="87"/>
        <v>98.825000000000003</v>
      </c>
      <c r="J163" s="725">
        <f t="shared" si="87"/>
        <v>98.983999999999924</v>
      </c>
      <c r="K163" s="725">
        <f t="shared" si="87"/>
        <v>94.05</v>
      </c>
      <c r="L163" s="725">
        <f t="shared" si="87"/>
        <v>103.605</v>
      </c>
      <c r="M163" s="725">
        <f t="shared" si="87"/>
        <v>100.6</v>
      </c>
      <c r="N163" s="725">
        <f t="shared" si="87"/>
        <v>102.16800000000002</v>
      </c>
      <c r="O163" s="725">
        <f t="shared" si="87"/>
        <v>96.063999999999993</v>
      </c>
      <c r="P163" s="725">
        <f t="shared" si="87"/>
        <v>103.488</v>
      </c>
      <c r="Q163" s="725">
        <f t="shared" si="87"/>
        <v>100.48</v>
      </c>
      <c r="R163" s="725">
        <f t="shared" si="87"/>
        <v>103.908</v>
      </c>
      <c r="S163" s="725">
        <f t="shared" si="87"/>
        <v>101.616</v>
      </c>
      <c r="T163" s="725">
        <f t="shared" si="87"/>
        <v>106.96299999999999</v>
      </c>
      <c r="U163" s="725">
        <f t="shared" si="87"/>
        <v>103.50399999999999</v>
      </c>
      <c r="V163" s="725">
        <f t="shared" si="87"/>
        <v>108.124</v>
      </c>
      <c r="W163" s="725">
        <f t="shared" si="87"/>
        <v>105.511</v>
      </c>
      <c r="X163" s="725">
        <f t="shared" si="87"/>
        <v>109.199</v>
      </c>
      <c r="Y163" s="725">
        <f t="shared" si="87"/>
        <v>102.458</v>
      </c>
      <c r="Z163" s="725">
        <f t="shared" si="87"/>
        <v>112.32799999999995</v>
      </c>
      <c r="AA163" s="725">
        <f t="shared" si="87"/>
        <v>115.854</v>
      </c>
      <c r="AB163" s="725">
        <f t="shared" si="87"/>
        <v>124.13799999999999</v>
      </c>
      <c r="AC163" s="725">
        <f t="shared" si="87"/>
        <v>115.003</v>
      </c>
      <c r="AD163" s="723">
        <f t="shared" si="87"/>
        <v>129.60000000000002</v>
      </c>
      <c r="AE163" s="725">
        <f t="shared" si="87"/>
        <v>108.49</v>
      </c>
      <c r="AF163" s="771">
        <f t="shared" si="87"/>
        <v>88.17</v>
      </c>
      <c r="AG163" s="730">
        <f t="shared" ref="AG163:AL163" si="88">AG33-AG171</f>
        <v>107.56</v>
      </c>
      <c r="AH163" s="730">
        <f t="shared" si="88"/>
        <v>120.92000000000002</v>
      </c>
      <c r="AI163" s="730">
        <f t="shared" si="88"/>
        <v>113.15872010000001</v>
      </c>
      <c r="AJ163" s="730">
        <f t="shared" si="88"/>
        <v>104.20549335000001</v>
      </c>
      <c r="AK163" s="730">
        <f t="shared" si="88"/>
        <v>108.446</v>
      </c>
      <c r="AL163" s="730">
        <f t="shared" si="88"/>
        <v>120.66219999999998</v>
      </c>
      <c r="AM163" s="730"/>
      <c r="AN163" s="726">
        <f t="shared" ref="AN163:AX163" si="89">AN102-AN171</f>
        <v>181.76900000000001</v>
      </c>
      <c r="AO163" s="726">
        <f t="shared" si="89"/>
        <v>213.006</v>
      </c>
      <c r="AP163" s="726">
        <f t="shared" si="89"/>
        <v>270.346</v>
      </c>
      <c r="AQ163" s="726">
        <f t="shared" si="89"/>
        <v>321.63</v>
      </c>
      <c r="AR163" s="726">
        <f t="shared" si="89"/>
        <v>351.80699999999996</v>
      </c>
      <c r="AS163" s="726">
        <f t="shared" si="89"/>
        <v>402.53399999999999</v>
      </c>
      <c r="AT163" s="726">
        <f t="shared" si="89"/>
        <v>400.423</v>
      </c>
      <c r="AU163" s="726">
        <f t="shared" si="89"/>
        <v>403.94</v>
      </c>
      <c r="AV163" s="726">
        <f t="shared" si="89"/>
        <v>420.20699999999999</v>
      </c>
      <c r="AW163" s="726">
        <f t="shared" si="89"/>
        <v>429.49599999999998</v>
      </c>
      <c r="AX163" s="927">
        <f t="shared" si="89"/>
        <v>484.59500000000003</v>
      </c>
      <c r="AY163" s="729">
        <f>SUM(AE163,AF163,AG163,AH163)</f>
        <v>425.14000000000004</v>
      </c>
      <c r="AZ163" s="729">
        <f>SUM(AI163,AJ163,AK163,AL163)</f>
        <v>446.47241344999998</v>
      </c>
      <c r="BA163" s="729">
        <f>BA33-BA171</f>
        <v>489.12692572000003</v>
      </c>
      <c r="BB163" s="729">
        <f>BB33-BB171</f>
        <v>538.87961829200003</v>
      </c>
      <c r="BC163" s="729">
        <f>BC33-BC171</f>
        <v>566.24359920660015</v>
      </c>
      <c r="BD163" s="631"/>
    </row>
    <row r="164" spans="1:56" s="38" customFormat="1" x14ac:dyDescent="0.25">
      <c r="A164" s="259" t="s">
        <v>101</v>
      </c>
      <c r="B164" s="260"/>
      <c r="C164" s="747">
        <f t="shared" ref="C164:AL164" si="90">C160-C163</f>
        <v>18.13900000000001</v>
      </c>
      <c r="D164" s="747">
        <f t="shared" si="90"/>
        <v>20.387</v>
      </c>
      <c r="E164" s="747">
        <f t="shared" si="90"/>
        <v>22.366000000000014</v>
      </c>
      <c r="F164" s="747">
        <f t="shared" si="90"/>
        <v>23.990000000000066</v>
      </c>
      <c r="G164" s="747">
        <f t="shared" si="90"/>
        <v>20.762999999999991</v>
      </c>
      <c r="H164" s="747">
        <f t="shared" si="90"/>
        <v>27.310000000000016</v>
      </c>
      <c r="I164" s="747">
        <f t="shared" si="90"/>
        <v>25.043999999999997</v>
      </c>
      <c r="J164" s="747">
        <f t="shared" si="90"/>
        <v>26.216000000000093</v>
      </c>
      <c r="K164" s="747">
        <f t="shared" si="90"/>
        <v>21.203000000000003</v>
      </c>
      <c r="L164" s="747">
        <f t="shared" si="90"/>
        <v>22.060000000000002</v>
      </c>
      <c r="M164" s="747">
        <f t="shared" si="90"/>
        <v>22.331000000000003</v>
      </c>
      <c r="N164" s="747">
        <f t="shared" si="90"/>
        <v>24.262999999999948</v>
      </c>
      <c r="O164" s="747">
        <f t="shared" si="90"/>
        <v>19.692000000000007</v>
      </c>
      <c r="P164" s="747">
        <f t="shared" si="90"/>
        <v>22.054000000000002</v>
      </c>
      <c r="Q164" s="747">
        <f t="shared" si="90"/>
        <v>21.49799999999999</v>
      </c>
      <c r="R164" s="747">
        <f t="shared" si="90"/>
        <v>23.375</v>
      </c>
      <c r="S164" s="747">
        <f t="shared" si="90"/>
        <v>20.831000000000003</v>
      </c>
      <c r="T164" s="747">
        <f t="shared" si="90"/>
        <v>24.198000000000008</v>
      </c>
      <c r="U164" s="747">
        <f t="shared" si="90"/>
        <v>20.593000000000004</v>
      </c>
      <c r="V164" s="747">
        <f t="shared" si="90"/>
        <v>23.379000000000048</v>
      </c>
      <c r="W164" s="747">
        <f t="shared" si="90"/>
        <v>19.521000000000001</v>
      </c>
      <c r="X164" s="747">
        <f t="shared" si="90"/>
        <v>24.492000000000004</v>
      </c>
      <c r="Y164" s="747">
        <f t="shared" si="90"/>
        <v>21.108000000000004</v>
      </c>
      <c r="Z164" s="747">
        <f t="shared" si="90"/>
        <v>20.543000000000035</v>
      </c>
      <c r="AA164" s="747">
        <f t="shared" si="90"/>
        <v>23.619000000000014</v>
      </c>
      <c r="AB164" s="747">
        <f t="shared" si="90"/>
        <v>25.27500000000002</v>
      </c>
      <c r="AC164" s="747">
        <f t="shared" si="90"/>
        <v>24.001999999999995</v>
      </c>
      <c r="AD164" s="745">
        <f t="shared" si="90"/>
        <v>25.798999999999921</v>
      </c>
      <c r="AE164" s="747">
        <f t="shared" si="90"/>
        <v>19.791000000000011</v>
      </c>
      <c r="AF164" s="772">
        <f t="shared" si="90"/>
        <v>17.974000000000004</v>
      </c>
      <c r="AG164" s="747">
        <f t="shared" si="90"/>
        <v>22.439999999999998</v>
      </c>
      <c r="AH164" s="747">
        <f t="shared" si="90"/>
        <v>26.079999999999984</v>
      </c>
      <c r="AI164" s="747">
        <f t="shared" si="90"/>
        <v>24.101949899999994</v>
      </c>
      <c r="AJ164" s="747">
        <f t="shared" si="90"/>
        <v>23.145716649999997</v>
      </c>
      <c r="AK164" s="747">
        <f t="shared" si="90"/>
        <v>23.854000000000013</v>
      </c>
      <c r="AL164" s="747">
        <f t="shared" si="90"/>
        <v>29.047799999999995</v>
      </c>
      <c r="AM164" s="747"/>
      <c r="AN164" s="748">
        <f t="shared" ref="AN164:BC164" si="91">AN160-AN163</f>
        <v>37.471000000000004</v>
      </c>
      <c r="AO164" s="748">
        <f t="shared" si="91"/>
        <v>46.919999999999987</v>
      </c>
      <c r="AP164" s="748">
        <f t="shared" si="91"/>
        <v>62.82099999999997</v>
      </c>
      <c r="AQ164" s="748">
        <f t="shared" si="91"/>
        <v>79.942000000000007</v>
      </c>
      <c r="AR164" s="748">
        <f t="shared" si="91"/>
        <v>84.882000000000062</v>
      </c>
      <c r="AS164" s="748">
        <f t="shared" si="91"/>
        <v>99.333000000000027</v>
      </c>
      <c r="AT164" s="748">
        <f t="shared" si="91"/>
        <v>89.856999999999971</v>
      </c>
      <c r="AU164" s="748">
        <f t="shared" si="91"/>
        <v>86.619000000000028</v>
      </c>
      <c r="AV164" s="748">
        <f t="shared" si="91"/>
        <v>89.001000000000033</v>
      </c>
      <c r="AW164" s="748">
        <f t="shared" si="91"/>
        <v>85.663999999999987</v>
      </c>
      <c r="AX164" s="935">
        <f t="shared" si="91"/>
        <v>98.694999999999936</v>
      </c>
      <c r="AY164" s="748">
        <f t="shared" si="91"/>
        <v>86.284999999999968</v>
      </c>
      <c r="AZ164" s="748">
        <f t="shared" si="91"/>
        <v>100.14946655000006</v>
      </c>
      <c r="BA164" s="748">
        <f t="shared" si="91"/>
        <v>112.15714228000002</v>
      </c>
      <c r="BB164" s="748">
        <f t="shared" si="91"/>
        <v>122.53285650800012</v>
      </c>
      <c r="BC164" s="748">
        <f t="shared" si="91"/>
        <v>128.23949933339998</v>
      </c>
      <c r="BD164" s="632"/>
    </row>
    <row r="165" spans="1:56" s="38" customFormat="1" x14ac:dyDescent="0.25">
      <c r="A165" s="503"/>
      <c r="B165" s="504"/>
      <c r="C165" s="757"/>
      <c r="D165" s="757"/>
      <c r="E165" s="757"/>
      <c r="F165" s="757"/>
      <c r="G165" s="757"/>
      <c r="H165" s="757"/>
      <c r="I165" s="757"/>
      <c r="J165" s="757"/>
      <c r="K165" s="757"/>
      <c r="L165" s="757"/>
      <c r="M165" s="757"/>
      <c r="N165" s="757"/>
      <c r="O165" s="757"/>
      <c r="P165" s="757"/>
      <c r="Q165" s="757"/>
      <c r="R165" s="757"/>
      <c r="S165" s="757"/>
      <c r="T165" s="757"/>
      <c r="U165" s="757"/>
      <c r="V165" s="757"/>
      <c r="W165" s="757"/>
      <c r="X165" s="757"/>
      <c r="Y165" s="757"/>
      <c r="Z165" s="757"/>
      <c r="AA165" s="757"/>
      <c r="AB165" s="757"/>
      <c r="AC165" s="757"/>
      <c r="AD165" s="740"/>
      <c r="AE165" s="757"/>
      <c r="AF165" s="758"/>
      <c r="AG165" s="769"/>
      <c r="AH165" s="769"/>
      <c r="AI165" s="769"/>
      <c r="AJ165" s="769"/>
      <c r="AK165" s="769"/>
      <c r="AL165" s="769"/>
      <c r="AM165" s="769"/>
      <c r="AN165" s="756"/>
      <c r="AO165" s="756"/>
      <c r="AP165" s="756"/>
      <c r="AQ165" s="756"/>
      <c r="AR165" s="756"/>
      <c r="AS165" s="756"/>
      <c r="AT165" s="756"/>
      <c r="AU165" s="756"/>
      <c r="AV165" s="756"/>
      <c r="AW165" s="756"/>
      <c r="AX165" s="934"/>
      <c r="AY165" s="770"/>
      <c r="AZ165" s="770"/>
      <c r="BA165" s="770"/>
      <c r="BB165" s="770"/>
      <c r="BC165" s="770"/>
      <c r="BD165" s="632"/>
    </row>
    <row r="166" spans="1:56" s="39" customFormat="1" x14ac:dyDescent="0.25">
      <c r="A166" s="307" t="s">
        <v>102</v>
      </c>
      <c r="B166" s="225"/>
      <c r="C166" s="725">
        <f t="shared" ref="C166:AF166" si="92">C104-C172</f>
        <v>8.136000000000001</v>
      </c>
      <c r="D166" s="725">
        <f t="shared" si="92"/>
        <v>8.9240000000000013</v>
      </c>
      <c r="E166" s="725">
        <f t="shared" si="92"/>
        <v>8.8979999999999997</v>
      </c>
      <c r="F166" s="725">
        <f t="shared" si="92"/>
        <v>9.9579999999999984</v>
      </c>
      <c r="G166" s="725">
        <f t="shared" si="92"/>
        <v>10.477</v>
      </c>
      <c r="H166" s="725">
        <f t="shared" si="92"/>
        <v>10.257999999999999</v>
      </c>
      <c r="I166" s="725">
        <f t="shared" si="92"/>
        <v>10.669</v>
      </c>
      <c r="J166" s="725">
        <f t="shared" si="92"/>
        <v>10.880999999999998</v>
      </c>
      <c r="K166" s="725">
        <f t="shared" si="92"/>
        <v>10.260999999999999</v>
      </c>
      <c r="L166" s="725">
        <f t="shared" si="92"/>
        <v>10.425000000000001</v>
      </c>
      <c r="M166" s="725">
        <f t="shared" si="92"/>
        <v>10.7</v>
      </c>
      <c r="N166" s="725">
        <f t="shared" si="92"/>
        <v>10.303000000000003</v>
      </c>
      <c r="O166" s="725">
        <f t="shared" si="92"/>
        <v>10.474</v>
      </c>
      <c r="P166" s="725">
        <f t="shared" si="92"/>
        <v>10.887</v>
      </c>
      <c r="Q166" s="725">
        <f t="shared" si="92"/>
        <v>10.428000000000001</v>
      </c>
      <c r="R166" s="725">
        <f t="shared" si="92"/>
        <v>10.793000000000003</v>
      </c>
      <c r="S166" s="725">
        <f t="shared" si="92"/>
        <v>11.536</v>
      </c>
      <c r="T166" s="725">
        <f t="shared" si="92"/>
        <v>11.504</v>
      </c>
      <c r="U166" s="725">
        <f t="shared" si="92"/>
        <v>12.869</v>
      </c>
      <c r="V166" s="725">
        <f t="shared" si="92"/>
        <v>15.196000000000002</v>
      </c>
      <c r="W166" s="725">
        <f t="shared" si="92"/>
        <v>13.174999999999999</v>
      </c>
      <c r="X166" s="725">
        <f t="shared" si="92"/>
        <v>14.102</v>
      </c>
      <c r="Y166" s="725">
        <f t="shared" si="92"/>
        <v>12.557</v>
      </c>
      <c r="Z166" s="725">
        <f t="shared" si="92"/>
        <v>15.502000000000001</v>
      </c>
      <c r="AA166" s="725">
        <f t="shared" si="92"/>
        <v>17.027000000000001</v>
      </c>
      <c r="AB166" s="725">
        <f t="shared" si="92"/>
        <v>15.978</v>
      </c>
      <c r="AC166" s="725">
        <f t="shared" si="92"/>
        <v>15.55</v>
      </c>
      <c r="AD166" s="723">
        <f t="shared" si="92"/>
        <v>18.217000000000006</v>
      </c>
      <c r="AE166" s="725">
        <f t="shared" si="92"/>
        <v>17.866999999999997</v>
      </c>
      <c r="AF166" s="771">
        <f t="shared" si="92"/>
        <v>14.500999999999999</v>
      </c>
      <c r="AG166" s="730">
        <f t="shared" ref="AG166:AL166" si="93">AG$160*AG95</f>
        <v>16.510000000000002</v>
      </c>
      <c r="AH166" s="730">
        <f t="shared" si="93"/>
        <v>18.375</v>
      </c>
      <c r="AI166" s="730">
        <f t="shared" si="93"/>
        <v>18.118408440000003</v>
      </c>
      <c r="AJ166" s="730">
        <f t="shared" si="93"/>
        <v>16.5556573</v>
      </c>
      <c r="AK166" s="730">
        <f t="shared" si="93"/>
        <v>16.802100000000003</v>
      </c>
      <c r="AL166" s="730">
        <f t="shared" si="93"/>
        <v>18.713749999999997</v>
      </c>
      <c r="AM166" s="730"/>
      <c r="AN166" s="726">
        <f t="shared" ref="AN166:AX166" si="94">AN104-AN172</f>
        <v>19.161999999999999</v>
      </c>
      <c r="AO166" s="726">
        <f t="shared" si="94"/>
        <v>21.454000000000001</v>
      </c>
      <c r="AP166" s="726">
        <f t="shared" si="94"/>
        <v>27.148999999999997</v>
      </c>
      <c r="AQ166" s="726">
        <f t="shared" si="94"/>
        <v>31.884999999999998</v>
      </c>
      <c r="AR166" s="726">
        <f t="shared" si="94"/>
        <v>35.915999999999997</v>
      </c>
      <c r="AS166" s="726">
        <f t="shared" si="94"/>
        <v>42.284999999999997</v>
      </c>
      <c r="AT166" s="726">
        <f t="shared" si="94"/>
        <v>41.689</v>
      </c>
      <c r="AU166" s="726">
        <f t="shared" si="94"/>
        <v>42.582000000000001</v>
      </c>
      <c r="AV166" s="726">
        <f t="shared" si="94"/>
        <v>51.104999999999997</v>
      </c>
      <c r="AW166" s="726">
        <f t="shared" si="94"/>
        <v>55.335999999999999</v>
      </c>
      <c r="AX166" s="927">
        <f t="shared" si="94"/>
        <v>66.772000000000006</v>
      </c>
      <c r="AY166" s="729">
        <f>SUM(AE166,AF166,AG166,AH166)</f>
        <v>67.253</v>
      </c>
      <c r="AZ166" s="729">
        <f>SUM(AI166,AJ166,AK166,AL166)</f>
        <v>70.189915740000004</v>
      </c>
      <c r="BA166" s="729">
        <f>BA160*BA95</f>
        <v>72.154088160000001</v>
      </c>
      <c r="BB166" s="729">
        <f>BB160*BB95</f>
        <v>72.755372228000013</v>
      </c>
      <c r="BC166" s="729">
        <f>BC160*BC95</f>
        <v>76.393140839400019</v>
      </c>
      <c r="BD166" s="631"/>
    </row>
    <row r="167" spans="1:56" s="38" customFormat="1" x14ac:dyDescent="0.25">
      <c r="A167" s="259" t="s">
        <v>81</v>
      </c>
      <c r="B167" s="260"/>
      <c r="C167" s="747">
        <f t="shared" ref="C167:AL167" si="95">C164-SUM(C166)</f>
        <v>10.003000000000009</v>
      </c>
      <c r="D167" s="747">
        <f t="shared" si="95"/>
        <v>11.462999999999999</v>
      </c>
      <c r="E167" s="747">
        <f t="shared" si="95"/>
        <v>13.468000000000014</v>
      </c>
      <c r="F167" s="747">
        <f t="shared" si="95"/>
        <v>14.032000000000068</v>
      </c>
      <c r="G167" s="747">
        <f t="shared" si="95"/>
        <v>10.285999999999991</v>
      </c>
      <c r="H167" s="747">
        <f t="shared" si="95"/>
        <v>17.052000000000017</v>
      </c>
      <c r="I167" s="747">
        <f t="shared" si="95"/>
        <v>14.374999999999996</v>
      </c>
      <c r="J167" s="747">
        <f t="shared" si="95"/>
        <v>15.335000000000095</v>
      </c>
      <c r="K167" s="747">
        <f t="shared" si="95"/>
        <v>10.942000000000004</v>
      </c>
      <c r="L167" s="747">
        <f t="shared" si="95"/>
        <v>11.635000000000002</v>
      </c>
      <c r="M167" s="747">
        <f t="shared" si="95"/>
        <v>11.631000000000004</v>
      </c>
      <c r="N167" s="747">
        <f t="shared" si="95"/>
        <v>13.959999999999946</v>
      </c>
      <c r="O167" s="747">
        <f t="shared" si="95"/>
        <v>9.2180000000000071</v>
      </c>
      <c r="P167" s="747">
        <f t="shared" si="95"/>
        <v>11.167000000000002</v>
      </c>
      <c r="Q167" s="747">
        <f t="shared" si="95"/>
        <v>11.06999999999999</v>
      </c>
      <c r="R167" s="747">
        <f t="shared" si="95"/>
        <v>12.581999999999997</v>
      </c>
      <c r="S167" s="747">
        <f t="shared" si="95"/>
        <v>9.2950000000000035</v>
      </c>
      <c r="T167" s="747">
        <f t="shared" si="95"/>
        <v>12.694000000000008</v>
      </c>
      <c r="U167" s="747">
        <f t="shared" si="95"/>
        <v>7.7240000000000038</v>
      </c>
      <c r="V167" s="747">
        <f t="shared" si="95"/>
        <v>8.183000000000046</v>
      </c>
      <c r="W167" s="747">
        <f t="shared" si="95"/>
        <v>6.3460000000000019</v>
      </c>
      <c r="X167" s="747">
        <f t="shared" si="95"/>
        <v>10.390000000000004</v>
      </c>
      <c r="Y167" s="747">
        <f t="shared" si="95"/>
        <v>8.5510000000000037</v>
      </c>
      <c r="Z167" s="747">
        <f t="shared" si="95"/>
        <v>5.0410000000000341</v>
      </c>
      <c r="AA167" s="747">
        <f t="shared" si="95"/>
        <v>6.592000000000013</v>
      </c>
      <c r="AB167" s="747">
        <f t="shared" si="95"/>
        <v>9.2970000000000201</v>
      </c>
      <c r="AC167" s="747">
        <f t="shared" si="95"/>
        <v>8.4519999999999946</v>
      </c>
      <c r="AD167" s="745">
        <f t="shared" si="95"/>
        <v>7.5819999999999155</v>
      </c>
      <c r="AE167" s="747">
        <f t="shared" si="95"/>
        <v>1.9240000000000137</v>
      </c>
      <c r="AF167" s="772">
        <f t="shared" si="95"/>
        <v>3.4730000000000043</v>
      </c>
      <c r="AG167" s="747">
        <f t="shared" si="95"/>
        <v>5.9299999999999962</v>
      </c>
      <c r="AH167" s="747">
        <f t="shared" si="95"/>
        <v>7.7049999999999841</v>
      </c>
      <c r="AI167" s="747">
        <f t="shared" si="95"/>
        <v>5.9835414599999908</v>
      </c>
      <c r="AJ167" s="747">
        <f t="shared" si="95"/>
        <v>6.5900593499999971</v>
      </c>
      <c r="AK167" s="747">
        <f t="shared" si="95"/>
        <v>7.0519000000000105</v>
      </c>
      <c r="AL167" s="747">
        <f t="shared" si="95"/>
        <v>10.334049999999998</v>
      </c>
      <c r="AM167" s="747"/>
      <c r="AN167" s="748">
        <f t="shared" ref="AN167:BC167" si="96">AN164-SUM(AN166)</f>
        <v>18.309000000000005</v>
      </c>
      <c r="AO167" s="748">
        <f t="shared" si="96"/>
        <v>25.465999999999987</v>
      </c>
      <c r="AP167" s="748">
        <f t="shared" si="96"/>
        <v>35.671999999999969</v>
      </c>
      <c r="AQ167" s="748">
        <f t="shared" si="96"/>
        <v>48.057000000000009</v>
      </c>
      <c r="AR167" s="748">
        <f t="shared" si="96"/>
        <v>48.966000000000065</v>
      </c>
      <c r="AS167" s="748">
        <f t="shared" si="96"/>
        <v>57.04800000000003</v>
      </c>
      <c r="AT167" s="748">
        <f t="shared" si="96"/>
        <v>48.167999999999971</v>
      </c>
      <c r="AU167" s="748">
        <f t="shared" si="96"/>
        <v>44.037000000000027</v>
      </c>
      <c r="AV167" s="748">
        <f t="shared" si="96"/>
        <v>37.896000000000036</v>
      </c>
      <c r="AW167" s="748">
        <f t="shared" si="96"/>
        <v>30.327999999999989</v>
      </c>
      <c r="AX167" s="935">
        <f t="shared" si="96"/>
        <v>31.922999999999931</v>
      </c>
      <c r="AY167" s="748">
        <f t="shared" si="96"/>
        <v>19.031999999999968</v>
      </c>
      <c r="AZ167" s="748">
        <f t="shared" si="96"/>
        <v>29.959550810000053</v>
      </c>
      <c r="BA167" s="748">
        <f t="shared" si="96"/>
        <v>40.003054120000016</v>
      </c>
      <c r="BB167" s="748">
        <f t="shared" si="96"/>
        <v>49.77748428000011</v>
      </c>
      <c r="BC167" s="748">
        <f t="shared" si="96"/>
        <v>51.846358493999958</v>
      </c>
      <c r="BD167" s="632"/>
    </row>
    <row r="168" spans="1:56" s="38" customFormat="1" x14ac:dyDescent="0.25">
      <c r="A168" s="503" t="str">
        <f>CONCATENATE("Adjusted ",A167,IF(AND(ROUND(SUM(AN167:BF167)-SUM(AN168:BF168),6)=0)," (No Adjustments)",""))</f>
        <v>Adjusted EBITDA</v>
      </c>
      <c r="B168" s="504"/>
      <c r="C168" s="757">
        <f t="shared" ref="C168:Q168" si="97">C125+C172</f>
        <v>10.47900000000001</v>
      </c>
      <c r="D168" s="757">
        <f t="shared" si="97"/>
        <v>11.600999999999996</v>
      </c>
      <c r="E168" s="757">
        <f t="shared" si="97"/>
        <v>13.607000000000006</v>
      </c>
      <c r="F168" s="757">
        <f t="shared" si="97"/>
        <v>15.457000000000075</v>
      </c>
      <c r="G168" s="757">
        <f t="shared" si="97"/>
        <v>10.85199999999999</v>
      </c>
      <c r="H168" s="757">
        <f t="shared" si="97"/>
        <v>17.60100000000001</v>
      </c>
      <c r="I168" s="757">
        <f t="shared" si="97"/>
        <v>14.957999999999998</v>
      </c>
      <c r="J168" s="757">
        <f t="shared" si="97"/>
        <v>14.826000000000091</v>
      </c>
      <c r="K168" s="757">
        <f t="shared" si="97"/>
        <v>10.514000000000006</v>
      </c>
      <c r="L168" s="757">
        <f t="shared" si="97"/>
        <v>11.27000000000001</v>
      </c>
      <c r="M168" s="757">
        <f t="shared" si="97"/>
        <v>9.7740000000000009</v>
      </c>
      <c r="N168" s="757">
        <f t="shared" si="97"/>
        <v>13.369999999999946</v>
      </c>
      <c r="O168" s="757">
        <f t="shared" si="97"/>
        <v>9.513000000000007</v>
      </c>
      <c r="P168" s="757">
        <f t="shared" si="97"/>
        <v>11.430000000000007</v>
      </c>
      <c r="Q168" s="757">
        <f t="shared" si="97"/>
        <v>11.038999999999991</v>
      </c>
      <c r="R168" s="757">
        <f t="shared" ref="R168:AF168" si="98">R137</f>
        <v>12.159000000000001</v>
      </c>
      <c r="S168" s="757">
        <f t="shared" si="98"/>
        <v>9.7550000000000061</v>
      </c>
      <c r="T168" s="757">
        <f t="shared" si="98"/>
        <v>13.908000000000003</v>
      </c>
      <c r="U168" s="757">
        <f t="shared" si="98"/>
        <v>12.392999999999997</v>
      </c>
      <c r="V168" s="757">
        <f t="shared" si="98"/>
        <v>12.211</v>
      </c>
      <c r="W168" s="757">
        <f t="shared" si="98"/>
        <v>8.142000000000003</v>
      </c>
      <c r="X168" s="757">
        <f t="shared" si="98"/>
        <v>11.768000000000006</v>
      </c>
      <c r="Y168" s="757">
        <f t="shared" si="98"/>
        <v>9.8129999999999953</v>
      </c>
      <c r="Z168" s="757">
        <f t="shared" si="98"/>
        <v>7.4950000000000294</v>
      </c>
      <c r="AA168" s="757">
        <f t="shared" si="98"/>
        <v>8.7710000000000203</v>
      </c>
      <c r="AB168" s="757">
        <f t="shared" si="98"/>
        <v>10.435000000000018</v>
      </c>
      <c r="AC168" s="757">
        <f t="shared" si="98"/>
        <v>10.758000000000001</v>
      </c>
      <c r="AD168" s="740">
        <f t="shared" si="98"/>
        <v>10.958999999999905</v>
      </c>
      <c r="AE168" s="757">
        <f t="shared" si="98"/>
        <v>3.4240000000000066</v>
      </c>
      <c r="AF168" s="758">
        <f t="shared" si="98"/>
        <v>5.9840000000000071</v>
      </c>
      <c r="AG168" s="759">
        <f t="shared" ref="AG168:AL168" si="99">AG167</f>
        <v>5.9299999999999962</v>
      </c>
      <c r="AH168" s="759">
        <f t="shared" si="99"/>
        <v>7.7049999999999841</v>
      </c>
      <c r="AI168" s="759">
        <f t="shared" si="99"/>
        <v>5.9835414599999908</v>
      </c>
      <c r="AJ168" s="759">
        <f t="shared" si="99"/>
        <v>6.5900593499999971</v>
      </c>
      <c r="AK168" s="759">
        <f t="shared" si="99"/>
        <v>7.0519000000000105</v>
      </c>
      <c r="AL168" s="759">
        <f t="shared" si="99"/>
        <v>10.334049999999998</v>
      </c>
      <c r="AM168" s="759"/>
      <c r="AN168" s="756">
        <f t="shared" ref="AN168:AT168" si="100">AN125+AN172</f>
        <v>18.793000000000006</v>
      </c>
      <c r="AO168" s="756">
        <f t="shared" si="100"/>
        <v>27.329999999999995</v>
      </c>
      <c r="AP168" s="756">
        <f t="shared" si="100"/>
        <v>37.886999999999958</v>
      </c>
      <c r="AQ168" s="756">
        <f t="shared" si="100"/>
        <v>47.657000000000004</v>
      </c>
      <c r="AR168" s="756">
        <f t="shared" si="100"/>
        <v>51.144000000000048</v>
      </c>
      <c r="AS168" s="756">
        <f t="shared" si="100"/>
        <v>58.237000000000045</v>
      </c>
      <c r="AT168" s="756">
        <f t="shared" si="100"/>
        <v>44.927999999999955</v>
      </c>
      <c r="AU168" s="756">
        <f>AU125</f>
        <v>38.064000000000036</v>
      </c>
      <c r="AV168" s="756">
        <f>AV137</f>
        <v>49.266000000000005</v>
      </c>
      <c r="AW168" s="756">
        <f>AW137</f>
        <v>37.917000000000002</v>
      </c>
      <c r="AX168" s="934">
        <f>AX137</f>
        <v>40.922999999999973</v>
      </c>
      <c r="AY168" s="760">
        <f>SUM(AE168,AF168,AG168,AH168)</f>
        <v>23.042999999999992</v>
      </c>
      <c r="AZ168" s="760">
        <f>SUM(AI168,AJ168,AK168,AL168)</f>
        <v>29.959550809999996</v>
      </c>
      <c r="BA168" s="760">
        <f>BA167</f>
        <v>40.003054120000016</v>
      </c>
      <c r="BB168" s="760">
        <f>BB167</f>
        <v>49.77748428000011</v>
      </c>
      <c r="BC168" s="760">
        <f>BC167</f>
        <v>51.846358493999958</v>
      </c>
      <c r="BD168" s="632"/>
    </row>
    <row r="169" spans="1:56" s="110" customFormat="1" x14ac:dyDescent="0.25">
      <c r="A169" s="811" t="str">
        <f>CONCATENATE("Consensus Estimates - ",IFERROR(LEFT(A168,FIND("(",A168)-1),A168))</f>
        <v>Consensus Estimates - Adjusted EBITDA</v>
      </c>
      <c r="B169" s="812"/>
      <c r="C169" s="762"/>
      <c r="D169" s="762"/>
      <c r="E169" s="762"/>
      <c r="F169" s="762"/>
      <c r="G169" s="762"/>
      <c r="H169" s="762"/>
      <c r="I169" s="762"/>
      <c r="J169" s="762"/>
      <c r="K169" s="762"/>
      <c r="L169" s="762"/>
      <c r="M169" s="762"/>
      <c r="N169" s="762"/>
      <c r="O169" s="762"/>
      <c r="P169" s="762"/>
      <c r="Q169" s="763"/>
      <c r="R169" s="762"/>
      <c r="S169" s="762"/>
      <c r="T169" s="762"/>
      <c r="U169" s="763"/>
      <c r="V169" s="762"/>
      <c r="W169" s="762"/>
      <c r="X169" s="762"/>
      <c r="Y169" s="763"/>
      <c r="Z169" s="762"/>
      <c r="AA169" s="762"/>
      <c r="AB169" s="762"/>
      <c r="AC169" s="763"/>
      <c r="AD169" s="764"/>
      <c r="AE169" s="762"/>
      <c r="AF169" s="766"/>
      <c r="AG169" s="767" t="str">
        <f t="shared" ref="AG169:AL169" ca="1" si="101">IFERROR(VLOOKUP($A169,tb_ConsensusEstimate,MATCH(AG$5,OFFSET(tb_ConsensusEstimate,0,0,1,COLUMNS(tb_ConsensusEstimate)),0),FALSE),"-")</f>
        <v>N/A</v>
      </c>
      <c r="AH169" s="767" t="str">
        <f t="shared" ca="1" si="101"/>
        <v>N/A</v>
      </c>
      <c r="AI169" s="767" t="str">
        <f t="shared" ca="1" si="101"/>
        <v>N/A</v>
      </c>
      <c r="AJ169" s="767" t="str">
        <f t="shared" ca="1" si="101"/>
        <v>N/A</v>
      </c>
      <c r="AK169" s="767" t="str">
        <f t="shared" ca="1" si="101"/>
        <v>N/A</v>
      </c>
      <c r="AL169" s="767" t="str">
        <f t="shared" ca="1" si="101"/>
        <v>N/A</v>
      </c>
      <c r="AM169" s="767"/>
      <c r="AN169" s="761"/>
      <c r="AO169" s="761"/>
      <c r="AP169" s="761"/>
      <c r="AQ169" s="761"/>
      <c r="AR169" s="761"/>
      <c r="AS169" s="761"/>
      <c r="AT169" s="761"/>
      <c r="AU169" s="761"/>
      <c r="AV169" s="761"/>
      <c r="AW169" s="761"/>
      <c r="AX169" s="940"/>
      <c r="AY169" s="768" t="str">
        <f ca="1">IFERROR(VLOOKUP($A169,tb_ConsensusEstimate,MATCH(AY$5,OFFSET(tb_ConsensusEstimate,0,0,1,COLUMNS(tb_ConsensusEstimate)),0),FALSE),"-")</f>
        <v>N/A</v>
      </c>
      <c r="AZ169" s="768" t="str">
        <f ca="1">IFERROR(VLOOKUP($A169,tb_ConsensusEstimate,MATCH(AZ$5,OFFSET(tb_ConsensusEstimate,0,0,1,COLUMNS(tb_ConsensusEstimate)),0),FALSE),"-")</f>
        <v>N/A</v>
      </c>
      <c r="BA169" s="768" t="str">
        <f ca="1">IFERROR(VLOOKUP(A169,tb_ConsensusEstimate,MATCH(BA5,OFFSET(tb_ConsensusEstimate,0,0,1,COLUMNS(tb_ConsensusEstimate)),0),FALSE),"-")</f>
        <v>N/A</v>
      </c>
      <c r="BB169" s="768" t="str">
        <f ca="1">IFERROR(VLOOKUP(A169,tb_ConsensusEstimate,MATCH(BB5,OFFSET(tb_ConsensusEstimate,0,0,1,COLUMNS(tb_ConsensusEstimate)),0),FALSE),"-")</f>
        <v>N/A</v>
      </c>
      <c r="BC169" s="768" t="str">
        <f ca="1">IFERROR(VLOOKUP(A169,tb_ConsensusEstimate,MATCH(BC5,OFFSET(tb_ConsensusEstimate,0,0,1,COLUMNS(tb_ConsensusEstimate)),0),FALSE),"-")</f>
        <v>-</v>
      </c>
      <c r="BD169" s="634"/>
    </row>
    <row r="170" spans="1:56" s="48" customFormat="1" x14ac:dyDescent="0.25">
      <c r="A170" s="170"/>
      <c r="B170" s="191"/>
      <c r="C170" s="414"/>
      <c r="D170" s="414"/>
      <c r="E170" s="414"/>
      <c r="F170" s="414"/>
      <c r="G170" s="414"/>
      <c r="H170" s="414"/>
      <c r="I170" s="414"/>
      <c r="J170" s="414"/>
      <c r="K170" s="414"/>
      <c r="L170" s="414"/>
      <c r="M170" s="414"/>
      <c r="N170" s="414"/>
      <c r="O170" s="414"/>
      <c r="P170" s="414"/>
      <c r="Q170" s="415"/>
      <c r="R170" s="414"/>
      <c r="S170" s="414"/>
      <c r="T170" s="414"/>
      <c r="U170" s="415"/>
      <c r="V170" s="414"/>
      <c r="W170" s="414"/>
      <c r="X170" s="414"/>
      <c r="Y170" s="415"/>
      <c r="Z170" s="414"/>
      <c r="AA170" s="414"/>
      <c r="AB170" s="414"/>
      <c r="AC170" s="415"/>
      <c r="AD170" s="604"/>
      <c r="AE170" s="414"/>
      <c r="AF170" s="656"/>
      <c r="AG170" s="510"/>
      <c r="AH170" s="510"/>
      <c r="AI170" s="510"/>
      <c r="AJ170" s="510"/>
      <c r="AK170" s="510"/>
      <c r="AL170" s="510"/>
      <c r="AM170" s="510"/>
      <c r="AN170" s="413"/>
      <c r="AO170" s="413"/>
      <c r="AP170" s="413"/>
      <c r="AQ170" s="413"/>
      <c r="AR170" s="413"/>
      <c r="AS170" s="413"/>
      <c r="AT170" s="413"/>
      <c r="AU170" s="413"/>
      <c r="AV170" s="413"/>
      <c r="AW170" s="413"/>
      <c r="AX170" s="941"/>
      <c r="AY170" s="511"/>
      <c r="AZ170" s="511"/>
      <c r="BA170" s="512"/>
      <c r="BB170" s="512"/>
      <c r="BC170" s="512"/>
      <c r="BD170" s="71"/>
    </row>
    <row r="171" spans="1:56" s="39" customFormat="1" x14ac:dyDescent="0.25">
      <c r="A171" s="307" t="s">
        <v>103</v>
      </c>
      <c r="B171" s="225"/>
      <c r="C171" s="725">
        <f t="shared" ref="C171:AE171" si="102">C333</f>
        <v>1.958</v>
      </c>
      <c r="D171" s="725">
        <f t="shared" si="102"/>
        <v>1.9920000000000002</v>
      </c>
      <c r="E171" s="725">
        <f t="shared" si="102"/>
        <v>2.3049999999999997</v>
      </c>
      <c r="F171" s="725">
        <f t="shared" si="102"/>
        <v>2.362000000000001</v>
      </c>
      <c r="G171" s="725">
        <f t="shared" si="102"/>
        <v>2.4079999999999999</v>
      </c>
      <c r="H171" s="725">
        <f t="shared" si="102"/>
        <v>2.5429999999999997</v>
      </c>
      <c r="I171" s="725">
        <f t="shared" si="102"/>
        <v>2.5260000000000007</v>
      </c>
      <c r="J171" s="725">
        <f t="shared" si="102"/>
        <v>2.2809999999999988</v>
      </c>
      <c r="K171" s="725">
        <f t="shared" si="102"/>
        <v>2.0680000000000001</v>
      </c>
      <c r="L171" s="725">
        <f t="shared" si="102"/>
        <v>1.9839999999999995</v>
      </c>
      <c r="M171" s="725">
        <f t="shared" si="102"/>
        <v>1.9620000000000006</v>
      </c>
      <c r="N171" s="725">
        <f t="shared" si="102"/>
        <v>1.851</v>
      </c>
      <c r="O171" s="725">
        <f t="shared" si="102"/>
        <v>1.7649999999999999</v>
      </c>
      <c r="P171" s="725">
        <f t="shared" si="102"/>
        <v>1.7100000000000002</v>
      </c>
      <c r="Q171" s="725">
        <f t="shared" si="102"/>
        <v>1.4940000000000002</v>
      </c>
      <c r="R171" s="725">
        <f t="shared" si="102"/>
        <v>1.4929999999999994</v>
      </c>
      <c r="S171" s="725">
        <f t="shared" si="102"/>
        <v>1.4430000000000001</v>
      </c>
      <c r="T171" s="725">
        <f t="shared" si="102"/>
        <v>1.7629999999999999</v>
      </c>
      <c r="U171" s="725">
        <f t="shared" si="102"/>
        <v>1.9469999999999996</v>
      </c>
      <c r="V171" s="725">
        <f t="shared" si="102"/>
        <v>1.8210000000000006</v>
      </c>
      <c r="W171" s="725">
        <f t="shared" si="102"/>
        <v>1.8420000000000001</v>
      </c>
      <c r="X171" s="725">
        <f t="shared" si="102"/>
        <v>1.919</v>
      </c>
      <c r="Y171" s="725">
        <f t="shared" si="102"/>
        <v>1.9089999999999998</v>
      </c>
      <c r="Z171" s="725">
        <f t="shared" si="102"/>
        <v>2.2510000000000003</v>
      </c>
      <c r="AA171" s="725">
        <f t="shared" si="102"/>
        <v>2.3410000000000002</v>
      </c>
      <c r="AB171" s="725">
        <f t="shared" si="102"/>
        <v>2.3159999999999998</v>
      </c>
      <c r="AC171" s="725">
        <f t="shared" si="102"/>
        <v>2.335</v>
      </c>
      <c r="AD171" s="725">
        <f t="shared" si="102"/>
        <v>2.4899999999999993</v>
      </c>
      <c r="AE171" s="725">
        <f t="shared" si="102"/>
        <v>2.177</v>
      </c>
      <c r="AF171" s="771">
        <f>AF123</f>
        <v>2.077</v>
      </c>
      <c r="AG171" s="878">
        <f>Drivers!AG43</f>
        <v>2.1</v>
      </c>
      <c r="AH171" s="878">
        <f>Drivers!AH43</f>
        <v>2.1</v>
      </c>
      <c r="AI171" s="878">
        <f>Drivers!AI43</f>
        <v>2.1</v>
      </c>
      <c r="AJ171" s="878">
        <f>Drivers!AJ43</f>
        <v>2.1</v>
      </c>
      <c r="AK171" s="878">
        <f>Drivers!AK43</f>
        <v>2.1</v>
      </c>
      <c r="AL171" s="878">
        <f>Drivers!AL43</f>
        <v>2.1</v>
      </c>
      <c r="AM171" s="878"/>
      <c r="AN171" s="726">
        <f t="shared" ref="AN171:AX171" si="103">AN333</f>
        <v>3.38</v>
      </c>
      <c r="AO171" s="726">
        <f t="shared" si="103"/>
        <v>4.2300000000000004</v>
      </c>
      <c r="AP171" s="726">
        <f t="shared" si="103"/>
        <v>6.1870000000000003</v>
      </c>
      <c r="AQ171" s="726">
        <f t="shared" si="103"/>
        <v>7.9710000000000001</v>
      </c>
      <c r="AR171" s="726">
        <f t="shared" si="103"/>
        <v>8.6170000000000009</v>
      </c>
      <c r="AS171" s="726">
        <f t="shared" si="103"/>
        <v>9.7579999999999991</v>
      </c>
      <c r="AT171" s="726">
        <f t="shared" si="103"/>
        <v>7.8650000000000002</v>
      </c>
      <c r="AU171" s="726">
        <f t="shared" si="103"/>
        <v>6.4619999999999997</v>
      </c>
      <c r="AV171" s="726">
        <f t="shared" si="103"/>
        <v>6.9740000000000002</v>
      </c>
      <c r="AW171" s="726">
        <f t="shared" si="103"/>
        <v>7.9210000000000003</v>
      </c>
      <c r="AX171" s="925">
        <f t="shared" si="103"/>
        <v>9.4819999999999993</v>
      </c>
      <c r="AY171" s="729">
        <f>SUM(AE171,AF171,AG171,AH171)</f>
        <v>8.4539999999999988</v>
      </c>
      <c r="AZ171" s="729">
        <f>SUM(AI171,AJ171,AK171,AL171)</f>
        <v>8.4</v>
      </c>
      <c r="BA171" s="878">
        <f>Drivers!BA43</f>
        <v>8.4</v>
      </c>
      <c r="BB171" s="878">
        <f>Drivers!BB43</f>
        <v>8.4</v>
      </c>
      <c r="BC171" s="878">
        <f>Drivers!BC43</f>
        <v>8.4</v>
      </c>
      <c r="BD171" s="631"/>
    </row>
    <row r="172" spans="1:56" s="39" customFormat="1" x14ac:dyDescent="0.25">
      <c r="A172" s="307" t="s">
        <v>104</v>
      </c>
      <c r="B172" s="225"/>
      <c r="C172" s="725">
        <f t="shared" ref="C172:AE172" si="104">C334</f>
        <v>0.95299999999999996</v>
      </c>
      <c r="D172" s="725">
        <f t="shared" si="104"/>
        <v>0.95600000000000007</v>
      </c>
      <c r="E172" s="725">
        <f t="shared" si="104"/>
        <v>0.95799999999999996</v>
      </c>
      <c r="F172" s="725">
        <f t="shared" si="104"/>
        <v>0.80600000000000005</v>
      </c>
      <c r="G172" s="725">
        <f t="shared" si="104"/>
        <v>1.1120000000000001</v>
      </c>
      <c r="H172" s="725">
        <f t="shared" si="104"/>
        <v>1.2039999999999997</v>
      </c>
      <c r="I172" s="725">
        <f t="shared" si="104"/>
        <v>1.194</v>
      </c>
      <c r="J172" s="725">
        <f t="shared" si="104"/>
        <v>1.3130000000000006</v>
      </c>
      <c r="K172" s="725">
        <f t="shared" si="104"/>
        <v>1.3380000000000001</v>
      </c>
      <c r="L172" s="725">
        <f t="shared" si="104"/>
        <v>1.5819999999999999</v>
      </c>
      <c r="M172" s="725">
        <f t="shared" si="104"/>
        <v>1.5529999999999999</v>
      </c>
      <c r="N172" s="725">
        <f t="shared" si="104"/>
        <v>1.5860000000000003</v>
      </c>
      <c r="O172" s="725">
        <f t="shared" si="104"/>
        <v>1.496</v>
      </c>
      <c r="P172" s="725">
        <f t="shared" si="104"/>
        <v>1.3919999999999999</v>
      </c>
      <c r="Q172" s="725">
        <f t="shared" si="104"/>
        <v>1.5680000000000005</v>
      </c>
      <c r="R172" s="725">
        <f t="shared" si="104"/>
        <v>1.5589999999999993</v>
      </c>
      <c r="S172" s="725">
        <f t="shared" si="104"/>
        <v>1.458</v>
      </c>
      <c r="T172" s="725">
        <f t="shared" si="104"/>
        <v>1.7340000000000002</v>
      </c>
      <c r="U172" s="725">
        <f t="shared" si="104"/>
        <v>1.6840000000000002</v>
      </c>
      <c r="V172" s="725">
        <f t="shared" si="104"/>
        <v>1.4379999999999997</v>
      </c>
      <c r="W172" s="725">
        <f t="shared" si="104"/>
        <v>1.409</v>
      </c>
      <c r="X172" s="725">
        <f t="shared" si="104"/>
        <v>1.1249999999999998</v>
      </c>
      <c r="Y172" s="725">
        <f t="shared" si="104"/>
        <v>0.96700000000000008</v>
      </c>
      <c r="Z172" s="725">
        <f t="shared" si="104"/>
        <v>0.80899999999999972</v>
      </c>
      <c r="AA172" s="725">
        <f t="shared" si="104"/>
        <v>1.089</v>
      </c>
      <c r="AB172" s="725">
        <f t="shared" si="104"/>
        <v>1.33</v>
      </c>
      <c r="AC172" s="725">
        <f t="shared" si="104"/>
        <v>1.52</v>
      </c>
      <c r="AD172" s="725">
        <f t="shared" si="104"/>
        <v>1.6559999999999997</v>
      </c>
      <c r="AE172" s="725">
        <f t="shared" si="104"/>
        <v>1.256</v>
      </c>
      <c r="AF172" s="771">
        <f>AF126</f>
        <v>1.536</v>
      </c>
      <c r="AG172" s="878">
        <f>Drivers!AG44</f>
        <v>1.5</v>
      </c>
      <c r="AH172" s="878">
        <f>Drivers!AH44</f>
        <v>1.5</v>
      </c>
      <c r="AI172" s="878">
        <f>Drivers!AI44</f>
        <v>1.5</v>
      </c>
      <c r="AJ172" s="878">
        <f>Drivers!AJ44</f>
        <v>1.5</v>
      </c>
      <c r="AK172" s="878">
        <f>Drivers!AK44</f>
        <v>1.5</v>
      </c>
      <c r="AL172" s="878">
        <f>Drivers!AL44</f>
        <v>1.5</v>
      </c>
      <c r="AM172" s="878"/>
      <c r="AN172" s="726">
        <f t="shared" ref="AN172:AX172" si="105">AN334</f>
        <v>1.6379999999999999</v>
      </c>
      <c r="AO172" s="726">
        <f t="shared" si="105"/>
        <v>2.012</v>
      </c>
      <c r="AP172" s="726">
        <f t="shared" si="105"/>
        <v>3.1</v>
      </c>
      <c r="AQ172" s="726">
        <f t="shared" si="105"/>
        <v>3.6150000000000002</v>
      </c>
      <c r="AR172" s="726">
        <f t="shared" si="105"/>
        <v>3.673</v>
      </c>
      <c r="AS172" s="726">
        <f t="shared" si="105"/>
        <v>4.8230000000000004</v>
      </c>
      <c r="AT172" s="726">
        <f t="shared" si="105"/>
        <v>6.0590000000000002</v>
      </c>
      <c r="AU172" s="726">
        <f t="shared" si="105"/>
        <v>6.0149999999999997</v>
      </c>
      <c r="AV172" s="726">
        <f t="shared" si="105"/>
        <v>6.3140000000000001</v>
      </c>
      <c r="AW172" s="726">
        <f t="shared" si="105"/>
        <v>4.3099999999999996</v>
      </c>
      <c r="AX172" s="925">
        <f t="shared" si="105"/>
        <v>5.5949999999999998</v>
      </c>
      <c r="AY172" s="729">
        <f>SUM(AE172,AF172,AG172,AH172)</f>
        <v>5.7919999999999998</v>
      </c>
      <c r="AZ172" s="729">
        <f>SUM(AI172,AJ172,AK172,AL172)</f>
        <v>6</v>
      </c>
      <c r="BA172" s="878">
        <f>Drivers!BA44</f>
        <v>6</v>
      </c>
      <c r="BB172" s="878">
        <f>Drivers!BB44</f>
        <v>6</v>
      </c>
      <c r="BC172" s="878">
        <f>Drivers!BC44</f>
        <v>6</v>
      </c>
      <c r="BD172" s="631"/>
    </row>
    <row r="173" spans="1:56" s="38" customFormat="1" x14ac:dyDescent="0.25">
      <c r="A173" s="259" t="s">
        <v>105</v>
      </c>
      <c r="B173" s="260"/>
      <c r="C173" s="747">
        <f t="shared" ref="C173:AL173" si="106">C167-SUM(C171:C172)</f>
        <v>7.0920000000000094</v>
      </c>
      <c r="D173" s="747">
        <f t="shared" si="106"/>
        <v>8.5149999999999988</v>
      </c>
      <c r="E173" s="747">
        <f t="shared" si="106"/>
        <v>10.205000000000014</v>
      </c>
      <c r="F173" s="747">
        <f t="shared" si="106"/>
        <v>10.864000000000066</v>
      </c>
      <c r="G173" s="747">
        <f t="shared" si="106"/>
        <v>6.7659999999999911</v>
      </c>
      <c r="H173" s="747">
        <f t="shared" si="106"/>
        <v>13.305000000000017</v>
      </c>
      <c r="I173" s="747">
        <f t="shared" si="106"/>
        <v>10.654999999999996</v>
      </c>
      <c r="J173" s="747">
        <f t="shared" si="106"/>
        <v>11.741000000000096</v>
      </c>
      <c r="K173" s="747">
        <f t="shared" si="106"/>
        <v>7.5360000000000031</v>
      </c>
      <c r="L173" s="747">
        <f t="shared" si="106"/>
        <v>8.0690000000000026</v>
      </c>
      <c r="M173" s="747">
        <f t="shared" si="106"/>
        <v>8.1160000000000032</v>
      </c>
      <c r="N173" s="747">
        <f t="shared" si="106"/>
        <v>10.522999999999946</v>
      </c>
      <c r="O173" s="747">
        <f t="shared" si="106"/>
        <v>5.957000000000007</v>
      </c>
      <c r="P173" s="747">
        <f t="shared" si="106"/>
        <v>8.0650000000000013</v>
      </c>
      <c r="Q173" s="747">
        <f t="shared" si="106"/>
        <v>8.0079999999999885</v>
      </c>
      <c r="R173" s="747">
        <f t="shared" si="106"/>
        <v>9.5299999999999976</v>
      </c>
      <c r="S173" s="747">
        <f t="shared" si="106"/>
        <v>6.3940000000000037</v>
      </c>
      <c r="T173" s="747">
        <f t="shared" si="106"/>
        <v>9.1970000000000081</v>
      </c>
      <c r="U173" s="747">
        <f t="shared" si="106"/>
        <v>4.0930000000000035</v>
      </c>
      <c r="V173" s="747">
        <f t="shared" si="106"/>
        <v>4.9240000000000457</v>
      </c>
      <c r="W173" s="747">
        <f t="shared" si="106"/>
        <v>3.0950000000000015</v>
      </c>
      <c r="X173" s="747">
        <f t="shared" si="106"/>
        <v>7.3460000000000045</v>
      </c>
      <c r="Y173" s="747">
        <f t="shared" si="106"/>
        <v>5.6750000000000043</v>
      </c>
      <c r="Z173" s="747">
        <f t="shared" si="106"/>
        <v>1.9810000000000341</v>
      </c>
      <c r="AA173" s="747">
        <f t="shared" si="106"/>
        <v>3.1620000000000128</v>
      </c>
      <c r="AB173" s="747">
        <f t="shared" si="106"/>
        <v>5.6510000000000202</v>
      </c>
      <c r="AC173" s="747">
        <f t="shared" si="106"/>
        <v>4.5969999999999942</v>
      </c>
      <c r="AD173" s="745">
        <f t="shared" si="106"/>
        <v>3.4359999999999165</v>
      </c>
      <c r="AE173" s="747">
        <f t="shared" si="106"/>
        <v>-1.5089999999999861</v>
      </c>
      <c r="AF173" s="772">
        <f t="shared" si="106"/>
        <v>-0.13999999999999568</v>
      </c>
      <c r="AG173" s="747">
        <f t="shared" si="106"/>
        <v>2.3299999999999961</v>
      </c>
      <c r="AH173" s="747">
        <f t="shared" si="106"/>
        <v>4.1049999999999844</v>
      </c>
      <c r="AI173" s="747">
        <f t="shared" si="106"/>
        <v>2.3835414599999907</v>
      </c>
      <c r="AJ173" s="747">
        <f t="shared" si="106"/>
        <v>2.990059349999997</v>
      </c>
      <c r="AK173" s="747">
        <f t="shared" si="106"/>
        <v>3.4519000000000104</v>
      </c>
      <c r="AL173" s="747">
        <f t="shared" si="106"/>
        <v>6.7340499999999981</v>
      </c>
      <c r="AM173" s="747"/>
      <c r="AN173" s="748">
        <f t="shared" ref="AN173:BC173" si="107">AN167-SUM(AN171:AN172)</f>
        <v>13.291000000000004</v>
      </c>
      <c r="AO173" s="748">
        <f t="shared" si="107"/>
        <v>19.223999999999986</v>
      </c>
      <c r="AP173" s="748">
        <f t="shared" si="107"/>
        <v>26.38499999999997</v>
      </c>
      <c r="AQ173" s="748">
        <f t="shared" si="107"/>
        <v>36.471000000000011</v>
      </c>
      <c r="AR173" s="748">
        <f t="shared" si="107"/>
        <v>36.676000000000066</v>
      </c>
      <c r="AS173" s="748">
        <f t="shared" si="107"/>
        <v>42.467000000000027</v>
      </c>
      <c r="AT173" s="748">
        <f t="shared" si="107"/>
        <v>34.243999999999971</v>
      </c>
      <c r="AU173" s="748">
        <f t="shared" si="107"/>
        <v>31.560000000000027</v>
      </c>
      <c r="AV173" s="748">
        <f t="shared" si="107"/>
        <v>24.608000000000036</v>
      </c>
      <c r="AW173" s="748">
        <f t="shared" si="107"/>
        <v>18.096999999999987</v>
      </c>
      <c r="AX173" s="935">
        <f t="shared" si="107"/>
        <v>16.845999999999933</v>
      </c>
      <c r="AY173" s="748">
        <f t="shared" si="107"/>
        <v>4.7859999999999694</v>
      </c>
      <c r="AZ173" s="748">
        <f t="shared" si="107"/>
        <v>15.559550810000053</v>
      </c>
      <c r="BA173" s="748">
        <f t="shared" si="107"/>
        <v>25.603054120000017</v>
      </c>
      <c r="BB173" s="748">
        <f t="shared" si="107"/>
        <v>35.377484280000111</v>
      </c>
      <c r="BC173" s="748">
        <f t="shared" si="107"/>
        <v>37.446358493999959</v>
      </c>
      <c r="BD173" s="632"/>
    </row>
    <row r="174" spans="1:56" s="39" customFormat="1" x14ac:dyDescent="0.25">
      <c r="A174" s="307"/>
      <c r="B174" s="225"/>
      <c r="C174" s="725"/>
      <c r="D174" s="725"/>
      <c r="E174" s="725"/>
      <c r="F174" s="725"/>
      <c r="G174" s="725"/>
      <c r="H174" s="725"/>
      <c r="I174" s="725"/>
      <c r="J174" s="725"/>
      <c r="K174" s="725"/>
      <c r="L174" s="725"/>
      <c r="M174" s="725"/>
      <c r="N174" s="725"/>
      <c r="O174" s="725"/>
      <c r="P174" s="725"/>
      <c r="Q174" s="725"/>
      <c r="R174" s="725"/>
      <c r="S174" s="725"/>
      <c r="T174" s="725"/>
      <c r="U174" s="725"/>
      <c r="V174" s="725"/>
      <c r="W174" s="725"/>
      <c r="X174" s="725"/>
      <c r="Y174" s="725"/>
      <c r="Z174" s="725"/>
      <c r="AA174" s="725"/>
      <c r="AB174" s="725"/>
      <c r="AC174" s="725"/>
      <c r="AD174" s="723"/>
      <c r="AE174" s="725"/>
      <c r="AF174" s="771"/>
      <c r="AG174" s="728"/>
      <c r="AH174" s="728"/>
      <c r="AI174" s="728"/>
      <c r="AJ174" s="728"/>
      <c r="AK174" s="728"/>
      <c r="AL174" s="728"/>
      <c r="AM174" s="728"/>
      <c r="AN174" s="726"/>
      <c r="AO174" s="726"/>
      <c r="AP174" s="726"/>
      <c r="AQ174" s="726"/>
      <c r="AR174" s="726"/>
      <c r="AS174" s="726"/>
      <c r="AT174" s="726"/>
      <c r="AU174" s="726"/>
      <c r="AV174" s="726"/>
      <c r="AW174" s="726"/>
      <c r="AX174" s="927"/>
      <c r="AY174" s="773"/>
      <c r="AZ174" s="773"/>
      <c r="BA174" s="773"/>
      <c r="BB174" s="773"/>
      <c r="BC174" s="773"/>
      <c r="BD174" s="631"/>
    </row>
    <row r="175" spans="1:56" s="39" customFormat="1" x14ac:dyDescent="0.25">
      <c r="A175" s="307" t="s">
        <v>72</v>
      </c>
      <c r="B175" s="225"/>
      <c r="C175" s="725">
        <f t="shared" ref="C175:AF175" si="108">C111</f>
        <v>0.1</v>
      </c>
      <c r="D175" s="725">
        <f t="shared" si="108"/>
        <v>6.6000000000000003E-2</v>
      </c>
      <c r="E175" s="725">
        <f t="shared" si="108"/>
        <v>0.09</v>
      </c>
      <c r="F175" s="725">
        <f t="shared" si="108"/>
        <v>0.11000000000000001</v>
      </c>
      <c r="G175" s="725">
        <f t="shared" si="108"/>
        <v>0.20499999999999999</v>
      </c>
      <c r="H175" s="725">
        <f t="shared" si="108"/>
        <v>7.6999999999999999E-2</v>
      </c>
      <c r="I175" s="725">
        <f t="shared" si="108"/>
        <v>0.11700000000000001</v>
      </c>
      <c r="J175" s="725">
        <f t="shared" si="108"/>
        <v>0.43400000000000005</v>
      </c>
      <c r="K175" s="725">
        <f t="shared" si="108"/>
        <v>0.36499999999999999</v>
      </c>
      <c r="L175" s="725">
        <f t="shared" si="108"/>
        <v>0.30599999999999999</v>
      </c>
      <c r="M175" s="725">
        <f t="shared" si="108"/>
        <v>0.34</v>
      </c>
      <c r="N175" s="725">
        <f t="shared" si="108"/>
        <v>0.36999999999999994</v>
      </c>
      <c r="O175" s="725">
        <f t="shared" si="108"/>
        <v>0.245</v>
      </c>
      <c r="P175" s="725">
        <f t="shared" si="108"/>
        <v>0.35899999999999999</v>
      </c>
      <c r="Q175" s="725">
        <f t="shared" si="108"/>
        <v>0.36599999999999999</v>
      </c>
      <c r="R175" s="725">
        <f t="shared" si="108"/>
        <v>0.59799999999999998</v>
      </c>
      <c r="S175" s="725">
        <f t="shared" si="108"/>
        <v>0.438</v>
      </c>
      <c r="T175" s="725">
        <f t="shared" si="108"/>
        <v>0.53400000000000003</v>
      </c>
      <c r="U175" s="725">
        <f t="shared" si="108"/>
        <v>0.51100000000000001</v>
      </c>
      <c r="V175" s="725">
        <f t="shared" si="108"/>
        <v>1.649</v>
      </c>
      <c r="W175" s="725">
        <f t="shared" si="108"/>
        <v>0.68600000000000005</v>
      </c>
      <c r="X175" s="725">
        <f t="shared" si="108"/>
        <v>-0.15</v>
      </c>
      <c r="Y175" s="725">
        <f t="shared" si="108"/>
        <v>1.095</v>
      </c>
      <c r="Z175" s="725">
        <f t="shared" si="108"/>
        <v>1.3139999999999998</v>
      </c>
      <c r="AA175" s="725">
        <f t="shared" si="108"/>
        <v>1.5980000000000001</v>
      </c>
      <c r="AB175" s="725">
        <f t="shared" si="108"/>
        <v>1.679</v>
      </c>
      <c r="AC175" s="725">
        <f t="shared" si="108"/>
        <v>1.575</v>
      </c>
      <c r="AD175" s="725">
        <f t="shared" si="108"/>
        <v>1.2059999999999995</v>
      </c>
      <c r="AE175" s="725">
        <f t="shared" si="108"/>
        <v>0.97799999999999998</v>
      </c>
      <c r="AF175" s="771">
        <f t="shared" si="108"/>
        <v>0.60699999999999998</v>
      </c>
      <c r="AG175" s="730">
        <f t="shared" ref="AG175:AL175" si="109">AG234</f>
        <v>0.71007158469945364</v>
      </c>
      <c r="AH175" s="730">
        <f t="shared" si="109"/>
        <v>0.71007158469945364</v>
      </c>
      <c r="AI175" s="730">
        <f t="shared" si="109"/>
        <v>0.69653835616438353</v>
      </c>
      <c r="AJ175" s="730">
        <f t="shared" si="109"/>
        <v>0.70427767123287677</v>
      </c>
      <c r="AK175" s="730">
        <f t="shared" si="109"/>
        <v>0.71201698630136989</v>
      </c>
      <c r="AL175" s="730">
        <f t="shared" si="109"/>
        <v>0.71201698630136989</v>
      </c>
      <c r="AM175" s="730"/>
      <c r="AN175" s="726">
        <f t="shared" ref="AN175:AX175" si="110">AN111</f>
        <v>0.217</v>
      </c>
      <c r="AO175" s="726">
        <f t="shared" si="110"/>
        <v>0.23599999999999999</v>
      </c>
      <c r="AP175" s="726">
        <f t="shared" si="110"/>
        <v>0.20899999999999999</v>
      </c>
      <c r="AQ175" s="726">
        <f t="shared" si="110"/>
        <v>0.26900000000000002</v>
      </c>
      <c r="AR175" s="726">
        <f t="shared" si="110"/>
        <v>0.36599999999999999</v>
      </c>
      <c r="AS175" s="726">
        <f t="shared" si="110"/>
        <v>0.83299999999999996</v>
      </c>
      <c r="AT175" s="726">
        <f t="shared" si="110"/>
        <v>1.381</v>
      </c>
      <c r="AU175" s="726">
        <f t="shared" si="110"/>
        <v>1.5680000000000001</v>
      </c>
      <c r="AV175" s="726">
        <f t="shared" si="110"/>
        <v>3.1320000000000001</v>
      </c>
      <c r="AW175" s="726">
        <f t="shared" si="110"/>
        <v>2.9449999999999998</v>
      </c>
      <c r="AX175" s="925">
        <f t="shared" si="110"/>
        <v>6.0579999999999998</v>
      </c>
      <c r="AY175" s="729">
        <f>SUM(AE175,AF175,AG175,AH175)</f>
        <v>3.0051431693989068</v>
      </c>
      <c r="AZ175" s="729">
        <f>SUM(AI175,AJ175,AK175,AL175)</f>
        <v>2.8248499999999996</v>
      </c>
      <c r="BA175" s="729">
        <f>BA234</f>
        <v>2.8248500000000001</v>
      </c>
      <c r="BB175" s="729">
        <f>BB234</f>
        <v>2.8248500000000001</v>
      </c>
      <c r="BC175" s="729">
        <f>BC234</f>
        <v>2.8248500000000001</v>
      </c>
      <c r="BD175" s="631"/>
    </row>
    <row r="176" spans="1:56" s="39" customFormat="1" x14ac:dyDescent="0.25">
      <c r="A176" s="307" t="s">
        <v>450</v>
      </c>
      <c r="B176" s="225"/>
      <c r="C176" s="725"/>
      <c r="D176" s="725"/>
      <c r="E176" s="725"/>
      <c r="F176" s="725"/>
      <c r="G176" s="725"/>
      <c r="H176" s="725"/>
      <c r="I176" s="725"/>
      <c r="J176" s="725"/>
      <c r="K176" s="725"/>
      <c r="L176" s="725"/>
      <c r="M176" s="725"/>
      <c r="N176" s="725"/>
      <c r="O176" s="725"/>
      <c r="P176" s="725"/>
      <c r="Q176" s="725"/>
      <c r="R176" s="725"/>
      <c r="S176" s="725"/>
      <c r="T176" s="725"/>
      <c r="U176" s="725"/>
      <c r="V176" s="725"/>
      <c r="W176" s="725"/>
      <c r="X176" s="725"/>
      <c r="Y176" s="725"/>
      <c r="Z176" s="725"/>
      <c r="AA176" s="725"/>
      <c r="AB176" s="725"/>
      <c r="AC176" s="725"/>
      <c r="AD176" s="725"/>
      <c r="AE176" s="725"/>
      <c r="AF176" s="771"/>
      <c r="AG176" s="730">
        <f t="shared" ref="AG176:AL176" si="111">-AG236</f>
        <v>-9.1223278688524582E-3</v>
      </c>
      <c r="AH176" s="730">
        <f t="shared" ca="1" si="111"/>
        <v>-8.2177631529472654E-3</v>
      </c>
      <c r="AI176" s="730">
        <f t="shared" ca="1" si="111"/>
        <v>-1.4514508970996329E-2</v>
      </c>
      <c r="AJ176" s="730">
        <f t="shared" ca="1" si="111"/>
        <v>-1.0679235158546822E-2</v>
      </c>
      <c r="AK176" s="730">
        <f t="shared" ca="1" si="111"/>
        <v>-2.1859464594944214E-2</v>
      </c>
      <c r="AL176" s="730">
        <f t="shared" ca="1" si="111"/>
        <v>-1.9626114761022585E-2</v>
      </c>
      <c r="AM176" s="730"/>
      <c r="AN176" s="726"/>
      <c r="AO176" s="726"/>
      <c r="AP176" s="726"/>
      <c r="AQ176" s="726"/>
      <c r="AR176" s="726"/>
      <c r="AS176" s="726"/>
      <c r="AT176" s="726"/>
      <c r="AU176" s="726"/>
      <c r="AV176" s="726"/>
      <c r="AW176" s="726"/>
      <c r="AX176" s="925"/>
      <c r="AY176" s="729">
        <f ca="1">SUM(AE176,AF176,AG176,AH176)</f>
        <v>-1.7340091021799724E-2</v>
      </c>
      <c r="AZ176" s="729">
        <f ca="1">SUM(AI176,AJ176,AK176,AL176)</f>
        <v>-6.667932348550995E-2</v>
      </c>
      <c r="BA176" s="729">
        <f ca="1">-BA236</f>
        <v>-8.3801811830332348E-2</v>
      </c>
      <c r="BB176" s="729">
        <f ca="1">-BB236</f>
        <v>-0.13019474042059778</v>
      </c>
      <c r="BC176" s="729">
        <f ca="1">-BC236</f>
        <v>-0.19263493239717508</v>
      </c>
      <c r="BD176" s="631"/>
    </row>
    <row r="177" spans="1:56" s="39" customFormat="1" x14ac:dyDescent="0.25">
      <c r="A177" s="307" t="s">
        <v>106</v>
      </c>
      <c r="B177" s="225"/>
      <c r="C177" s="725">
        <f t="shared" ref="C177:AF177" si="112">-C105+C106-C107-C112-C108</f>
        <v>-0.47599999999999998</v>
      </c>
      <c r="D177" s="725">
        <f t="shared" si="112"/>
        <v>-0.13800000000000001</v>
      </c>
      <c r="E177" s="725">
        <f t="shared" si="112"/>
        <v>-0.13900000000000001</v>
      </c>
      <c r="F177" s="725">
        <f t="shared" si="112"/>
        <v>-1.4249999999999998</v>
      </c>
      <c r="G177" s="725">
        <f t="shared" si="112"/>
        <v>-0.56600000000000006</v>
      </c>
      <c r="H177" s="725">
        <f t="shared" si="112"/>
        <v>-0.54899999999999993</v>
      </c>
      <c r="I177" s="725">
        <f t="shared" si="112"/>
        <v>-0.58300000000000007</v>
      </c>
      <c r="J177" s="725">
        <f t="shared" si="112"/>
        <v>0.50900000000000012</v>
      </c>
      <c r="K177" s="725">
        <f t="shared" si="112"/>
        <v>0.42800000000000005</v>
      </c>
      <c r="L177" s="725">
        <f t="shared" si="112"/>
        <v>0.36499999999999999</v>
      </c>
      <c r="M177" s="725">
        <f t="shared" si="112"/>
        <v>1.8570000000000002</v>
      </c>
      <c r="N177" s="725">
        <f t="shared" si="112"/>
        <v>0.58999999999999986</v>
      </c>
      <c r="O177" s="725">
        <f t="shared" si="112"/>
        <v>-0.29500000000000004</v>
      </c>
      <c r="P177" s="725">
        <f t="shared" si="112"/>
        <v>-0.26300000000000001</v>
      </c>
      <c r="Q177" s="725">
        <f t="shared" si="112"/>
        <v>3.1E-2</v>
      </c>
      <c r="R177" s="725">
        <f t="shared" si="112"/>
        <v>0.48499999999999999</v>
      </c>
      <c r="S177" s="725">
        <f t="shared" si="112"/>
        <v>-0.12200000000000001</v>
      </c>
      <c r="T177" s="725">
        <f t="shared" si="112"/>
        <v>0.20300000000000001</v>
      </c>
      <c r="U177" s="725">
        <f t="shared" si="112"/>
        <v>-0.34200000000000003</v>
      </c>
      <c r="V177" s="725">
        <f t="shared" si="112"/>
        <v>2.0480000000000005</v>
      </c>
      <c r="W177" s="725">
        <f t="shared" si="112"/>
        <v>-1.9530000000000001</v>
      </c>
      <c r="X177" s="725">
        <f t="shared" si="112"/>
        <v>2.589</v>
      </c>
      <c r="Y177" s="725">
        <f t="shared" si="112"/>
        <v>0.23399999999999999</v>
      </c>
      <c r="Z177" s="725">
        <f t="shared" si="112"/>
        <v>-0.48099999999999921</v>
      </c>
      <c r="AA177" s="725">
        <f t="shared" si="112"/>
        <v>1.083</v>
      </c>
      <c r="AB177" s="725">
        <f t="shared" si="112"/>
        <v>-0.54700000000000004</v>
      </c>
      <c r="AC177" s="725">
        <f t="shared" si="112"/>
        <v>-0.08</v>
      </c>
      <c r="AD177" s="723">
        <f t="shared" si="112"/>
        <v>-12.036999999999999</v>
      </c>
      <c r="AE177" s="725">
        <f t="shared" si="112"/>
        <v>-0.56400000000000006</v>
      </c>
      <c r="AF177" s="771">
        <f t="shared" si="112"/>
        <v>1.044</v>
      </c>
      <c r="AG177" s="728"/>
      <c r="AH177" s="728"/>
      <c r="AI177" s="728"/>
      <c r="AJ177" s="728"/>
      <c r="AK177" s="728"/>
      <c r="AL177" s="728"/>
      <c r="AM177" s="728"/>
      <c r="AN177" s="726">
        <f t="shared" ref="AN177:AX177" si="113">-AN105+AN106-AN107-AN112-AN108</f>
        <v>-0.48399999999999999</v>
      </c>
      <c r="AO177" s="726">
        <f t="shared" si="113"/>
        <v>-1.8639999999999999</v>
      </c>
      <c r="AP177" s="726">
        <f t="shared" si="113"/>
        <v>-2.2149999999999999</v>
      </c>
      <c r="AQ177" s="726">
        <f t="shared" si="113"/>
        <v>0.4</v>
      </c>
      <c r="AR177" s="726">
        <f t="shared" si="113"/>
        <v>-2.1779999999999999</v>
      </c>
      <c r="AS177" s="726">
        <f t="shared" si="113"/>
        <v>-1.1889999999999998</v>
      </c>
      <c r="AT177" s="726">
        <f t="shared" si="113"/>
        <v>3.24</v>
      </c>
      <c r="AU177" s="726">
        <f t="shared" si="113"/>
        <v>-4.1999999999999982E-2</v>
      </c>
      <c r="AV177" s="726">
        <f t="shared" si="113"/>
        <v>1.7870000000000004</v>
      </c>
      <c r="AW177" s="726">
        <f t="shared" si="113"/>
        <v>0.38900000000000046</v>
      </c>
      <c r="AX177" s="927">
        <f t="shared" si="113"/>
        <v>-11.581</v>
      </c>
      <c r="AY177" s="729">
        <f>SUM(AE177,AF177,AG177,AH177)</f>
        <v>0.48</v>
      </c>
      <c r="AZ177" s="729">
        <f>SUM(AI177,AJ177,AK177,AL177)</f>
        <v>0</v>
      </c>
      <c r="BA177" s="773"/>
      <c r="BB177" s="773"/>
      <c r="BC177" s="773"/>
      <c r="BD177" s="631"/>
    </row>
    <row r="178" spans="1:56" s="39" customFormat="1" x14ac:dyDescent="0.25">
      <c r="A178" s="307" t="s">
        <v>107</v>
      </c>
      <c r="B178" s="225"/>
      <c r="C178" s="725">
        <f t="shared" ref="C178:AF178" si="114">C109</f>
        <v>0</v>
      </c>
      <c r="D178" s="725">
        <f t="shared" si="114"/>
        <v>0</v>
      </c>
      <c r="E178" s="725">
        <f t="shared" si="114"/>
        <v>0</v>
      </c>
      <c r="F178" s="725">
        <f t="shared" si="114"/>
        <v>0</v>
      </c>
      <c r="G178" s="725">
        <f t="shared" si="114"/>
        <v>0</v>
      </c>
      <c r="H178" s="725">
        <f t="shared" si="114"/>
        <v>0</v>
      </c>
      <c r="I178" s="725">
        <f t="shared" si="114"/>
        <v>0</v>
      </c>
      <c r="J178" s="725">
        <f t="shared" si="114"/>
        <v>0</v>
      </c>
      <c r="K178" s="725">
        <f t="shared" si="114"/>
        <v>0</v>
      </c>
      <c r="L178" s="725">
        <f t="shared" si="114"/>
        <v>0</v>
      </c>
      <c r="M178" s="725">
        <f t="shared" si="114"/>
        <v>0</v>
      </c>
      <c r="N178" s="725">
        <f t="shared" si="114"/>
        <v>0</v>
      </c>
      <c r="O178" s="725">
        <f t="shared" si="114"/>
        <v>0</v>
      </c>
      <c r="P178" s="725">
        <f t="shared" si="114"/>
        <v>0</v>
      </c>
      <c r="Q178" s="725">
        <f t="shared" si="114"/>
        <v>0</v>
      </c>
      <c r="R178" s="725">
        <f t="shared" si="114"/>
        <v>0</v>
      </c>
      <c r="S178" s="725">
        <f t="shared" si="114"/>
        <v>0</v>
      </c>
      <c r="T178" s="725">
        <f t="shared" si="114"/>
        <v>0</v>
      </c>
      <c r="U178" s="725">
        <f t="shared" si="114"/>
        <v>0</v>
      </c>
      <c r="V178" s="725">
        <f t="shared" si="114"/>
        <v>0</v>
      </c>
      <c r="W178" s="725">
        <f t="shared" si="114"/>
        <v>0</v>
      </c>
      <c r="X178" s="725">
        <f t="shared" si="114"/>
        <v>0</v>
      </c>
      <c r="Y178" s="725">
        <f t="shared" si="114"/>
        <v>0</v>
      </c>
      <c r="Z178" s="725">
        <f t="shared" si="114"/>
        <v>0</v>
      </c>
      <c r="AA178" s="725">
        <f t="shared" si="114"/>
        <v>0</v>
      </c>
      <c r="AB178" s="725">
        <f t="shared" si="114"/>
        <v>0</v>
      </c>
      <c r="AC178" s="725">
        <f t="shared" si="114"/>
        <v>0</v>
      </c>
      <c r="AD178" s="723">
        <f t="shared" si="114"/>
        <v>0</v>
      </c>
      <c r="AE178" s="725">
        <f t="shared" si="114"/>
        <v>0</v>
      </c>
      <c r="AF178" s="771">
        <f t="shared" si="114"/>
        <v>0</v>
      </c>
      <c r="AG178" s="728"/>
      <c r="AH178" s="728"/>
      <c r="AI178" s="728"/>
      <c r="AJ178" s="728"/>
      <c r="AK178" s="728"/>
      <c r="AL178" s="728"/>
      <c r="AM178" s="728"/>
      <c r="AN178" s="726">
        <f t="shared" ref="AN178:AX178" si="115">AN109</f>
        <v>10.163</v>
      </c>
      <c r="AO178" s="726">
        <f t="shared" si="115"/>
        <v>0</v>
      </c>
      <c r="AP178" s="726">
        <f t="shared" si="115"/>
        <v>0</v>
      </c>
      <c r="AQ178" s="726">
        <f t="shared" si="115"/>
        <v>0</v>
      </c>
      <c r="AR178" s="726">
        <f t="shared" si="115"/>
        <v>0</v>
      </c>
      <c r="AS178" s="726">
        <f t="shared" si="115"/>
        <v>0</v>
      </c>
      <c r="AT178" s="726">
        <f t="shared" si="115"/>
        <v>0</v>
      </c>
      <c r="AU178" s="726">
        <f t="shared" si="115"/>
        <v>0</v>
      </c>
      <c r="AV178" s="726">
        <f t="shared" si="115"/>
        <v>0</v>
      </c>
      <c r="AW178" s="726">
        <f t="shared" si="115"/>
        <v>0</v>
      </c>
      <c r="AX178" s="927">
        <f t="shared" si="115"/>
        <v>0</v>
      </c>
      <c r="AY178" s="729">
        <f>SUM(AE178,AF178,AG178,AH178)</f>
        <v>0</v>
      </c>
      <c r="AZ178" s="729">
        <f>SUM(AI178,AJ178,AK178,AL178)</f>
        <v>0</v>
      </c>
      <c r="BA178" s="773"/>
      <c r="BB178" s="773"/>
      <c r="BC178" s="773"/>
      <c r="BD178" s="631"/>
    </row>
    <row r="179" spans="1:56" s="38" customFormat="1" x14ac:dyDescent="0.25">
      <c r="A179" s="259" t="s">
        <v>108</v>
      </c>
      <c r="B179" s="260"/>
      <c r="C179" s="747">
        <f t="shared" ref="C179:AL179" si="116">C173-SUM(C175:C178)</f>
        <v>7.4680000000000097</v>
      </c>
      <c r="D179" s="747">
        <f t="shared" si="116"/>
        <v>8.586999999999998</v>
      </c>
      <c r="E179" s="747">
        <f t="shared" si="116"/>
        <v>10.254000000000014</v>
      </c>
      <c r="F179" s="747">
        <f t="shared" si="116"/>
        <v>12.179000000000066</v>
      </c>
      <c r="G179" s="747">
        <f t="shared" si="116"/>
        <v>7.1269999999999909</v>
      </c>
      <c r="H179" s="747">
        <f t="shared" si="116"/>
        <v>13.777000000000017</v>
      </c>
      <c r="I179" s="747">
        <f t="shared" si="116"/>
        <v>11.120999999999995</v>
      </c>
      <c r="J179" s="747">
        <f t="shared" si="116"/>
        <v>10.798000000000096</v>
      </c>
      <c r="K179" s="747">
        <f t="shared" si="116"/>
        <v>6.743000000000003</v>
      </c>
      <c r="L179" s="747">
        <f t="shared" si="116"/>
        <v>7.3980000000000024</v>
      </c>
      <c r="M179" s="747">
        <f t="shared" si="116"/>
        <v>5.9190000000000031</v>
      </c>
      <c r="N179" s="747">
        <f t="shared" si="116"/>
        <v>9.5629999999999473</v>
      </c>
      <c r="O179" s="747">
        <f t="shared" si="116"/>
        <v>6.0070000000000068</v>
      </c>
      <c r="P179" s="747">
        <f t="shared" si="116"/>
        <v>7.9690000000000012</v>
      </c>
      <c r="Q179" s="747">
        <f t="shared" si="116"/>
        <v>7.6109999999999882</v>
      </c>
      <c r="R179" s="747">
        <f t="shared" si="116"/>
        <v>8.4469999999999974</v>
      </c>
      <c r="S179" s="747">
        <f t="shared" si="116"/>
        <v>6.0780000000000038</v>
      </c>
      <c r="T179" s="747">
        <f t="shared" si="116"/>
        <v>8.460000000000008</v>
      </c>
      <c r="U179" s="747">
        <f t="shared" si="116"/>
        <v>3.9240000000000035</v>
      </c>
      <c r="V179" s="747">
        <f t="shared" si="116"/>
        <v>1.2270000000000452</v>
      </c>
      <c r="W179" s="747">
        <f t="shared" si="116"/>
        <v>4.3620000000000019</v>
      </c>
      <c r="X179" s="747">
        <f t="shared" si="116"/>
        <v>4.9070000000000045</v>
      </c>
      <c r="Y179" s="747">
        <f t="shared" si="116"/>
        <v>4.3460000000000045</v>
      </c>
      <c r="Z179" s="747">
        <f t="shared" si="116"/>
        <v>1.1480000000000334</v>
      </c>
      <c r="AA179" s="747">
        <f t="shared" si="116"/>
        <v>0.48100000000001275</v>
      </c>
      <c r="AB179" s="747">
        <f t="shared" si="116"/>
        <v>4.5190000000000197</v>
      </c>
      <c r="AC179" s="747">
        <f t="shared" si="116"/>
        <v>3.1019999999999941</v>
      </c>
      <c r="AD179" s="745">
        <f t="shared" si="116"/>
        <v>14.266999999999916</v>
      </c>
      <c r="AE179" s="747">
        <f t="shared" si="116"/>
        <v>-1.9229999999999861</v>
      </c>
      <c r="AF179" s="772">
        <f t="shared" si="116"/>
        <v>-1.7909999999999957</v>
      </c>
      <c r="AG179" s="747">
        <f t="shared" si="116"/>
        <v>1.6290507431693948</v>
      </c>
      <c r="AH179" s="747">
        <f t="shared" ca="1" si="116"/>
        <v>3.4031461784534782</v>
      </c>
      <c r="AI179" s="747">
        <f t="shared" ca="1" si="116"/>
        <v>1.7015176128066036</v>
      </c>
      <c r="AJ179" s="747">
        <f t="shared" ca="1" si="116"/>
        <v>2.2964609139256673</v>
      </c>
      <c r="AK179" s="747">
        <f t="shared" ca="1" si="116"/>
        <v>2.7617424782935847</v>
      </c>
      <c r="AL179" s="747">
        <f t="shared" ca="1" si="116"/>
        <v>6.041659128459651</v>
      </c>
      <c r="AM179" s="747"/>
      <c r="AN179" s="748">
        <f t="shared" ref="AN179:BC179" si="117">AN173-SUM(AN175:AN178)</f>
        <v>3.3950000000000031</v>
      </c>
      <c r="AO179" s="748">
        <f t="shared" si="117"/>
        <v>20.851999999999986</v>
      </c>
      <c r="AP179" s="748">
        <f t="shared" si="117"/>
        <v>28.39099999999997</v>
      </c>
      <c r="AQ179" s="748">
        <f t="shared" si="117"/>
        <v>35.802000000000014</v>
      </c>
      <c r="AR179" s="748">
        <f t="shared" si="117"/>
        <v>38.488000000000063</v>
      </c>
      <c r="AS179" s="748">
        <f t="shared" si="117"/>
        <v>42.823000000000029</v>
      </c>
      <c r="AT179" s="748">
        <f t="shared" si="117"/>
        <v>29.622999999999969</v>
      </c>
      <c r="AU179" s="748">
        <f t="shared" si="117"/>
        <v>30.034000000000027</v>
      </c>
      <c r="AV179" s="748">
        <f t="shared" si="117"/>
        <v>19.689000000000036</v>
      </c>
      <c r="AW179" s="748">
        <f t="shared" si="117"/>
        <v>14.762999999999987</v>
      </c>
      <c r="AX179" s="935">
        <f t="shared" si="117"/>
        <v>22.368999999999932</v>
      </c>
      <c r="AY179" s="748">
        <f t="shared" ca="1" si="117"/>
        <v>1.3181969216228624</v>
      </c>
      <c r="AZ179" s="748">
        <f t="shared" ca="1" si="117"/>
        <v>12.801380133485562</v>
      </c>
      <c r="BA179" s="748">
        <f t="shared" ca="1" si="117"/>
        <v>22.86200593183035</v>
      </c>
      <c r="BB179" s="748">
        <f t="shared" ca="1" si="117"/>
        <v>32.682829020420712</v>
      </c>
      <c r="BC179" s="748">
        <f t="shared" ca="1" si="117"/>
        <v>34.814143426397138</v>
      </c>
      <c r="BD179" s="632"/>
    </row>
    <row r="180" spans="1:56" s="47" customFormat="1" x14ac:dyDescent="0.25">
      <c r="A180" s="673"/>
      <c r="B180" s="674"/>
      <c r="C180" s="762"/>
      <c r="D180" s="762"/>
      <c r="E180" s="762"/>
      <c r="F180" s="762"/>
      <c r="G180" s="762"/>
      <c r="H180" s="762"/>
      <c r="I180" s="762"/>
      <c r="J180" s="762"/>
      <c r="K180" s="762"/>
      <c r="L180" s="762"/>
      <c r="M180" s="762"/>
      <c r="N180" s="762"/>
      <c r="O180" s="762"/>
      <c r="P180" s="762"/>
      <c r="Q180" s="762"/>
      <c r="R180" s="762"/>
      <c r="S180" s="762"/>
      <c r="T180" s="762"/>
      <c r="U180" s="762"/>
      <c r="V180" s="762"/>
      <c r="W180" s="762"/>
      <c r="X180" s="762"/>
      <c r="Y180" s="762"/>
      <c r="Z180" s="762"/>
      <c r="AA180" s="762"/>
      <c r="AB180" s="762"/>
      <c r="AC180" s="762"/>
      <c r="AD180" s="764"/>
      <c r="AE180" s="762"/>
      <c r="AF180" s="766"/>
      <c r="AG180" s="774"/>
      <c r="AH180" s="774"/>
      <c r="AI180" s="774"/>
      <c r="AJ180" s="774"/>
      <c r="AK180" s="774"/>
      <c r="AL180" s="774"/>
      <c r="AM180" s="774"/>
      <c r="AN180" s="761"/>
      <c r="AO180" s="761"/>
      <c r="AP180" s="761"/>
      <c r="AQ180" s="761"/>
      <c r="AR180" s="761"/>
      <c r="AS180" s="761"/>
      <c r="AT180" s="761"/>
      <c r="AU180" s="761"/>
      <c r="AV180" s="761"/>
      <c r="AW180" s="761"/>
      <c r="AX180" s="940"/>
      <c r="AY180" s="775"/>
      <c r="AZ180" s="775"/>
      <c r="BA180" s="775"/>
      <c r="BB180" s="775"/>
      <c r="BC180" s="775"/>
      <c r="BD180" s="635"/>
    </row>
    <row r="181" spans="1:56" s="39" customFormat="1" x14ac:dyDescent="0.25">
      <c r="A181" s="307" t="s">
        <v>109</v>
      </c>
      <c r="B181" s="225"/>
      <c r="C181" s="725">
        <f t="shared" ref="C181:AF181" si="118">C114-C182</f>
        <v>2.8170000000000002</v>
      </c>
      <c r="D181" s="725">
        <f t="shared" si="118"/>
        <v>3.339</v>
      </c>
      <c r="E181" s="725">
        <f t="shared" si="118"/>
        <v>4.0539999999999994</v>
      </c>
      <c r="F181" s="725">
        <f t="shared" si="118"/>
        <v>4.8070000000000004</v>
      </c>
      <c r="G181" s="725">
        <f t="shared" si="118"/>
        <v>2.81</v>
      </c>
      <c r="H181" s="725">
        <f t="shared" si="118"/>
        <v>5.6639999999999997</v>
      </c>
      <c r="I181" s="725">
        <f t="shared" si="118"/>
        <v>3.5109999999999997</v>
      </c>
      <c r="J181" s="725">
        <f t="shared" si="118"/>
        <v>3.8529999999999998</v>
      </c>
      <c r="K181" s="725">
        <f t="shared" si="118"/>
        <v>2.6360000000000001</v>
      </c>
      <c r="L181" s="725">
        <f t="shared" si="118"/>
        <v>2.6840000000000002</v>
      </c>
      <c r="M181" s="725">
        <f t="shared" si="118"/>
        <v>2.2029999999999998</v>
      </c>
      <c r="N181" s="725">
        <f t="shared" si="118"/>
        <v>4.407</v>
      </c>
      <c r="O181" s="725">
        <f t="shared" si="118"/>
        <v>2.2069999999999999</v>
      </c>
      <c r="P181" s="725">
        <f t="shared" si="118"/>
        <v>3.056</v>
      </c>
      <c r="Q181" s="725">
        <f t="shared" si="118"/>
        <v>4.4050000000000002</v>
      </c>
      <c r="R181" s="725">
        <f t="shared" si="118"/>
        <v>1.8800000000000006</v>
      </c>
      <c r="S181" s="725">
        <f t="shared" si="118"/>
        <v>1.8740000000000001</v>
      </c>
      <c r="T181" s="725">
        <f t="shared" si="118"/>
        <v>3.1479999999999997</v>
      </c>
      <c r="U181" s="725">
        <f t="shared" si="118"/>
        <v>0.63100000000000001</v>
      </c>
      <c r="V181" s="725">
        <f t="shared" si="118"/>
        <v>1.4579999999999997</v>
      </c>
      <c r="W181" s="725">
        <f t="shared" si="118"/>
        <v>1.8380000000000001</v>
      </c>
      <c r="X181" s="725">
        <f t="shared" si="118"/>
        <v>1.393</v>
      </c>
      <c r="Y181" s="725">
        <f t="shared" si="118"/>
        <v>1.5430000000000001</v>
      </c>
      <c r="Z181" s="725">
        <f t="shared" si="118"/>
        <v>-0.72300000000000098</v>
      </c>
      <c r="AA181" s="725">
        <f t="shared" si="118"/>
        <v>0.249</v>
      </c>
      <c r="AB181" s="725">
        <f t="shared" si="118"/>
        <v>1.754</v>
      </c>
      <c r="AC181" s="725">
        <f t="shared" si="118"/>
        <v>0.66299999999999992</v>
      </c>
      <c r="AD181" s="723">
        <f t="shared" si="118"/>
        <v>5.6000000000000005</v>
      </c>
      <c r="AE181" s="725">
        <f t="shared" si="118"/>
        <v>-0.21500000000000002</v>
      </c>
      <c r="AF181" s="771">
        <f t="shared" si="118"/>
        <v>-1.0954500000000003</v>
      </c>
      <c r="AG181" s="730">
        <f t="shared" ref="AG181:AL182" si="119">AG194*AG$179</f>
        <v>0.37468167092896082</v>
      </c>
      <c r="AH181" s="730">
        <f t="shared" ca="1" si="119"/>
        <v>0.78272362104430004</v>
      </c>
      <c r="AI181" s="730">
        <f t="shared" ca="1" si="119"/>
        <v>0.39134905094551886</v>
      </c>
      <c r="AJ181" s="730">
        <f t="shared" ca="1" si="119"/>
        <v>0.52818601020290346</v>
      </c>
      <c r="AK181" s="730">
        <f t="shared" ca="1" si="119"/>
        <v>0.63520077000752451</v>
      </c>
      <c r="AL181" s="730">
        <f t="shared" ca="1" si="119"/>
        <v>1.3895815995457197</v>
      </c>
      <c r="AM181" s="730"/>
      <c r="AN181" s="726">
        <f t="shared" ref="AN181:AX181" si="120">AN114-AN182</f>
        <v>2.7229999999999999</v>
      </c>
      <c r="AO181" s="726">
        <f t="shared" si="120"/>
        <v>7.0559999999999992</v>
      </c>
      <c r="AP181" s="726">
        <f t="shared" si="120"/>
        <v>10.384</v>
      </c>
      <c r="AQ181" s="726">
        <f t="shared" si="120"/>
        <v>12.398000000000001</v>
      </c>
      <c r="AR181" s="726">
        <f t="shared" si="120"/>
        <v>15.016999999999999</v>
      </c>
      <c r="AS181" s="726">
        <f t="shared" si="120"/>
        <v>15.837999999999999</v>
      </c>
      <c r="AT181" s="726">
        <f t="shared" si="120"/>
        <v>11.93</v>
      </c>
      <c r="AU181" s="726">
        <f t="shared" si="120"/>
        <v>11.548</v>
      </c>
      <c r="AV181" s="726">
        <f t="shared" si="120"/>
        <v>7.1109999999999998</v>
      </c>
      <c r="AW181" s="726">
        <f t="shared" si="120"/>
        <v>4.0509999999999993</v>
      </c>
      <c r="AX181" s="927">
        <f t="shared" si="120"/>
        <v>8.266</v>
      </c>
      <c r="AY181" s="729">
        <f ca="1">SUM(AE181,AF181,AG181,AH181)</f>
        <v>-0.15304470802673942</v>
      </c>
      <c r="AZ181" s="729">
        <f ca="1">SUM(AI181,AJ181,AK181,AL181)</f>
        <v>2.9443174307016662</v>
      </c>
      <c r="BA181" s="729">
        <f ca="1">BA194*BA179</f>
        <v>5.2582613643209575</v>
      </c>
      <c r="BB181" s="729">
        <f ca="1">BB194*BB179</f>
        <v>7.5170506746967307</v>
      </c>
      <c r="BC181" s="729">
        <f ca="1">BC194*BC179</f>
        <v>8.0072529880713059</v>
      </c>
      <c r="BD181" s="631"/>
    </row>
    <row r="182" spans="1:56" s="39" customFormat="1" x14ac:dyDescent="0.25">
      <c r="A182" s="307" t="s">
        <v>110</v>
      </c>
      <c r="B182" s="225"/>
      <c r="C182" s="725">
        <f t="shared" ref="C182:AE182" si="121">C335</f>
        <v>-0.27400000000000002</v>
      </c>
      <c r="D182" s="725">
        <f t="shared" si="121"/>
        <v>1.0000000000000009E-3</v>
      </c>
      <c r="E182" s="725">
        <f t="shared" si="121"/>
        <v>5.7000000000000023E-2</v>
      </c>
      <c r="F182" s="725">
        <f t="shared" si="121"/>
        <v>-6.8999999999999978E-2</v>
      </c>
      <c r="G182" s="725">
        <f t="shared" si="121"/>
        <v>0</v>
      </c>
      <c r="H182" s="725">
        <f t="shared" si="121"/>
        <v>0</v>
      </c>
      <c r="I182" s="725">
        <f t="shared" si="121"/>
        <v>0.36599999999999999</v>
      </c>
      <c r="J182" s="725">
        <f t="shared" si="121"/>
        <v>-0.47899999999999998</v>
      </c>
      <c r="K182" s="725">
        <f t="shared" si="121"/>
        <v>0</v>
      </c>
      <c r="L182" s="725">
        <f t="shared" si="121"/>
        <v>0</v>
      </c>
      <c r="M182" s="725">
        <f t="shared" si="121"/>
        <v>0</v>
      </c>
      <c r="N182" s="725">
        <f t="shared" si="121"/>
        <v>-1.0960000000000001</v>
      </c>
      <c r="O182" s="725">
        <f t="shared" si="121"/>
        <v>0</v>
      </c>
      <c r="P182" s="725">
        <f t="shared" si="121"/>
        <v>0</v>
      </c>
      <c r="Q182" s="725">
        <f t="shared" si="121"/>
        <v>-1.5960000000000001</v>
      </c>
      <c r="R182" s="725">
        <f t="shared" si="121"/>
        <v>-0.16499999999999981</v>
      </c>
      <c r="S182" s="725">
        <f t="shared" si="121"/>
        <v>0.11799999999999999</v>
      </c>
      <c r="T182" s="725">
        <f t="shared" si="121"/>
        <v>-0.55099999999999993</v>
      </c>
      <c r="U182" s="725">
        <f t="shared" si="121"/>
        <v>1.2000000000000011E-2</v>
      </c>
      <c r="V182" s="725">
        <f t="shared" si="121"/>
        <v>0.10799999999999998</v>
      </c>
      <c r="W182" s="725">
        <f t="shared" si="121"/>
        <v>-0.108</v>
      </c>
      <c r="X182" s="725">
        <f t="shared" si="121"/>
        <v>-6.1000000000000013E-2</v>
      </c>
      <c r="Y182" s="725">
        <f t="shared" si="121"/>
        <v>-0.44099999999999995</v>
      </c>
      <c r="Z182" s="725">
        <f t="shared" si="121"/>
        <v>1.486</v>
      </c>
      <c r="AA182" s="725">
        <f t="shared" si="121"/>
        <v>-0.10199999999999999</v>
      </c>
      <c r="AB182" s="725">
        <f t="shared" si="121"/>
        <v>-0.45400000000000007</v>
      </c>
      <c r="AC182" s="725">
        <f t="shared" si="121"/>
        <v>0.29800000000000004</v>
      </c>
      <c r="AD182" s="723">
        <f t="shared" si="121"/>
        <v>-0.82800000000000007</v>
      </c>
      <c r="AE182" s="725">
        <f t="shared" si="121"/>
        <v>-0.41399999999999998</v>
      </c>
      <c r="AF182" s="771">
        <f>AF195*AF$179</f>
        <v>-8.9549999999999796E-2</v>
      </c>
      <c r="AG182" s="730">
        <f t="shared" si="119"/>
        <v>1.6290507431693947E-2</v>
      </c>
      <c r="AH182" s="730">
        <f t="shared" ca="1" si="119"/>
        <v>3.4031461784534783E-2</v>
      </c>
      <c r="AI182" s="730">
        <f t="shared" ca="1" si="119"/>
        <v>1.7015176128066037E-2</v>
      </c>
      <c r="AJ182" s="730">
        <f t="shared" ca="1" si="119"/>
        <v>2.2964609139256673E-2</v>
      </c>
      <c r="AK182" s="730">
        <f t="shared" ca="1" si="119"/>
        <v>2.7617424782935846E-2</v>
      </c>
      <c r="AL182" s="730">
        <f t="shared" ca="1" si="119"/>
        <v>6.0416591284596512E-2</v>
      </c>
      <c r="AM182" s="730"/>
      <c r="AN182" s="726">
        <f t="shared" ref="AN182:AX182" si="122">AN335</f>
        <v>1.8620000000000001</v>
      </c>
      <c r="AO182" s="726">
        <f t="shared" si="122"/>
        <v>1.0640000000000001</v>
      </c>
      <c r="AP182" s="726">
        <f t="shared" si="122"/>
        <v>0.14699999999999999</v>
      </c>
      <c r="AQ182" s="726">
        <f t="shared" si="122"/>
        <v>0.71599999999999997</v>
      </c>
      <c r="AR182" s="726">
        <f t="shared" si="122"/>
        <v>-0.28499999999999998</v>
      </c>
      <c r="AS182" s="726">
        <f t="shared" si="122"/>
        <v>-0.113</v>
      </c>
      <c r="AT182" s="726">
        <f t="shared" si="122"/>
        <v>-1.0960000000000001</v>
      </c>
      <c r="AU182" s="726">
        <f t="shared" si="122"/>
        <v>-1.7609999999999999</v>
      </c>
      <c r="AV182" s="726">
        <f t="shared" si="122"/>
        <v>-0.313</v>
      </c>
      <c r="AW182" s="726">
        <f t="shared" si="122"/>
        <v>0.876</v>
      </c>
      <c r="AX182" s="927">
        <f t="shared" si="122"/>
        <v>-1.0860000000000001</v>
      </c>
      <c r="AY182" s="729">
        <f ca="1">SUM(AE182,AF182,AG182,AH182)</f>
        <v>-0.45322803078377094</v>
      </c>
      <c r="AZ182" s="729">
        <f ca="1">SUM(AI182,AJ182,AK182,AL182)</f>
        <v>0.12801380133485507</v>
      </c>
      <c r="BA182" s="729">
        <f ca="1">BA195*BA179</f>
        <v>0.22862005931830351</v>
      </c>
      <c r="BB182" s="729">
        <f ca="1">BB195*BB179</f>
        <v>0.32682829020420712</v>
      </c>
      <c r="BC182" s="729">
        <f ca="1">BC195*BC179</f>
        <v>0.34814143426397137</v>
      </c>
      <c r="BD182" s="631"/>
    </row>
    <row r="183" spans="1:56" s="38" customFormat="1" x14ac:dyDescent="0.25">
      <c r="A183" s="259" t="s">
        <v>111</v>
      </c>
      <c r="B183" s="260"/>
      <c r="C183" s="747">
        <f t="shared" ref="C183:AL183" si="123">C179-SUM(C181:C182)</f>
        <v>4.9250000000000096</v>
      </c>
      <c r="D183" s="747">
        <f t="shared" si="123"/>
        <v>5.2469999999999981</v>
      </c>
      <c r="E183" s="747">
        <f t="shared" si="123"/>
        <v>6.143000000000014</v>
      </c>
      <c r="F183" s="747">
        <f t="shared" si="123"/>
        <v>7.4410000000000656</v>
      </c>
      <c r="G183" s="747">
        <f t="shared" si="123"/>
        <v>4.3169999999999913</v>
      </c>
      <c r="H183" s="747">
        <f t="shared" si="123"/>
        <v>8.1130000000000173</v>
      </c>
      <c r="I183" s="747">
        <f t="shared" si="123"/>
        <v>7.2439999999999953</v>
      </c>
      <c r="J183" s="747">
        <f t="shared" si="123"/>
        <v>7.4240000000000963</v>
      </c>
      <c r="K183" s="747">
        <f t="shared" si="123"/>
        <v>4.1070000000000029</v>
      </c>
      <c r="L183" s="747">
        <f t="shared" si="123"/>
        <v>4.7140000000000022</v>
      </c>
      <c r="M183" s="747">
        <f t="shared" si="123"/>
        <v>3.7160000000000033</v>
      </c>
      <c r="N183" s="747">
        <f t="shared" si="123"/>
        <v>6.2519999999999474</v>
      </c>
      <c r="O183" s="747">
        <f t="shared" si="123"/>
        <v>3.8000000000000069</v>
      </c>
      <c r="P183" s="747">
        <f t="shared" si="123"/>
        <v>4.9130000000000011</v>
      </c>
      <c r="Q183" s="747">
        <f t="shared" si="123"/>
        <v>4.8019999999999881</v>
      </c>
      <c r="R183" s="747">
        <f t="shared" si="123"/>
        <v>6.7319999999999967</v>
      </c>
      <c r="S183" s="747">
        <f t="shared" si="123"/>
        <v>4.0860000000000039</v>
      </c>
      <c r="T183" s="747">
        <f t="shared" si="123"/>
        <v>5.8630000000000084</v>
      </c>
      <c r="U183" s="747">
        <f t="shared" si="123"/>
        <v>3.2810000000000032</v>
      </c>
      <c r="V183" s="747">
        <f t="shared" si="123"/>
        <v>-0.33899999999995467</v>
      </c>
      <c r="W183" s="747">
        <f t="shared" si="123"/>
        <v>2.6320000000000019</v>
      </c>
      <c r="X183" s="747">
        <f t="shared" si="123"/>
        <v>3.5750000000000046</v>
      </c>
      <c r="Y183" s="747">
        <f t="shared" si="123"/>
        <v>3.2440000000000042</v>
      </c>
      <c r="Z183" s="747">
        <f t="shared" si="123"/>
        <v>0.38500000000003443</v>
      </c>
      <c r="AA183" s="747">
        <f t="shared" si="123"/>
        <v>0.33400000000001273</v>
      </c>
      <c r="AB183" s="747">
        <f t="shared" si="123"/>
        <v>3.2190000000000198</v>
      </c>
      <c r="AC183" s="747">
        <f t="shared" si="123"/>
        <v>2.1409999999999942</v>
      </c>
      <c r="AD183" s="745">
        <f t="shared" si="123"/>
        <v>9.4949999999999157</v>
      </c>
      <c r="AE183" s="747">
        <f t="shared" si="123"/>
        <v>-1.2939999999999861</v>
      </c>
      <c r="AF183" s="772">
        <f t="shared" si="123"/>
        <v>-0.60599999999999565</v>
      </c>
      <c r="AG183" s="747">
        <f t="shared" si="123"/>
        <v>1.23807856480874</v>
      </c>
      <c r="AH183" s="747">
        <f t="shared" ca="1" si="123"/>
        <v>2.5863910956246432</v>
      </c>
      <c r="AI183" s="747">
        <f t="shared" ca="1" si="123"/>
        <v>1.2931533857330186</v>
      </c>
      <c r="AJ183" s="747">
        <f t="shared" ca="1" si="123"/>
        <v>1.7453102945835073</v>
      </c>
      <c r="AK183" s="747">
        <f t="shared" ca="1" si="123"/>
        <v>2.0989242835031243</v>
      </c>
      <c r="AL183" s="747">
        <f t="shared" ca="1" si="123"/>
        <v>4.5916609376293351</v>
      </c>
      <c r="AM183" s="747"/>
      <c r="AN183" s="748">
        <f t="shared" ref="AN183:BC183" si="124">AN179-SUM(AN181:AN182)</f>
        <v>-1.1899999999999968</v>
      </c>
      <c r="AO183" s="748">
        <f t="shared" si="124"/>
        <v>12.731999999999987</v>
      </c>
      <c r="AP183" s="748">
        <f t="shared" si="124"/>
        <v>17.859999999999971</v>
      </c>
      <c r="AQ183" s="748">
        <f t="shared" si="124"/>
        <v>22.688000000000013</v>
      </c>
      <c r="AR183" s="748">
        <f t="shared" si="124"/>
        <v>23.756000000000064</v>
      </c>
      <c r="AS183" s="748">
        <f t="shared" si="124"/>
        <v>27.098000000000027</v>
      </c>
      <c r="AT183" s="748">
        <f t="shared" si="124"/>
        <v>18.78899999999997</v>
      </c>
      <c r="AU183" s="748">
        <f t="shared" si="124"/>
        <v>20.247000000000028</v>
      </c>
      <c r="AV183" s="748">
        <f t="shared" si="124"/>
        <v>12.891000000000036</v>
      </c>
      <c r="AW183" s="748">
        <f t="shared" si="124"/>
        <v>9.8359999999999879</v>
      </c>
      <c r="AX183" s="935">
        <f t="shared" si="124"/>
        <v>15.188999999999933</v>
      </c>
      <c r="AY183" s="748">
        <f t="shared" ca="1" si="124"/>
        <v>1.9244696604333726</v>
      </c>
      <c r="AZ183" s="748">
        <f t="shared" ca="1" si="124"/>
        <v>9.7290489014490404</v>
      </c>
      <c r="BA183" s="748">
        <f t="shared" ca="1" si="124"/>
        <v>17.375124508191089</v>
      </c>
      <c r="BB183" s="748">
        <f t="shared" ca="1" si="124"/>
        <v>24.838950055519774</v>
      </c>
      <c r="BC183" s="748">
        <f t="shared" ca="1" si="124"/>
        <v>26.458749004061861</v>
      </c>
      <c r="BD183" s="632"/>
    </row>
    <row r="184" spans="1:56" s="39" customFormat="1" hidden="1" outlineLevel="1" x14ac:dyDescent="0.25">
      <c r="A184" s="307" t="s">
        <v>112</v>
      </c>
      <c r="B184" s="225"/>
      <c r="C184" s="725"/>
      <c r="D184" s="725"/>
      <c r="E184" s="725"/>
      <c r="F184" s="725"/>
      <c r="G184" s="725"/>
      <c r="H184" s="725"/>
      <c r="I184" s="725"/>
      <c r="J184" s="725"/>
      <c r="K184" s="725"/>
      <c r="L184" s="725"/>
      <c r="M184" s="725"/>
      <c r="N184" s="725"/>
      <c r="O184" s="725"/>
      <c r="P184" s="725"/>
      <c r="Q184" s="725"/>
      <c r="R184" s="725"/>
      <c r="S184" s="725"/>
      <c r="T184" s="725"/>
      <c r="U184" s="725"/>
      <c r="V184" s="725"/>
      <c r="W184" s="725"/>
      <c r="X184" s="725"/>
      <c r="Y184" s="725"/>
      <c r="Z184" s="725"/>
      <c r="AA184" s="725"/>
      <c r="AB184" s="725"/>
      <c r="AC184" s="725"/>
      <c r="AD184" s="723"/>
      <c r="AE184" s="725"/>
      <c r="AF184" s="771"/>
      <c r="AG184" s="728"/>
      <c r="AH184" s="728"/>
      <c r="AI184" s="728"/>
      <c r="AJ184" s="728"/>
      <c r="AK184" s="728"/>
      <c r="AL184" s="728"/>
      <c r="AM184" s="728"/>
      <c r="AN184" s="726"/>
      <c r="AO184" s="726"/>
      <c r="AP184" s="726"/>
      <c r="AQ184" s="726"/>
      <c r="AR184" s="726"/>
      <c r="AS184" s="726"/>
      <c r="AT184" s="726"/>
      <c r="AU184" s="726"/>
      <c r="AV184" s="726"/>
      <c r="AW184" s="726"/>
      <c r="AX184" s="927"/>
      <c r="AY184" s="729">
        <f>SUM(AE184,AF184,AG184,AH184)</f>
        <v>0</v>
      </c>
      <c r="AZ184" s="729">
        <f>SUM(AI184,AJ184,AK184,AL184)</f>
        <v>0</v>
      </c>
      <c r="BA184" s="773"/>
      <c r="BB184" s="773"/>
      <c r="BC184" s="773"/>
      <c r="BD184" s="631"/>
    </row>
    <row r="185" spans="1:56" s="39" customFormat="1" hidden="1" outlineLevel="1" x14ac:dyDescent="0.25">
      <c r="A185" s="307" t="s">
        <v>113</v>
      </c>
      <c r="B185" s="225"/>
      <c r="C185" s="725"/>
      <c r="D185" s="725"/>
      <c r="E185" s="725"/>
      <c r="F185" s="725"/>
      <c r="G185" s="725"/>
      <c r="H185" s="725"/>
      <c r="I185" s="725"/>
      <c r="J185" s="725"/>
      <c r="K185" s="725"/>
      <c r="L185" s="725"/>
      <c r="M185" s="725"/>
      <c r="N185" s="725"/>
      <c r="O185" s="725"/>
      <c r="P185" s="725"/>
      <c r="Q185" s="725"/>
      <c r="R185" s="725"/>
      <c r="S185" s="725"/>
      <c r="T185" s="725"/>
      <c r="U185" s="725"/>
      <c r="V185" s="725"/>
      <c r="W185" s="725"/>
      <c r="X185" s="725"/>
      <c r="Y185" s="725"/>
      <c r="Z185" s="725"/>
      <c r="AA185" s="725"/>
      <c r="AB185" s="725"/>
      <c r="AC185" s="725"/>
      <c r="AD185" s="723"/>
      <c r="AE185" s="725"/>
      <c r="AF185" s="771"/>
      <c r="AG185" s="728"/>
      <c r="AH185" s="728"/>
      <c r="AI185" s="728"/>
      <c r="AJ185" s="728"/>
      <c r="AK185" s="728"/>
      <c r="AL185" s="728"/>
      <c r="AM185" s="728"/>
      <c r="AN185" s="726"/>
      <c r="AO185" s="726"/>
      <c r="AP185" s="726"/>
      <c r="AQ185" s="726"/>
      <c r="AR185" s="726"/>
      <c r="AS185" s="726"/>
      <c r="AT185" s="726"/>
      <c r="AU185" s="726"/>
      <c r="AV185" s="726"/>
      <c r="AW185" s="726"/>
      <c r="AX185" s="927"/>
      <c r="AY185" s="729">
        <f>SUM(AE185,AF185,AG185,AH185)</f>
        <v>0</v>
      </c>
      <c r="AZ185" s="729">
        <f>SUM(AI185,AJ185,AK185,AL185)</f>
        <v>0</v>
      </c>
      <c r="BA185" s="773"/>
      <c r="BB185" s="773"/>
      <c r="BC185" s="773"/>
      <c r="BD185" s="631"/>
    </row>
    <row r="186" spans="1:56" s="39" customFormat="1" hidden="1" outlineLevel="1" x14ac:dyDescent="0.25">
      <c r="A186" s="307" t="s">
        <v>114</v>
      </c>
      <c r="B186" s="225"/>
      <c r="C186" s="725"/>
      <c r="D186" s="725"/>
      <c r="E186" s="725"/>
      <c r="F186" s="725"/>
      <c r="G186" s="725"/>
      <c r="H186" s="725"/>
      <c r="I186" s="725"/>
      <c r="J186" s="725"/>
      <c r="K186" s="725"/>
      <c r="L186" s="725"/>
      <c r="M186" s="725"/>
      <c r="N186" s="725"/>
      <c r="O186" s="725"/>
      <c r="P186" s="725"/>
      <c r="Q186" s="725"/>
      <c r="R186" s="725"/>
      <c r="S186" s="725"/>
      <c r="T186" s="725"/>
      <c r="U186" s="725"/>
      <c r="V186" s="725"/>
      <c r="W186" s="725"/>
      <c r="X186" s="725"/>
      <c r="Y186" s="725"/>
      <c r="Z186" s="725"/>
      <c r="AA186" s="725"/>
      <c r="AB186" s="725"/>
      <c r="AC186" s="725"/>
      <c r="AD186" s="723"/>
      <c r="AE186" s="725"/>
      <c r="AF186" s="771"/>
      <c r="AG186" s="728"/>
      <c r="AH186" s="728"/>
      <c r="AI186" s="728"/>
      <c r="AJ186" s="728"/>
      <c r="AK186" s="728"/>
      <c r="AL186" s="728"/>
      <c r="AM186" s="728"/>
      <c r="AN186" s="726"/>
      <c r="AO186" s="726"/>
      <c r="AP186" s="726"/>
      <c r="AQ186" s="726"/>
      <c r="AR186" s="726"/>
      <c r="AS186" s="726"/>
      <c r="AT186" s="726"/>
      <c r="AU186" s="726"/>
      <c r="AV186" s="726"/>
      <c r="AW186" s="726"/>
      <c r="AX186" s="927"/>
      <c r="AY186" s="729">
        <f>SUM(AE186,AF186,AG186,AH186)</f>
        <v>0</v>
      </c>
      <c r="AZ186" s="729">
        <f>SUM(AI186,AJ186,AK186,AL186)</f>
        <v>0</v>
      </c>
      <c r="BA186" s="773"/>
      <c r="BB186" s="773"/>
      <c r="BC186" s="773"/>
      <c r="BD186" s="631"/>
    </row>
    <row r="187" spans="1:56" s="38" customFormat="1" hidden="1" outlineLevel="1" x14ac:dyDescent="0.25">
      <c r="A187" s="505" t="s">
        <v>115</v>
      </c>
      <c r="B187" s="506"/>
      <c r="C187" s="752">
        <f t="shared" ref="C187:AL187" si="125">C183-SUM(C184:C186)</f>
        <v>4.9250000000000096</v>
      </c>
      <c r="D187" s="752">
        <f t="shared" si="125"/>
        <v>5.2469999999999981</v>
      </c>
      <c r="E187" s="752">
        <f t="shared" si="125"/>
        <v>6.143000000000014</v>
      </c>
      <c r="F187" s="752">
        <f t="shared" si="125"/>
        <v>7.4410000000000656</v>
      </c>
      <c r="G187" s="752">
        <f t="shared" si="125"/>
        <v>4.3169999999999913</v>
      </c>
      <c r="H187" s="752">
        <f t="shared" si="125"/>
        <v>8.1130000000000173</v>
      </c>
      <c r="I187" s="752">
        <f t="shared" si="125"/>
        <v>7.2439999999999953</v>
      </c>
      <c r="J187" s="752">
        <f t="shared" si="125"/>
        <v>7.4240000000000963</v>
      </c>
      <c r="K187" s="752">
        <f t="shared" si="125"/>
        <v>4.1070000000000029</v>
      </c>
      <c r="L187" s="752">
        <f t="shared" si="125"/>
        <v>4.7140000000000022</v>
      </c>
      <c r="M187" s="752">
        <f t="shared" si="125"/>
        <v>3.7160000000000033</v>
      </c>
      <c r="N187" s="752">
        <f t="shared" si="125"/>
        <v>6.2519999999999474</v>
      </c>
      <c r="O187" s="752">
        <f t="shared" si="125"/>
        <v>3.8000000000000069</v>
      </c>
      <c r="P187" s="752">
        <f t="shared" si="125"/>
        <v>4.9130000000000011</v>
      </c>
      <c r="Q187" s="752">
        <f t="shared" si="125"/>
        <v>4.8019999999999881</v>
      </c>
      <c r="R187" s="752">
        <f t="shared" si="125"/>
        <v>6.7319999999999967</v>
      </c>
      <c r="S187" s="752">
        <f t="shared" si="125"/>
        <v>4.0860000000000039</v>
      </c>
      <c r="T187" s="752">
        <f t="shared" si="125"/>
        <v>5.8630000000000084</v>
      </c>
      <c r="U187" s="752">
        <f t="shared" si="125"/>
        <v>3.2810000000000032</v>
      </c>
      <c r="V187" s="752">
        <f t="shared" si="125"/>
        <v>-0.33899999999995467</v>
      </c>
      <c r="W187" s="752">
        <f t="shared" si="125"/>
        <v>2.6320000000000019</v>
      </c>
      <c r="X187" s="752">
        <f t="shared" si="125"/>
        <v>3.5750000000000046</v>
      </c>
      <c r="Y187" s="752">
        <f t="shared" si="125"/>
        <v>3.2440000000000042</v>
      </c>
      <c r="Z187" s="752">
        <f t="shared" si="125"/>
        <v>0.38500000000003443</v>
      </c>
      <c r="AA187" s="752">
        <f t="shared" si="125"/>
        <v>0.33400000000001273</v>
      </c>
      <c r="AB187" s="752">
        <f t="shared" si="125"/>
        <v>3.2190000000000198</v>
      </c>
      <c r="AC187" s="752">
        <f t="shared" si="125"/>
        <v>2.1409999999999942</v>
      </c>
      <c r="AD187" s="750">
        <f t="shared" si="125"/>
        <v>9.4949999999999157</v>
      </c>
      <c r="AE187" s="752">
        <f t="shared" si="125"/>
        <v>-1.2939999999999861</v>
      </c>
      <c r="AF187" s="776">
        <f t="shared" si="125"/>
        <v>-0.60599999999999565</v>
      </c>
      <c r="AG187" s="752">
        <f t="shared" si="125"/>
        <v>1.23807856480874</v>
      </c>
      <c r="AH187" s="752">
        <f t="shared" ca="1" si="125"/>
        <v>2.5863910956246432</v>
      </c>
      <c r="AI187" s="752">
        <f t="shared" ca="1" si="125"/>
        <v>1.2931533857330186</v>
      </c>
      <c r="AJ187" s="752">
        <f t="shared" ca="1" si="125"/>
        <v>1.7453102945835073</v>
      </c>
      <c r="AK187" s="752">
        <f t="shared" ca="1" si="125"/>
        <v>2.0989242835031243</v>
      </c>
      <c r="AL187" s="752">
        <f t="shared" ca="1" si="125"/>
        <v>4.5916609376293351</v>
      </c>
      <c r="AM187" s="752"/>
      <c r="AN187" s="753">
        <f t="shared" ref="AN187:BC187" si="126">AN183-SUM(AN184:AN186)</f>
        <v>-1.1899999999999968</v>
      </c>
      <c r="AO187" s="753">
        <f t="shared" si="126"/>
        <v>12.731999999999987</v>
      </c>
      <c r="AP187" s="753">
        <f t="shared" si="126"/>
        <v>17.859999999999971</v>
      </c>
      <c r="AQ187" s="753">
        <f t="shared" si="126"/>
        <v>22.688000000000013</v>
      </c>
      <c r="AR187" s="753">
        <f t="shared" si="126"/>
        <v>23.756000000000064</v>
      </c>
      <c r="AS187" s="753">
        <f t="shared" si="126"/>
        <v>27.098000000000027</v>
      </c>
      <c r="AT187" s="753">
        <f t="shared" si="126"/>
        <v>18.78899999999997</v>
      </c>
      <c r="AU187" s="753">
        <f t="shared" si="126"/>
        <v>20.247000000000028</v>
      </c>
      <c r="AV187" s="753">
        <f t="shared" si="126"/>
        <v>12.891000000000036</v>
      </c>
      <c r="AW187" s="753">
        <f t="shared" si="126"/>
        <v>9.8359999999999879</v>
      </c>
      <c r="AX187" s="936">
        <f t="shared" si="126"/>
        <v>15.188999999999933</v>
      </c>
      <c r="AY187" s="753">
        <f t="shared" ca="1" si="126"/>
        <v>1.9244696604333726</v>
      </c>
      <c r="AZ187" s="753">
        <f t="shared" ca="1" si="126"/>
        <v>9.7290489014490404</v>
      </c>
      <c r="BA187" s="753">
        <f t="shared" ca="1" si="126"/>
        <v>17.375124508191089</v>
      </c>
      <c r="BB187" s="753">
        <f t="shared" ca="1" si="126"/>
        <v>24.838950055519774</v>
      </c>
      <c r="BC187" s="753">
        <f t="shared" ca="1" si="126"/>
        <v>26.458749004061861</v>
      </c>
      <c r="BD187" s="632"/>
    </row>
    <row r="188" spans="1:56" s="39" customFormat="1" hidden="1" outlineLevel="1" x14ac:dyDescent="0.25">
      <c r="A188" s="307" t="s">
        <v>116</v>
      </c>
      <c r="B188" s="225"/>
      <c r="C188" s="725"/>
      <c r="D188" s="725"/>
      <c r="E188" s="725"/>
      <c r="F188" s="725"/>
      <c r="G188" s="725"/>
      <c r="H188" s="725"/>
      <c r="I188" s="725"/>
      <c r="J188" s="725"/>
      <c r="K188" s="725"/>
      <c r="L188" s="725"/>
      <c r="M188" s="725"/>
      <c r="N188" s="725"/>
      <c r="O188" s="725"/>
      <c r="P188" s="725"/>
      <c r="Q188" s="725"/>
      <c r="R188" s="725"/>
      <c r="S188" s="725"/>
      <c r="T188" s="725"/>
      <c r="U188" s="725"/>
      <c r="V188" s="725"/>
      <c r="W188" s="725"/>
      <c r="X188" s="725"/>
      <c r="Y188" s="725"/>
      <c r="Z188" s="725"/>
      <c r="AA188" s="725"/>
      <c r="AB188" s="725"/>
      <c r="AC188" s="725"/>
      <c r="AD188" s="723"/>
      <c r="AE188" s="725"/>
      <c r="AF188" s="771"/>
      <c r="AG188" s="728"/>
      <c r="AH188" s="728"/>
      <c r="AI188" s="728"/>
      <c r="AJ188" s="728"/>
      <c r="AK188" s="728"/>
      <c r="AL188" s="728"/>
      <c r="AM188" s="728"/>
      <c r="AN188" s="726"/>
      <c r="AO188" s="726"/>
      <c r="AP188" s="726"/>
      <c r="AQ188" s="726"/>
      <c r="AR188" s="726"/>
      <c r="AS188" s="726"/>
      <c r="AT188" s="726"/>
      <c r="AU188" s="726"/>
      <c r="AV188" s="726"/>
      <c r="AW188" s="726"/>
      <c r="AX188" s="927"/>
      <c r="AY188" s="729">
        <f>SUM(AE188,AF188,AG188,AH188)</f>
        <v>0</v>
      </c>
      <c r="AZ188" s="729">
        <f>SUM(AI188,AJ188,AK188,AL188)</f>
        <v>0</v>
      </c>
      <c r="BA188" s="773"/>
      <c r="BB188" s="773"/>
      <c r="BC188" s="773"/>
      <c r="BD188" s="631"/>
    </row>
    <row r="189" spans="1:56" s="38" customFormat="1" hidden="1" outlineLevel="1" x14ac:dyDescent="0.25">
      <c r="A189" s="505" t="s">
        <v>117</v>
      </c>
      <c r="B189" s="506"/>
      <c r="C189" s="752">
        <f t="shared" ref="C189:AL189" si="127">C187-C188</f>
        <v>4.9250000000000096</v>
      </c>
      <c r="D189" s="752">
        <f t="shared" si="127"/>
        <v>5.2469999999999981</v>
      </c>
      <c r="E189" s="752">
        <f t="shared" si="127"/>
        <v>6.143000000000014</v>
      </c>
      <c r="F189" s="752">
        <f t="shared" si="127"/>
        <v>7.4410000000000656</v>
      </c>
      <c r="G189" s="752">
        <f t="shared" si="127"/>
        <v>4.3169999999999913</v>
      </c>
      <c r="H189" s="752">
        <f t="shared" si="127"/>
        <v>8.1130000000000173</v>
      </c>
      <c r="I189" s="752">
        <f t="shared" si="127"/>
        <v>7.2439999999999953</v>
      </c>
      <c r="J189" s="752">
        <f t="shared" si="127"/>
        <v>7.4240000000000963</v>
      </c>
      <c r="K189" s="752">
        <f t="shared" si="127"/>
        <v>4.1070000000000029</v>
      </c>
      <c r="L189" s="752">
        <f t="shared" si="127"/>
        <v>4.7140000000000022</v>
      </c>
      <c r="M189" s="752">
        <f t="shared" si="127"/>
        <v>3.7160000000000033</v>
      </c>
      <c r="N189" s="752">
        <f t="shared" si="127"/>
        <v>6.2519999999999474</v>
      </c>
      <c r="O189" s="752">
        <f t="shared" si="127"/>
        <v>3.8000000000000069</v>
      </c>
      <c r="P189" s="752">
        <f t="shared" si="127"/>
        <v>4.9130000000000011</v>
      </c>
      <c r="Q189" s="752">
        <f t="shared" si="127"/>
        <v>4.8019999999999881</v>
      </c>
      <c r="R189" s="752">
        <f t="shared" si="127"/>
        <v>6.7319999999999967</v>
      </c>
      <c r="S189" s="752">
        <f t="shared" si="127"/>
        <v>4.0860000000000039</v>
      </c>
      <c r="T189" s="752">
        <f t="shared" si="127"/>
        <v>5.8630000000000084</v>
      </c>
      <c r="U189" s="752">
        <f t="shared" si="127"/>
        <v>3.2810000000000032</v>
      </c>
      <c r="V189" s="752">
        <f t="shared" si="127"/>
        <v>-0.33899999999995467</v>
      </c>
      <c r="W189" s="752">
        <f t="shared" si="127"/>
        <v>2.6320000000000019</v>
      </c>
      <c r="X189" s="752">
        <f t="shared" si="127"/>
        <v>3.5750000000000046</v>
      </c>
      <c r="Y189" s="752">
        <f t="shared" si="127"/>
        <v>3.2440000000000042</v>
      </c>
      <c r="Z189" s="752">
        <f t="shared" si="127"/>
        <v>0.38500000000003443</v>
      </c>
      <c r="AA189" s="752">
        <f t="shared" si="127"/>
        <v>0.33400000000001273</v>
      </c>
      <c r="AB189" s="752">
        <f t="shared" si="127"/>
        <v>3.2190000000000198</v>
      </c>
      <c r="AC189" s="752">
        <f t="shared" si="127"/>
        <v>2.1409999999999942</v>
      </c>
      <c r="AD189" s="750">
        <f t="shared" si="127"/>
        <v>9.4949999999999157</v>
      </c>
      <c r="AE189" s="752">
        <f t="shared" si="127"/>
        <v>-1.2939999999999861</v>
      </c>
      <c r="AF189" s="776">
        <f t="shared" si="127"/>
        <v>-0.60599999999999565</v>
      </c>
      <c r="AG189" s="752">
        <f t="shared" si="127"/>
        <v>1.23807856480874</v>
      </c>
      <c r="AH189" s="752">
        <f t="shared" ca="1" si="127"/>
        <v>2.5863910956246432</v>
      </c>
      <c r="AI189" s="752">
        <f t="shared" ca="1" si="127"/>
        <v>1.2931533857330186</v>
      </c>
      <c r="AJ189" s="752">
        <f t="shared" ca="1" si="127"/>
        <v>1.7453102945835073</v>
      </c>
      <c r="AK189" s="752">
        <f t="shared" ca="1" si="127"/>
        <v>2.0989242835031243</v>
      </c>
      <c r="AL189" s="752">
        <f t="shared" ca="1" si="127"/>
        <v>4.5916609376293351</v>
      </c>
      <c r="AM189" s="752"/>
      <c r="AN189" s="753">
        <f t="shared" ref="AN189:BC189" si="128">AN187-AN188</f>
        <v>-1.1899999999999968</v>
      </c>
      <c r="AO189" s="753">
        <f t="shared" si="128"/>
        <v>12.731999999999987</v>
      </c>
      <c r="AP189" s="753">
        <f t="shared" si="128"/>
        <v>17.859999999999971</v>
      </c>
      <c r="AQ189" s="753">
        <f t="shared" si="128"/>
        <v>22.688000000000013</v>
      </c>
      <c r="AR189" s="753">
        <f t="shared" si="128"/>
        <v>23.756000000000064</v>
      </c>
      <c r="AS189" s="753">
        <f t="shared" si="128"/>
        <v>27.098000000000027</v>
      </c>
      <c r="AT189" s="753">
        <f t="shared" si="128"/>
        <v>18.78899999999997</v>
      </c>
      <c r="AU189" s="753">
        <f t="shared" si="128"/>
        <v>20.247000000000028</v>
      </c>
      <c r="AV189" s="753">
        <f t="shared" si="128"/>
        <v>12.891000000000036</v>
      </c>
      <c r="AW189" s="753">
        <f t="shared" si="128"/>
        <v>9.8359999999999879</v>
      </c>
      <c r="AX189" s="936">
        <f t="shared" si="128"/>
        <v>15.188999999999933</v>
      </c>
      <c r="AY189" s="753">
        <f t="shared" ca="1" si="128"/>
        <v>1.9244696604333726</v>
      </c>
      <c r="AZ189" s="753">
        <f t="shared" ca="1" si="128"/>
        <v>9.7290489014490404</v>
      </c>
      <c r="BA189" s="753">
        <f t="shared" ca="1" si="128"/>
        <v>17.375124508191089</v>
      </c>
      <c r="BB189" s="753">
        <f t="shared" ca="1" si="128"/>
        <v>24.838950055519774</v>
      </c>
      <c r="BC189" s="753">
        <f t="shared" ca="1" si="128"/>
        <v>26.458749004061861</v>
      </c>
      <c r="BD189" s="632"/>
    </row>
    <row r="190" spans="1:56" s="39" customFormat="1" collapsed="1" x14ac:dyDescent="0.25">
      <c r="A190" s="307" t="s">
        <v>118</v>
      </c>
      <c r="B190" s="225"/>
      <c r="C190" s="725"/>
      <c r="D190" s="725"/>
      <c r="E190" s="725"/>
      <c r="F190" s="725"/>
      <c r="G190" s="725"/>
      <c r="H190" s="725"/>
      <c r="I190" s="725"/>
      <c r="J190" s="725"/>
      <c r="K190" s="725"/>
      <c r="L190" s="725"/>
      <c r="M190" s="725"/>
      <c r="N190" s="725"/>
      <c r="O190" s="725"/>
      <c r="P190" s="725"/>
      <c r="Q190" s="725"/>
      <c r="R190" s="725">
        <f t="shared" ref="R190:AF190" si="129">-SUM(R140:R152)*R204</f>
        <v>0</v>
      </c>
      <c r="S190" s="725">
        <f t="shared" si="129"/>
        <v>-0.33682000000000006</v>
      </c>
      <c r="T190" s="725">
        <f t="shared" si="129"/>
        <v>-1.0099799999999999</v>
      </c>
      <c r="U190" s="725">
        <f t="shared" si="129"/>
        <v>-3.04128</v>
      </c>
      <c r="V190" s="725">
        <f t="shared" si="129"/>
        <v>-6.9359700000000002</v>
      </c>
      <c r="W190" s="725">
        <f t="shared" si="129"/>
        <v>0</v>
      </c>
      <c r="X190" s="725">
        <f t="shared" si="129"/>
        <v>-1.9921200000000001</v>
      </c>
      <c r="Y190" s="725">
        <f t="shared" si="129"/>
        <v>-1.1639600000000001</v>
      </c>
      <c r="Z190" s="725">
        <f t="shared" si="129"/>
        <v>-1.49868</v>
      </c>
      <c r="AA190" s="725">
        <f t="shared" si="129"/>
        <v>-2.3384200000000002</v>
      </c>
      <c r="AB190" s="725">
        <f t="shared" si="129"/>
        <v>-0.50340000000000018</v>
      </c>
      <c r="AC190" s="725">
        <f t="shared" si="129"/>
        <v>-1.8632900000000001</v>
      </c>
      <c r="AD190" s="723">
        <f t="shared" si="129"/>
        <v>5.6165999999999991</v>
      </c>
      <c r="AE190" s="725">
        <f t="shared" si="129"/>
        <v>-0.85585</v>
      </c>
      <c r="AF190" s="771">
        <f t="shared" si="129"/>
        <v>-2.7531200000000005</v>
      </c>
      <c r="AG190" s="878">
        <f>Drivers!AG45</f>
        <v>-0.2</v>
      </c>
      <c r="AH190" s="878">
        <f>Drivers!AH45</f>
        <v>-0.2</v>
      </c>
      <c r="AI190" s="878">
        <f>Drivers!AI45</f>
        <v>-0.2</v>
      </c>
      <c r="AJ190" s="878">
        <f>Drivers!AJ45</f>
        <v>-0.2</v>
      </c>
      <c r="AK190" s="878">
        <f>Drivers!AK45</f>
        <v>-0.2</v>
      </c>
      <c r="AL190" s="878">
        <f>Drivers!AL45</f>
        <v>-0.2</v>
      </c>
      <c r="AM190" s="878"/>
      <c r="AN190" s="726"/>
      <c r="AO190" s="726"/>
      <c r="AP190" s="726"/>
      <c r="AQ190" s="726"/>
      <c r="AR190" s="726"/>
      <c r="AS190" s="726"/>
      <c r="AT190" s="726"/>
      <c r="AU190" s="726">
        <f>-SUM(AU140:AU152)*AU204</f>
        <v>-0.16791</v>
      </c>
      <c r="AV190" s="726">
        <f>-SUM(AV140:AV152)*AV204</f>
        <v>-11.304910000000001</v>
      </c>
      <c r="AW190" s="726">
        <f>-SUM(AW140:AW152)*AW204</f>
        <v>-5.1757599999999995</v>
      </c>
      <c r="AX190" s="927">
        <f>-SUM(AX140:AX152)*AX204</f>
        <v>1.0116600000000004</v>
      </c>
      <c r="AY190" s="729">
        <f>SUM(AE190,AF190,AG190,AH190)</f>
        <v>-4.0089700000000006</v>
      </c>
      <c r="AZ190" s="729">
        <f>SUM(AI190,AJ190,AK190,AL190)</f>
        <v>-0.8</v>
      </c>
      <c r="BA190" s="878">
        <f>Drivers!BA45</f>
        <v>-0.8</v>
      </c>
      <c r="BB190" s="878">
        <f>Drivers!BB45</f>
        <v>-0.8</v>
      </c>
      <c r="BC190" s="878">
        <f>Drivers!BC45</f>
        <v>-0.8</v>
      </c>
      <c r="BD190" s="631"/>
    </row>
    <row r="191" spans="1:56" s="39" customFormat="1" x14ac:dyDescent="0.25">
      <c r="A191" s="307" t="s">
        <v>119</v>
      </c>
      <c r="B191" s="225"/>
      <c r="C191" s="725"/>
      <c r="D191" s="725"/>
      <c r="E191" s="725"/>
      <c r="F191" s="725"/>
      <c r="G191" s="725"/>
      <c r="H191" s="725"/>
      <c r="I191" s="725"/>
      <c r="J191" s="725"/>
      <c r="K191" s="725"/>
      <c r="L191" s="725"/>
      <c r="M191" s="725"/>
      <c r="N191" s="725"/>
      <c r="O191" s="725"/>
      <c r="P191" s="725"/>
      <c r="Q191" s="725"/>
      <c r="R191" s="725"/>
      <c r="S191" s="725"/>
      <c r="T191" s="725"/>
      <c r="U191" s="725"/>
      <c r="V191" s="725"/>
      <c r="W191" s="725"/>
      <c r="X191" s="725"/>
      <c r="Y191" s="725"/>
      <c r="Z191" s="725"/>
      <c r="AA191" s="725"/>
      <c r="AB191" s="725"/>
      <c r="AC191" s="725"/>
      <c r="AD191" s="723"/>
      <c r="AE191" s="725"/>
      <c r="AF191" s="771"/>
      <c r="AG191" s="728"/>
      <c r="AH191" s="728"/>
      <c r="AI191" s="728"/>
      <c r="AJ191" s="728"/>
      <c r="AK191" s="728"/>
      <c r="AL191" s="728"/>
      <c r="AM191" s="728"/>
      <c r="AN191" s="726"/>
      <c r="AO191" s="726"/>
      <c r="AP191" s="726"/>
      <c r="AQ191" s="726"/>
      <c r="AR191" s="726"/>
      <c r="AS191" s="726"/>
      <c r="AT191" s="726"/>
      <c r="AU191" s="726"/>
      <c r="AV191" s="726"/>
      <c r="AW191" s="726"/>
      <c r="AX191" s="927"/>
      <c r="AY191" s="773"/>
      <c r="AZ191" s="773"/>
      <c r="BA191" s="773"/>
      <c r="BB191" s="773"/>
      <c r="BC191" s="773"/>
      <c r="BD191" s="631"/>
    </row>
    <row r="192" spans="1:56" s="38" customFormat="1" x14ac:dyDescent="0.25">
      <c r="A192" s="505" t="s">
        <v>120</v>
      </c>
      <c r="B192" s="506"/>
      <c r="C192" s="752">
        <f t="shared" ref="C192:AL192" si="130">C187-SUM(C190:C191)</f>
        <v>4.9250000000000096</v>
      </c>
      <c r="D192" s="752">
        <f t="shared" si="130"/>
        <v>5.2469999999999981</v>
      </c>
      <c r="E192" s="752">
        <f t="shared" si="130"/>
        <v>6.143000000000014</v>
      </c>
      <c r="F192" s="752">
        <f t="shared" si="130"/>
        <v>7.4410000000000656</v>
      </c>
      <c r="G192" s="752">
        <f t="shared" si="130"/>
        <v>4.3169999999999913</v>
      </c>
      <c r="H192" s="752">
        <f t="shared" si="130"/>
        <v>8.1130000000000173</v>
      </c>
      <c r="I192" s="752">
        <f t="shared" si="130"/>
        <v>7.2439999999999953</v>
      </c>
      <c r="J192" s="752">
        <f t="shared" si="130"/>
        <v>7.4240000000000963</v>
      </c>
      <c r="K192" s="752">
        <f t="shared" si="130"/>
        <v>4.1070000000000029</v>
      </c>
      <c r="L192" s="752">
        <f t="shared" si="130"/>
        <v>4.7140000000000022</v>
      </c>
      <c r="M192" s="752">
        <f t="shared" si="130"/>
        <v>3.7160000000000033</v>
      </c>
      <c r="N192" s="752">
        <f t="shared" si="130"/>
        <v>6.2519999999999474</v>
      </c>
      <c r="O192" s="752">
        <f t="shared" si="130"/>
        <v>3.8000000000000069</v>
      </c>
      <c r="P192" s="752">
        <f t="shared" si="130"/>
        <v>4.9130000000000011</v>
      </c>
      <c r="Q192" s="752">
        <f t="shared" si="130"/>
        <v>4.8019999999999881</v>
      </c>
      <c r="R192" s="752">
        <f t="shared" si="130"/>
        <v>6.7319999999999967</v>
      </c>
      <c r="S192" s="752">
        <f t="shared" si="130"/>
        <v>4.4228200000000042</v>
      </c>
      <c r="T192" s="752">
        <f t="shared" si="130"/>
        <v>6.8729800000000081</v>
      </c>
      <c r="U192" s="752">
        <f t="shared" si="130"/>
        <v>6.3222800000000028</v>
      </c>
      <c r="V192" s="752">
        <f t="shared" si="130"/>
        <v>6.5969700000000451</v>
      </c>
      <c r="W192" s="752">
        <f t="shared" si="130"/>
        <v>2.6320000000000019</v>
      </c>
      <c r="X192" s="752">
        <f t="shared" si="130"/>
        <v>5.5671200000000045</v>
      </c>
      <c r="Y192" s="752">
        <f t="shared" si="130"/>
        <v>4.4079600000000045</v>
      </c>
      <c r="Z192" s="752">
        <f t="shared" si="130"/>
        <v>1.8836800000000344</v>
      </c>
      <c r="AA192" s="752">
        <f t="shared" si="130"/>
        <v>2.6724200000000131</v>
      </c>
      <c r="AB192" s="752">
        <f t="shared" si="130"/>
        <v>3.7224000000000199</v>
      </c>
      <c r="AC192" s="752">
        <f t="shared" si="130"/>
        <v>4.0042899999999939</v>
      </c>
      <c r="AD192" s="750">
        <f t="shared" si="130"/>
        <v>3.8783999999999166</v>
      </c>
      <c r="AE192" s="752">
        <f t="shared" si="130"/>
        <v>-0.43814999999998605</v>
      </c>
      <c r="AF192" s="776">
        <f t="shared" si="130"/>
        <v>2.1471200000000046</v>
      </c>
      <c r="AG192" s="752">
        <f t="shared" si="130"/>
        <v>1.43807856480874</v>
      </c>
      <c r="AH192" s="752">
        <f t="shared" ca="1" si="130"/>
        <v>2.7863910956246434</v>
      </c>
      <c r="AI192" s="752">
        <f t="shared" ca="1" si="130"/>
        <v>1.4931533857330186</v>
      </c>
      <c r="AJ192" s="752">
        <f t="shared" ca="1" si="130"/>
        <v>1.9453102945835072</v>
      </c>
      <c r="AK192" s="752">
        <f t="shared" ca="1" si="130"/>
        <v>2.2989242835031245</v>
      </c>
      <c r="AL192" s="752">
        <f t="shared" ca="1" si="130"/>
        <v>4.7916609376293353</v>
      </c>
      <c r="AM192" s="752"/>
      <c r="AN192" s="753">
        <f t="shared" ref="AN192:BC192" si="131">AN187-SUM(AN190:AN191)</f>
        <v>-1.1899999999999968</v>
      </c>
      <c r="AO192" s="753">
        <f t="shared" si="131"/>
        <v>12.731999999999987</v>
      </c>
      <c r="AP192" s="753">
        <f t="shared" si="131"/>
        <v>17.859999999999971</v>
      </c>
      <c r="AQ192" s="753">
        <f t="shared" si="131"/>
        <v>22.688000000000013</v>
      </c>
      <c r="AR192" s="753">
        <f t="shared" si="131"/>
        <v>23.756000000000064</v>
      </c>
      <c r="AS192" s="753">
        <f t="shared" si="131"/>
        <v>27.098000000000027</v>
      </c>
      <c r="AT192" s="753">
        <f t="shared" si="131"/>
        <v>18.78899999999997</v>
      </c>
      <c r="AU192" s="753">
        <f t="shared" si="131"/>
        <v>20.414910000000027</v>
      </c>
      <c r="AV192" s="753">
        <f t="shared" si="131"/>
        <v>24.195910000000037</v>
      </c>
      <c r="AW192" s="753">
        <f t="shared" si="131"/>
        <v>15.011759999999988</v>
      </c>
      <c r="AX192" s="936">
        <f t="shared" si="131"/>
        <v>14.177339999999932</v>
      </c>
      <c r="AY192" s="753">
        <f t="shared" ca="1" si="131"/>
        <v>5.9334396604333737</v>
      </c>
      <c r="AZ192" s="753">
        <f t="shared" ca="1" si="131"/>
        <v>10.529048901449041</v>
      </c>
      <c r="BA192" s="753">
        <f t="shared" ca="1" si="131"/>
        <v>18.175124508191089</v>
      </c>
      <c r="BB192" s="753">
        <f t="shared" ca="1" si="131"/>
        <v>25.638950055519775</v>
      </c>
      <c r="BC192" s="753">
        <f t="shared" ca="1" si="131"/>
        <v>27.258749004061862</v>
      </c>
      <c r="BD192" s="632"/>
    </row>
    <row r="193" spans="1:56" s="47" customFormat="1" x14ac:dyDescent="0.25">
      <c r="A193" s="673"/>
      <c r="B193" s="674"/>
      <c r="C193" s="762"/>
      <c r="D193" s="762"/>
      <c r="E193" s="762"/>
      <c r="F193" s="762"/>
      <c r="G193" s="762"/>
      <c r="H193" s="762"/>
      <c r="I193" s="762"/>
      <c r="J193" s="762"/>
      <c r="K193" s="762"/>
      <c r="L193" s="762"/>
      <c r="M193" s="762"/>
      <c r="N193" s="762"/>
      <c r="O193" s="762"/>
      <c r="P193" s="762"/>
      <c r="Q193" s="762"/>
      <c r="R193" s="762"/>
      <c r="S193" s="762"/>
      <c r="T193" s="762"/>
      <c r="U193" s="762"/>
      <c r="V193" s="762"/>
      <c r="W193" s="762"/>
      <c r="X193" s="762"/>
      <c r="Y193" s="762"/>
      <c r="Z193" s="762"/>
      <c r="AA193" s="762"/>
      <c r="AB193" s="762"/>
      <c r="AC193" s="762"/>
      <c r="AD193" s="764"/>
      <c r="AE193" s="762"/>
      <c r="AF193" s="766"/>
      <c r="AG193" s="774"/>
      <c r="AH193" s="774"/>
      <c r="AI193" s="774"/>
      <c r="AJ193" s="774"/>
      <c r="AK193" s="774"/>
      <c r="AL193" s="774"/>
      <c r="AM193" s="774"/>
      <c r="AN193" s="761"/>
      <c r="AO193" s="761"/>
      <c r="AP193" s="761"/>
      <c r="AQ193" s="761"/>
      <c r="AR193" s="761"/>
      <c r="AS193" s="761"/>
      <c r="AT193" s="761"/>
      <c r="AU193" s="761"/>
      <c r="AV193" s="761"/>
      <c r="AW193" s="761"/>
      <c r="AX193" s="940"/>
      <c r="AY193" s="775"/>
      <c r="AZ193" s="775"/>
      <c r="BA193" s="775"/>
      <c r="BB193" s="775"/>
      <c r="BC193" s="775"/>
      <c r="BD193" s="635"/>
    </row>
    <row r="194" spans="1:56" s="31" customFormat="1" x14ac:dyDescent="0.25">
      <c r="A194" s="308" t="s">
        <v>121</v>
      </c>
      <c r="B194" s="507"/>
      <c r="C194" s="509">
        <f t="shared" ref="C194:AF194" si="132">C181/C179</f>
        <v>0.37720942688805525</v>
      </c>
      <c r="D194" s="509">
        <f t="shared" si="132"/>
        <v>0.38884360079189484</v>
      </c>
      <c r="E194" s="509">
        <f t="shared" si="132"/>
        <v>0.39535790910863994</v>
      </c>
      <c r="F194" s="509">
        <f t="shared" si="132"/>
        <v>0.39469578783151116</v>
      </c>
      <c r="G194" s="509">
        <f t="shared" si="132"/>
        <v>0.39427529114634541</v>
      </c>
      <c r="H194" s="509">
        <f t="shared" si="132"/>
        <v>0.4111199825796612</v>
      </c>
      <c r="I194" s="509">
        <f t="shared" si="132"/>
        <v>0.31570901897311404</v>
      </c>
      <c r="J194" s="509">
        <f t="shared" si="132"/>
        <v>0.3568253380255571</v>
      </c>
      <c r="K194" s="509">
        <f t="shared" si="132"/>
        <v>0.39092392110336632</v>
      </c>
      <c r="L194" s="509">
        <f t="shared" si="132"/>
        <v>0.36280075696134079</v>
      </c>
      <c r="M194" s="509">
        <f t="shared" si="132"/>
        <v>0.37219124852170954</v>
      </c>
      <c r="N194" s="509">
        <f t="shared" si="132"/>
        <v>0.46083864895953408</v>
      </c>
      <c r="O194" s="509">
        <f t="shared" si="132"/>
        <v>0.36740469452305602</v>
      </c>
      <c r="P194" s="509">
        <f t="shared" si="132"/>
        <v>0.38348600828209306</v>
      </c>
      <c r="Q194" s="509">
        <f t="shared" si="132"/>
        <v>0.57876757324924544</v>
      </c>
      <c r="R194" s="509">
        <f t="shared" si="132"/>
        <v>0.22256422398484682</v>
      </c>
      <c r="S194" s="509">
        <f t="shared" si="132"/>
        <v>0.30832510694307319</v>
      </c>
      <c r="T194" s="509">
        <f t="shared" si="132"/>
        <v>0.37210401891252914</v>
      </c>
      <c r="U194" s="509">
        <f t="shared" si="132"/>
        <v>0.16080530071355745</v>
      </c>
      <c r="V194" s="509">
        <f t="shared" si="132"/>
        <v>1.1882640586796627</v>
      </c>
      <c r="W194" s="509">
        <f t="shared" si="132"/>
        <v>0.42136634571297554</v>
      </c>
      <c r="X194" s="509">
        <f t="shared" si="132"/>
        <v>0.28388017118402259</v>
      </c>
      <c r="Y194" s="509">
        <f t="shared" si="132"/>
        <v>0.35503911642889979</v>
      </c>
      <c r="Z194" s="509">
        <f t="shared" si="132"/>
        <v>-0.62979094076653308</v>
      </c>
      <c r="AA194" s="509">
        <f t="shared" si="132"/>
        <v>0.51767151767150399</v>
      </c>
      <c r="AB194" s="509">
        <f t="shared" si="132"/>
        <v>0.38813896879840504</v>
      </c>
      <c r="AC194" s="509">
        <f t="shared" si="132"/>
        <v>0.21373307543520348</v>
      </c>
      <c r="AD194" s="411">
        <f t="shared" si="132"/>
        <v>0.39251419359360995</v>
      </c>
      <c r="AE194" s="509">
        <f t="shared" si="132"/>
        <v>0.11180447217888798</v>
      </c>
      <c r="AF194" s="657">
        <f t="shared" si="132"/>
        <v>0.61164154103852753</v>
      </c>
      <c r="AG194" s="889">
        <f>Drivers!AG46</f>
        <v>0.23</v>
      </c>
      <c r="AH194" s="889">
        <f>Drivers!AH46</f>
        <v>0.23</v>
      </c>
      <c r="AI194" s="889">
        <f>Drivers!AI46</f>
        <v>0.23</v>
      </c>
      <c r="AJ194" s="889">
        <f>Drivers!AJ46</f>
        <v>0.23</v>
      </c>
      <c r="AK194" s="889">
        <f>Drivers!AK46</f>
        <v>0.23</v>
      </c>
      <c r="AL194" s="889">
        <f>Drivers!AL46</f>
        <v>0.23</v>
      </c>
      <c r="AM194" s="889"/>
      <c r="AN194" s="508">
        <f t="shared" ref="AN194:AZ194" si="133">AN181/AN179</f>
        <v>0.80206185567010235</v>
      </c>
      <c r="AO194" s="508">
        <f t="shared" si="133"/>
        <v>0.33838480721273756</v>
      </c>
      <c r="AP194" s="508">
        <f t="shared" si="133"/>
        <v>0.36574970941495583</v>
      </c>
      <c r="AQ194" s="508">
        <f t="shared" si="133"/>
        <v>0.34629350315624818</v>
      </c>
      <c r="AR194" s="508">
        <f t="shared" si="133"/>
        <v>0.39017356059031322</v>
      </c>
      <c r="AS194" s="508">
        <f t="shared" si="133"/>
        <v>0.36984797888984866</v>
      </c>
      <c r="AT194" s="508">
        <f t="shared" si="133"/>
        <v>0.40272761030280568</v>
      </c>
      <c r="AU194" s="508">
        <f t="shared" si="133"/>
        <v>0.38449756942132213</v>
      </c>
      <c r="AV194" s="508">
        <f t="shared" si="133"/>
        <v>0.36116613337396447</v>
      </c>
      <c r="AW194" s="508">
        <f t="shared" si="133"/>
        <v>0.274402221770643</v>
      </c>
      <c r="AX194" s="942">
        <f t="shared" si="133"/>
        <v>0.36952925924270308</v>
      </c>
      <c r="AY194" s="210">
        <f t="shared" ca="1" si="133"/>
        <v>-0.11610155168495051</v>
      </c>
      <c r="AZ194" s="210">
        <f t="shared" ca="1" si="133"/>
        <v>0.22999999999999898</v>
      </c>
      <c r="BA194" s="889">
        <f>Drivers!BA46</f>
        <v>0.22999999999999898</v>
      </c>
      <c r="BB194" s="889">
        <f>Drivers!BB46</f>
        <v>0.22999999999999898</v>
      </c>
      <c r="BC194" s="889">
        <f>Drivers!BC46</f>
        <v>0.22999999999999898</v>
      </c>
      <c r="BD194" s="72"/>
    </row>
    <row r="195" spans="1:56" s="31" customFormat="1" x14ac:dyDescent="0.25">
      <c r="A195" s="308" t="s">
        <v>122</v>
      </c>
      <c r="B195" s="507"/>
      <c r="C195" s="509">
        <f t="shared" ref="C195:AE195" si="134">C182/C179</f>
        <v>-3.6689876807712865E-2</v>
      </c>
      <c r="D195" s="509">
        <f t="shared" si="134"/>
        <v>1.1645510655642263E-4</v>
      </c>
      <c r="E195" s="509">
        <f t="shared" si="134"/>
        <v>5.5588063194850742E-3</v>
      </c>
      <c r="F195" s="509">
        <f t="shared" si="134"/>
        <v>-5.6654897774858042E-3</v>
      </c>
      <c r="G195" s="509">
        <f t="shared" si="134"/>
        <v>0</v>
      </c>
      <c r="H195" s="509">
        <f t="shared" si="134"/>
        <v>0</v>
      </c>
      <c r="I195" s="509">
        <f t="shared" si="134"/>
        <v>3.2910709468572982E-2</v>
      </c>
      <c r="J195" s="509">
        <f t="shared" si="134"/>
        <v>-4.4360066679014237E-2</v>
      </c>
      <c r="K195" s="509">
        <f t="shared" si="134"/>
        <v>0</v>
      </c>
      <c r="L195" s="509">
        <f t="shared" si="134"/>
        <v>0</v>
      </c>
      <c r="M195" s="509">
        <f t="shared" si="134"/>
        <v>0</v>
      </c>
      <c r="N195" s="509">
        <f t="shared" si="134"/>
        <v>-0.11460838648959595</v>
      </c>
      <c r="O195" s="509">
        <f t="shared" si="134"/>
        <v>0</v>
      </c>
      <c r="P195" s="509">
        <f t="shared" si="134"/>
        <v>0</v>
      </c>
      <c r="Q195" s="509">
        <f t="shared" si="134"/>
        <v>-0.20969649191959042</v>
      </c>
      <c r="R195" s="509">
        <f t="shared" si="134"/>
        <v>-1.9533562211435998E-2</v>
      </c>
      <c r="S195" s="509">
        <f t="shared" si="134"/>
        <v>1.9414281013491266E-2</v>
      </c>
      <c r="T195" s="509">
        <f t="shared" si="134"/>
        <v>-6.5130023640661866E-2</v>
      </c>
      <c r="U195" s="509">
        <f t="shared" si="134"/>
        <v>3.0581039755351682E-3</v>
      </c>
      <c r="V195" s="509">
        <f t="shared" si="134"/>
        <v>8.8019559902197231E-2</v>
      </c>
      <c r="W195" s="509">
        <f t="shared" si="134"/>
        <v>-2.4759284731774404E-2</v>
      </c>
      <c r="X195" s="509">
        <f t="shared" si="134"/>
        <v>-1.2431220705115133E-2</v>
      </c>
      <c r="Y195" s="509">
        <f t="shared" si="134"/>
        <v>-0.10147261849976978</v>
      </c>
      <c r="Z195" s="509">
        <f t="shared" si="134"/>
        <v>1.2944250871079763</v>
      </c>
      <c r="AA195" s="509">
        <f t="shared" si="134"/>
        <v>-0.21205821205820644</v>
      </c>
      <c r="AB195" s="509">
        <f t="shared" si="134"/>
        <v>-0.10046470458065902</v>
      </c>
      <c r="AC195" s="509">
        <f t="shared" si="134"/>
        <v>9.6067053513862216E-2</v>
      </c>
      <c r="AD195" s="509">
        <f t="shared" si="134"/>
        <v>-5.8036027195626616E-2</v>
      </c>
      <c r="AE195" s="509">
        <f t="shared" si="134"/>
        <v>0.21528861154446333</v>
      </c>
      <c r="AF195" s="658">
        <v>0.05</v>
      </c>
      <c r="AG195" s="889">
        <f>Drivers!AG47</f>
        <v>0.01</v>
      </c>
      <c r="AH195" s="889">
        <f>Drivers!AH47</f>
        <v>0.01</v>
      </c>
      <c r="AI195" s="889">
        <f>Drivers!AI47</f>
        <v>0.01</v>
      </c>
      <c r="AJ195" s="889">
        <f>Drivers!AJ47</f>
        <v>0.01</v>
      </c>
      <c r="AK195" s="889">
        <f>Drivers!AK47</f>
        <v>0.01</v>
      </c>
      <c r="AL195" s="889">
        <f>Drivers!AL47</f>
        <v>0.01</v>
      </c>
      <c r="AM195" s="889"/>
      <c r="AN195" s="508">
        <f t="shared" ref="AN195:AZ195" si="135">AN182/AN179</f>
        <v>0.54845360824742218</v>
      </c>
      <c r="AO195" s="508">
        <f t="shared" si="135"/>
        <v>5.1026280452714408E-2</v>
      </c>
      <c r="AP195" s="508">
        <f t="shared" si="135"/>
        <v>5.1776971575499334E-3</v>
      </c>
      <c r="AQ195" s="508">
        <f t="shared" si="135"/>
        <v>1.9998882743980775E-2</v>
      </c>
      <c r="AR195" s="508">
        <f t="shared" si="135"/>
        <v>-7.4049054250675409E-3</v>
      </c>
      <c r="AS195" s="508">
        <f t="shared" si="135"/>
        <v>-2.638768885879082E-3</v>
      </c>
      <c r="AT195" s="508">
        <f t="shared" si="135"/>
        <v>-3.6998278364784164E-2</v>
      </c>
      <c r="AU195" s="508">
        <f t="shared" si="135"/>
        <v>-5.8633548644869089E-2</v>
      </c>
      <c r="AV195" s="508">
        <f t="shared" si="135"/>
        <v>-1.589720148306158E-2</v>
      </c>
      <c r="AW195" s="508">
        <f t="shared" si="135"/>
        <v>5.9337533021743598E-2</v>
      </c>
      <c r="AX195" s="943">
        <f t="shared" si="135"/>
        <v>-4.854933166435707E-2</v>
      </c>
      <c r="AY195" s="210">
        <f t="shared" ca="1" si="135"/>
        <v>-0.343824221820964</v>
      </c>
      <c r="AZ195" s="210">
        <f t="shared" ca="1" si="135"/>
        <v>9.9999999999999568E-3</v>
      </c>
      <c r="BA195" s="889">
        <f>Drivers!BA47</f>
        <v>0.01</v>
      </c>
      <c r="BB195" s="889">
        <f>Drivers!BB47</f>
        <v>0.01</v>
      </c>
      <c r="BC195" s="889">
        <f>Drivers!BC47</f>
        <v>0.01</v>
      </c>
      <c r="BD195" s="72"/>
    </row>
    <row r="196" spans="1:56" s="39" customFormat="1" x14ac:dyDescent="0.25">
      <c r="A196" s="631"/>
      <c r="B196" s="171"/>
      <c r="C196" s="723"/>
      <c r="D196" s="723"/>
      <c r="E196" s="723"/>
      <c r="F196" s="723"/>
      <c r="G196" s="723"/>
      <c r="H196" s="723"/>
      <c r="I196" s="723"/>
      <c r="J196" s="723"/>
      <c r="K196" s="723"/>
      <c r="L196" s="723"/>
      <c r="M196" s="723"/>
      <c r="N196" s="723"/>
      <c r="O196" s="723"/>
      <c r="P196" s="723"/>
      <c r="Q196" s="724"/>
      <c r="R196" s="723"/>
      <c r="S196" s="723"/>
      <c r="T196" s="723"/>
      <c r="U196" s="724"/>
      <c r="V196" s="723"/>
      <c r="W196" s="723"/>
      <c r="X196" s="723"/>
      <c r="Y196" s="724"/>
      <c r="Z196" s="723"/>
      <c r="AA196" s="723"/>
      <c r="AB196" s="723"/>
      <c r="AC196" s="724"/>
      <c r="AD196" s="723"/>
      <c r="AE196" s="723"/>
      <c r="AF196" s="727"/>
      <c r="AG196" s="737"/>
      <c r="AH196" s="737"/>
      <c r="AI196" s="737"/>
      <c r="AJ196" s="737"/>
      <c r="AK196" s="737"/>
      <c r="AL196" s="737"/>
      <c r="AM196" s="737"/>
      <c r="AN196" s="722"/>
      <c r="AO196" s="722"/>
      <c r="AP196" s="722"/>
      <c r="AQ196" s="722"/>
      <c r="AR196" s="722"/>
      <c r="AS196" s="722"/>
      <c r="AT196" s="722"/>
      <c r="AU196" s="722"/>
      <c r="AV196" s="722"/>
      <c r="AW196" s="722"/>
      <c r="AX196" s="927"/>
      <c r="AY196" s="738"/>
      <c r="AZ196" s="738"/>
      <c r="BA196" s="738"/>
      <c r="BB196" s="738"/>
      <c r="BC196" s="738"/>
      <c r="BD196" s="631"/>
    </row>
    <row r="197" spans="1:56" s="49" customFormat="1" x14ac:dyDescent="0.25">
      <c r="A197" s="155" t="s">
        <v>123</v>
      </c>
      <c r="B197" s="190"/>
      <c r="C197" s="405">
        <f t="shared" ref="C197:AL197" si="136">C187/C202</f>
        <v>0.25839454354669517</v>
      </c>
      <c r="D197" s="405">
        <f t="shared" si="136"/>
        <v>0.27497117702546892</v>
      </c>
      <c r="E197" s="405">
        <f t="shared" si="136"/>
        <v>0.3212026143790857</v>
      </c>
      <c r="F197" s="405">
        <f t="shared" si="136"/>
        <v>0.38868575010447481</v>
      </c>
      <c r="G197" s="405">
        <f t="shared" si="136"/>
        <v>0.2255368058095184</v>
      </c>
      <c r="H197" s="405">
        <f t="shared" si="136"/>
        <v>0.42378813205181876</v>
      </c>
      <c r="I197" s="405">
        <f t="shared" si="136"/>
        <v>0.37865244890491845</v>
      </c>
      <c r="J197" s="405">
        <f t="shared" si="136"/>
        <v>0.43248281486660234</v>
      </c>
      <c r="K197" s="405">
        <f t="shared" si="136"/>
        <v>0.23934961244827804</v>
      </c>
      <c r="L197" s="405">
        <f t="shared" si="136"/>
        <v>0.27442077075328919</v>
      </c>
      <c r="M197" s="405">
        <f t="shared" si="136"/>
        <v>0.21709411695974781</v>
      </c>
      <c r="N197" s="405">
        <f t="shared" si="136"/>
        <v>0.36802448787379016</v>
      </c>
      <c r="O197" s="405">
        <f t="shared" si="136"/>
        <v>0.2267573696145129</v>
      </c>
      <c r="P197" s="405">
        <f t="shared" si="136"/>
        <v>0.29459734964322126</v>
      </c>
      <c r="Q197" s="406">
        <f t="shared" si="136"/>
        <v>0.28847771236332981</v>
      </c>
      <c r="R197" s="405">
        <f t="shared" si="136"/>
        <v>0.4029931158335826</v>
      </c>
      <c r="S197" s="405">
        <f t="shared" si="136"/>
        <v>0.24407144137148343</v>
      </c>
      <c r="T197" s="405">
        <f t="shared" si="136"/>
        <v>0.35072082311419567</v>
      </c>
      <c r="U197" s="406">
        <f t="shared" si="136"/>
        <v>0.19588059701492558</v>
      </c>
      <c r="V197" s="405">
        <f t="shared" si="136"/>
        <v>-2.0202622169246405E-2</v>
      </c>
      <c r="W197" s="405">
        <f t="shared" si="136"/>
        <v>0.15837294662735435</v>
      </c>
      <c r="X197" s="405">
        <f t="shared" si="136"/>
        <v>0.2165354330708664</v>
      </c>
      <c r="Y197" s="406">
        <f t="shared" si="136"/>
        <v>0.19617803580067755</v>
      </c>
      <c r="Z197" s="405">
        <f t="shared" si="136"/>
        <v>2.3222148501117944E-2</v>
      </c>
      <c r="AA197" s="405">
        <f t="shared" si="136"/>
        <v>2.0033589251440304E-2</v>
      </c>
      <c r="AB197" s="405">
        <f t="shared" si="136"/>
        <v>0.19221353078163372</v>
      </c>
      <c r="AC197" s="406">
        <f t="shared" si="136"/>
        <v>0.12667889473995589</v>
      </c>
      <c r="AD197" s="405">
        <f t="shared" si="136"/>
        <v>0.55908850026496593</v>
      </c>
      <c r="AE197" s="405">
        <f t="shared" si="136"/>
        <v>-7.5752253834444797E-2</v>
      </c>
      <c r="AF197" s="653">
        <f t="shared" si="136"/>
        <v>-3.5347643490433719E-2</v>
      </c>
      <c r="AG197" s="202">
        <f t="shared" ca="1" si="136"/>
        <v>7.2216435184830854E-2</v>
      </c>
      <c r="AH197" s="202">
        <f t="shared" ca="1" si="136"/>
        <v>0.15086275639434457</v>
      </c>
      <c r="AI197" s="202">
        <f t="shared" ca="1" si="136"/>
        <v>7.5428918906498998E-2</v>
      </c>
      <c r="AJ197" s="202">
        <f t="shared" ca="1" si="136"/>
        <v>0.10180298031868336</v>
      </c>
      <c r="AK197" s="202">
        <f t="shared" ca="1" si="136"/>
        <v>0.12242908793182014</v>
      </c>
      <c r="AL197" s="202">
        <f t="shared" ca="1" si="136"/>
        <v>0.2678290327595273</v>
      </c>
      <c r="AM197" s="202"/>
      <c r="AN197" s="404">
        <f t="shared" ref="AN197:BC197" si="137">AN187/AN202</f>
        <v>-7.5149984212187992E-2</v>
      </c>
      <c r="AO197" s="404">
        <f t="shared" si="137"/>
        <v>0.68374415981955794</v>
      </c>
      <c r="AP197" s="404">
        <f t="shared" si="137"/>
        <v>0.95172119791111442</v>
      </c>
      <c r="AQ197" s="404">
        <f t="shared" si="137"/>
        <v>1.1968769782654576</v>
      </c>
      <c r="AR197" s="404">
        <f t="shared" si="137"/>
        <v>1.2435743077003645</v>
      </c>
      <c r="AS197" s="404">
        <f t="shared" si="137"/>
        <v>1.4536773778230798</v>
      </c>
      <c r="AT197" s="404">
        <f t="shared" si="137"/>
        <v>1.0981297486849777</v>
      </c>
      <c r="AU197" s="404">
        <f t="shared" si="137"/>
        <v>1.212685673215143</v>
      </c>
      <c r="AV197" s="404">
        <f t="shared" si="137"/>
        <v>0.76970384523525404</v>
      </c>
      <c r="AW197" s="404">
        <f t="shared" si="137"/>
        <v>0.59224470134874685</v>
      </c>
      <c r="AX197" s="937">
        <f t="shared" si="137"/>
        <v>0.90265644499910447</v>
      </c>
      <c r="AY197" s="211">
        <f t="shared" ca="1" si="137"/>
        <v>0.11235482735986063</v>
      </c>
      <c r="AZ197" s="211">
        <f t="shared" ca="1" si="137"/>
        <v>0.56749001991653303</v>
      </c>
      <c r="BA197" s="211">
        <f t="shared" ca="1" si="137"/>
        <v>1.013481364220199</v>
      </c>
      <c r="BB197" s="211">
        <f t="shared" ca="1" si="137"/>
        <v>1.4488421637610696</v>
      </c>
      <c r="BC197" s="211">
        <f t="shared" ca="1" si="137"/>
        <v>1.5433241369611446</v>
      </c>
      <c r="BD197" s="73"/>
    </row>
    <row r="198" spans="1:56" s="49" customFormat="1" x14ac:dyDescent="0.25">
      <c r="A198" s="155" t="s">
        <v>124</v>
      </c>
      <c r="B198" s="190"/>
      <c r="C198" s="405">
        <f t="shared" ref="C198:AL198" si="138">C189/C203</f>
        <v>0.25523424543946982</v>
      </c>
      <c r="D198" s="405">
        <f t="shared" si="138"/>
        <v>0.27138719354505009</v>
      </c>
      <c r="E198" s="405">
        <f t="shared" si="138"/>
        <v>0.31658420944135302</v>
      </c>
      <c r="F198" s="405">
        <f t="shared" si="138"/>
        <v>0.38324062628760125</v>
      </c>
      <c r="G198" s="405">
        <f t="shared" si="138"/>
        <v>0.22227371022551701</v>
      </c>
      <c r="H198" s="405">
        <f t="shared" si="138"/>
        <v>0.4178727787792953</v>
      </c>
      <c r="I198" s="405">
        <f t="shared" si="138"/>
        <v>0.37357537001701802</v>
      </c>
      <c r="J198" s="405">
        <f t="shared" si="138"/>
        <v>0.42824180895247443</v>
      </c>
      <c r="K198" s="405">
        <f t="shared" si="138"/>
        <v>0.23722058568705615</v>
      </c>
      <c r="L198" s="405">
        <f t="shared" si="138"/>
        <v>0.27163766278667756</v>
      </c>
      <c r="M198" s="405">
        <f t="shared" si="138"/>
        <v>0.21514590088003727</v>
      </c>
      <c r="N198" s="405">
        <f t="shared" si="138"/>
        <v>0.36520824814533254</v>
      </c>
      <c r="O198" s="405">
        <f t="shared" si="138"/>
        <v>0.22577386964529778</v>
      </c>
      <c r="P198" s="405">
        <f t="shared" si="138"/>
        <v>0.29299856870229013</v>
      </c>
      <c r="Q198" s="406">
        <f t="shared" si="138"/>
        <v>0.28673792321012648</v>
      </c>
      <c r="R198" s="405">
        <f t="shared" si="138"/>
        <v>0.40023781212841836</v>
      </c>
      <c r="S198" s="405">
        <f t="shared" si="138"/>
        <v>0.24262217208004297</v>
      </c>
      <c r="T198" s="405">
        <f t="shared" si="138"/>
        <v>0.34830392681043243</v>
      </c>
      <c r="U198" s="406">
        <f t="shared" si="138"/>
        <v>0.19418797348484867</v>
      </c>
      <c r="V198" s="405">
        <f t="shared" si="138"/>
        <v>-2.0039014009573485E-2</v>
      </c>
      <c r="W198" s="405">
        <f t="shared" si="138"/>
        <v>0.1574821994854306</v>
      </c>
      <c r="X198" s="405">
        <f t="shared" si="138"/>
        <v>0.2153484729835555</v>
      </c>
      <c r="Y198" s="406">
        <f t="shared" si="138"/>
        <v>0.19509261486649052</v>
      </c>
      <c r="Z198" s="405">
        <f t="shared" si="138"/>
        <v>2.3120345904397935E-2</v>
      </c>
      <c r="AA198" s="405">
        <f t="shared" si="138"/>
        <v>1.999640783092934E-2</v>
      </c>
      <c r="AB198" s="405">
        <f t="shared" si="138"/>
        <v>0.19183551847437544</v>
      </c>
      <c r="AC198" s="406">
        <f t="shared" si="138"/>
        <v>0.12639471043154815</v>
      </c>
      <c r="AD198" s="405">
        <f t="shared" si="138"/>
        <v>0.55787309048178124</v>
      </c>
      <c r="AE198" s="405">
        <f t="shared" si="138"/>
        <v>-7.5597359350352625E-2</v>
      </c>
      <c r="AF198" s="653">
        <f t="shared" si="138"/>
        <v>-3.5218225140930759E-2</v>
      </c>
      <c r="AG198" s="202">
        <f t="shared" ca="1" si="138"/>
        <v>7.1952029104942167E-2</v>
      </c>
      <c r="AH198" s="202">
        <f t="shared" ca="1" si="138"/>
        <v>0.15031040248879196</v>
      </c>
      <c r="AI198" s="202">
        <f t="shared" ca="1" si="138"/>
        <v>7.5152750957925174E-2</v>
      </c>
      <c r="AJ198" s="202">
        <f t="shared" ca="1" si="138"/>
        <v>0.10143024900235412</v>
      </c>
      <c r="AK198" s="202">
        <f t="shared" ca="1" si="138"/>
        <v>0.12198083823462104</v>
      </c>
      <c r="AL198" s="202">
        <f t="shared" ca="1" si="138"/>
        <v>0.26684843015222498</v>
      </c>
      <c r="AM198" s="202"/>
      <c r="AN198" s="404">
        <f t="shared" ref="AN198:BC198" si="139">AN189/AN203</f>
        <v>-7.4791025076990564E-2</v>
      </c>
      <c r="AO198" s="404">
        <f t="shared" si="139"/>
        <v>0.67980137754284731</v>
      </c>
      <c r="AP198" s="404">
        <f t="shared" si="139"/>
        <v>0.93950552340873061</v>
      </c>
      <c r="AQ198" s="404">
        <f t="shared" si="139"/>
        <v>1.1770687418936454</v>
      </c>
      <c r="AR198" s="404">
        <f t="shared" si="139"/>
        <v>1.2269393657680026</v>
      </c>
      <c r="AS198" s="404">
        <f t="shared" si="139"/>
        <v>1.4347434743474361</v>
      </c>
      <c r="AT198" s="404">
        <f t="shared" si="139"/>
        <v>1.0883341056533811</v>
      </c>
      <c r="AU198" s="404">
        <f t="shared" si="139"/>
        <v>1.2058245488654653</v>
      </c>
      <c r="AV198" s="404">
        <f t="shared" si="139"/>
        <v>0.76400165945593757</v>
      </c>
      <c r="AW198" s="404">
        <f t="shared" si="139"/>
        <v>0.58912314326784776</v>
      </c>
      <c r="AX198" s="937">
        <f t="shared" si="139"/>
        <v>0.90083624933277573</v>
      </c>
      <c r="AY198" s="211">
        <f t="shared" ca="1" si="139"/>
        <v>0.11198869099673384</v>
      </c>
      <c r="AZ198" s="211">
        <f t="shared" ca="1" si="139"/>
        <v>0.56541226834712854</v>
      </c>
      <c r="BA198" s="211">
        <f t="shared" ca="1" si="139"/>
        <v>1.0097707042593762</v>
      </c>
      <c r="BB198" s="211">
        <f t="shared" ca="1" si="139"/>
        <v>1.4435375170291029</v>
      </c>
      <c r="BC198" s="211">
        <f t="shared" ca="1" si="139"/>
        <v>1.5376735633208496</v>
      </c>
      <c r="BD198" s="73"/>
    </row>
    <row r="199" spans="1:56" s="49" customFormat="1" x14ac:dyDescent="0.25">
      <c r="A199" s="155" t="s">
        <v>125</v>
      </c>
      <c r="B199" s="190"/>
      <c r="C199" s="405">
        <f t="shared" ref="C199:AL199" si="140">C192/C204</f>
        <v>0.25523424543946982</v>
      </c>
      <c r="D199" s="405">
        <f t="shared" si="140"/>
        <v>0.27138719354505009</v>
      </c>
      <c r="E199" s="405">
        <f t="shared" si="140"/>
        <v>0.31658420944135302</v>
      </c>
      <c r="F199" s="405">
        <f t="shared" si="140"/>
        <v>0.38324062628760125</v>
      </c>
      <c r="G199" s="405">
        <f t="shared" si="140"/>
        <v>0.22227371022551701</v>
      </c>
      <c r="H199" s="405">
        <f t="shared" si="140"/>
        <v>0.4178727787792953</v>
      </c>
      <c r="I199" s="405">
        <f t="shared" si="140"/>
        <v>0.37357537001701802</v>
      </c>
      <c r="J199" s="405">
        <f t="shared" si="140"/>
        <v>0.42824180895247443</v>
      </c>
      <c r="K199" s="405">
        <f t="shared" si="140"/>
        <v>0.23722058568705615</v>
      </c>
      <c r="L199" s="405">
        <f t="shared" si="140"/>
        <v>0.27163766278667756</v>
      </c>
      <c r="M199" s="405">
        <f t="shared" si="140"/>
        <v>0.21514590088003727</v>
      </c>
      <c r="N199" s="405">
        <f t="shared" si="140"/>
        <v>0.36520824814533254</v>
      </c>
      <c r="O199" s="405">
        <f t="shared" si="140"/>
        <v>0.22577386964529778</v>
      </c>
      <c r="P199" s="405">
        <f t="shared" si="140"/>
        <v>0.29190184778088057</v>
      </c>
      <c r="Q199" s="406">
        <f t="shared" si="140"/>
        <v>0.28673792321012648</v>
      </c>
      <c r="R199" s="405">
        <f t="shared" si="140"/>
        <v>0.40023781212841836</v>
      </c>
      <c r="S199" s="405">
        <f t="shared" si="140"/>
        <v>0.26262217208004296</v>
      </c>
      <c r="T199" s="405">
        <f t="shared" si="140"/>
        <v>0.40830392681043243</v>
      </c>
      <c r="U199" s="406">
        <f t="shared" si="140"/>
        <v>0.37418797348484861</v>
      </c>
      <c r="V199" s="405">
        <f t="shared" si="140"/>
        <v>0.38996098599042645</v>
      </c>
      <c r="W199" s="405">
        <f t="shared" si="140"/>
        <v>0.1574821994854306</v>
      </c>
      <c r="X199" s="405">
        <f t="shared" si="140"/>
        <v>0.33534847298355552</v>
      </c>
      <c r="Y199" s="406">
        <f t="shared" si="140"/>
        <v>0.26509261486649055</v>
      </c>
      <c r="Z199" s="405">
        <f t="shared" si="140"/>
        <v>0.11312034590439793</v>
      </c>
      <c r="AA199" s="405">
        <f t="shared" si="140"/>
        <v>0.15999640783092936</v>
      </c>
      <c r="AB199" s="405">
        <f t="shared" si="140"/>
        <v>0.22183551847437544</v>
      </c>
      <c r="AC199" s="406">
        <f t="shared" si="140"/>
        <v>0.23639471043154814</v>
      </c>
      <c r="AD199" s="405">
        <f t="shared" si="140"/>
        <v>0.22787309048178123</v>
      </c>
      <c r="AE199" s="405">
        <f t="shared" si="140"/>
        <v>-2.5597359350352632E-2</v>
      </c>
      <c r="AF199" s="653">
        <f t="shared" si="140"/>
        <v>0.12478177485906924</v>
      </c>
      <c r="AG199" s="202">
        <f t="shared" ca="1" si="140"/>
        <v>8.3575205719110826E-2</v>
      </c>
      <c r="AH199" s="202">
        <f t="shared" ca="1" si="140"/>
        <v>0.16193357910296061</v>
      </c>
      <c r="AI199" s="202">
        <f t="shared" ca="1" si="140"/>
        <v>8.6775927572093833E-2</v>
      </c>
      <c r="AJ199" s="202">
        <f t="shared" ca="1" si="140"/>
        <v>0.11305342561652276</v>
      </c>
      <c r="AK199" s="202">
        <f t="shared" ca="1" si="140"/>
        <v>0.1336040148487897</v>
      </c>
      <c r="AL199" s="202">
        <f t="shared" ca="1" si="140"/>
        <v>0.2784716067663936</v>
      </c>
      <c r="AM199" s="202"/>
      <c r="AN199" s="404">
        <f t="shared" ref="AN199:BC199" si="141">AN192/AN204</f>
        <v>-7.4791025076990564E-2</v>
      </c>
      <c r="AO199" s="404">
        <f t="shared" si="141"/>
        <v>0.67980137754284731</v>
      </c>
      <c r="AP199" s="404">
        <f t="shared" si="141"/>
        <v>0.93950552340873061</v>
      </c>
      <c r="AQ199" s="404">
        <f t="shared" si="141"/>
        <v>1.1770687418936454</v>
      </c>
      <c r="AR199" s="404">
        <f t="shared" si="141"/>
        <v>1.2269393657680026</v>
      </c>
      <c r="AS199" s="404">
        <f t="shared" si="141"/>
        <v>1.4347434743474361</v>
      </c>
      <c r="AT199" s="404">
        <f t="shared" si="141"/>
        <v>1.0883341056533811</v>
      </c>
      <c r="AU199" s="404">
        <f t="shared" si="141"/>
        <v>1.2158245488654653</v>
      </c>
      <c r="AV199" s="404">
        <f t="shared" si="141"/>
        <v>1.4340016594559377</v>
      </c>
      <c r="AW199" s="404">
        <f t="shared" si="141"/>
        <v>0.89912314326784781</v>
      </c>
      <c r="AX199" s="937">
        <f t="shared" si="141"/>
        <v>0.84083624933277568</v>
      </c>
      <c r="AY199" s="211">
        <f t="shared" ca="1" si="141"/>
        <v>0.34527857432182335</v>
      </c>
      <c r="AZ199" s="211">
        <f t="shared" ca="1" si="141"/>
        <v>0.61190497480380313</v>
      </c>
      <c r="BA199" s="211">
        <f t="shared" ca="1" si="141"/>
        <v>1.0562634107160509</v>
      </c>
      <c r="BB199" s="211">
        <f t="shared" ca="1" si="141"/>
        <v>1.4900302234857776</v>
      </c>
      <c r="BC199" s="211">
        <f t="shared" ca="1" si="141"/>
        <v>1.5841662697775243</v>
      </c>
      <c r="BD199" s="73"/>
    </row>
    <row r="200" spans="1:56" s="112" customFormat="1" x14ac:dyDescent="0.25">
      <c r="A200" s="170" t="str">
        <f>"Consensus Estimates - "&amp;$A$199</f>
        <v>Consensus Estimates - Adjusted Earnings Per Share - WAD</v>
      </c>
      <c r="B200" s="191"/>
      <c r="C200" s="414"/>
      <c r="D200" s="414"/>
      <c r="E200" s="414"/>
      <c r="F200" s="414"/>
      <c r="G200" s="414"/>
      <c r="H200" s="414"/>
      <c r="I200" s="414"/>
      <c r="J200" s="414"/>
      <c r="K200" s="414"/>
      <c r="L200" s="414"/>
      <c r="M200" s="414"/>
      <c r="N200" s="414"/>
      <c r="O200" s="414"/>
      <c r="P200" s="414"/>
      <c r="Q200" s="415"/>
      <c r="R200" s="414"/>
      <c r="S200" s="414"/>
      <c r="T200" s="414"/>
      <c r="U200" s="415"/>
      <c r="V200" s="414"/>
      <c r="W200" s="414"/>
      <c r="X200" s="414"/>
      <c r="Y200" s="415"/>
      <c r="Z200" s="414"/>
      <c r="AA200" s="414"/>
      <c r="AB200" s="414"/>
      <c r="AC200" s="415"/>
      <c r="AD200" s="414"/>
      <c r="AE200" s="414"/>
      <c r="AF200" s="656"/>
      <c r="AG200" s="111" t="str">
        <f t="shared" ref="AG200:AL200" ca="1" si="142">IFERROR(VLOOKUP($A200,tb_ConsensusEstimate,MATCH(AG$5,OFFSET(tb_ConsensusEstimate,0,0,1,COLUMNS(tb_ConsensusEstimate)),0),FALSE),"-")</f>
        <v>N/A</v>
      </c>
      <c r="AH200" s="111" t="str">
        <f t="shared" ca="1" si="142"/>
        <v>N/A</v>
      </c>
      <c r="AI200" s="111" t="str">
        <f t="shared" ca="1" si="142"/>
        <v>N/A</v>
      </c>
      <c r="AJ200" s="111" t="str">
        <f t="shared" ca="1" si="142"/>
        <v>N/A</v>
      </c>
      <c r="AK200" s="111" t="str">
        <f t="shared" ca="1" si="142"/>
        <v>N/A</v>
      </c>
      <c r="AL200" s="111" t="str">
        <f t="shared" ca="1" si="142"/>
        <v>N/A</v>
      </c>
      <c r="AM200" s="111"/>
      <c r="AN200" s="413"/>
      <c r="AO200" s="413"/>
      <c r="AP200" s="413"/>
      <c r="AQ200" s="413"/>
      <c r="AR200" s="413"/>
      <c r="AS200" s="413"/>
      <c r="AT200" s="413"/>
      <c r="AU200" s="413"/>
      <c r="AV200" s="413"/>
      <c r="AW200" s="413"/>
      <c r="AX200" s="944"/>
      <c r="AY200" s="212" t="str">
        <f ca="1">IFERROR(VLOOKUP($A200,tb_ConsensusEstimate,MATCH(AY$5,OFFSET(tb_ConsensusEstimate,0,0,1,COLUMNS(tb_ConsensusEstimate)),0),FALSE),"-")</f>
        <v>N/A</v>
      </c>
      <c r="AZ200" s="212" t="str">
        <f ca="1">IFERROR(VLOOKUP($A200,tb_ConsensusEstimate,MATCH(AZ$5,OFFSET(tb_ConsensusEstimate,0,0,1,COLUMNS(tb_ConsensusEstimate)),0),FALSE),"-")</f>
        <v>N/A</v>
      </c>
      <c r="BA200" s="212" t="str">
        <f ca="1">IFERROR(VLOOKUP(A200,tb_ConsensusEstimate,MATCH(BA5,OFFSET(tb_ConsensusEstimate,0,0,1,COLUMNS(tb_ConsensusEstimate)),0),FALSE),"-")</f>
        <v>N/A</v>
      </c>
      <c r="BB200" s="212" t="str">
        <f ca="1">IFERROR(VLOOKUP(A200,tb_ConsensusEstimate,MATCH(BB5,OFFSET(tb_ConsensusEstimate,0,0,1,COLUMNS(tb_ConsensusEstimate)),0),FALSE),"-")</f>
        <v>N/A</v>
      </c>
      <c r="BC200" s="212" t="str">
        <f ca="1">IFERROR(VLOOKUP(A200,tb_ConsensusEstimate,MATCH(BC5,OFFSET(tb_ConsensusEstimate,0,0,1,COLUMNS(tb_ConsensusEstimate)),0),FALSE),"-")</f>
        <v>-</v>
      </c>
      <c r="BD200" s="111"/>
    </row>
    <row r="201" spans="1:56" s="39" customFormat="1" x14ac:dyDescent="0.25">
      <c r="A201" s="631"/>
      <c r="B201" s="171"/>
      <c r="C201" s="723"/>
      <c r="D201" s="723"/>
      <c r="E201" s="723"/>
      <c r="F201" s="723"/>
      <c r="G201" s="723"/>
      <c r="H201" s="723"/>
      <c r="I201" s="723"/>
      <c r="J201" s="723"/>
      <c r="K201" s="723"/>
      <c r="L201" s="723"/>
      <c r="M201" s="723"/>
      <c r="N201" s="723"/>
      <c r="O201" s="723"/>
      <c r="P201" s="723"/>
      <c r="Q201" s="724"/>
      <c r="R201" s="723"/>
      <c r="S201" s="723"/>
      <c r="T201" s="723"/>
      <c r="U201" s="724"/>
      <c r="V201" s="723"/>
      <c r="W201" s="723"/>
      <c r="X201" s="723"/>
      <c r="Y201" s="724"/>
      <c r="Z201" s="723"/>
      <c r="AA201" s="723"/>
      <c r="AB201" s="723"/>
      <c r="AC201" s="724"/>
      <c r="AD201" s="723"/>
      <c r="AE201" s="723"/>
      <c r="AF201" s="727"/>
      <c r="AG201" s="737"/>
      <c r="AH201" s="737"/>
      <c r="AI201" s="737"/>
      <c r="AJ201" s="737"/>
      <c r="AK201" s="737"/>
      <c r="AL201" s="737"/>
      <c r="AM201" s="737"/>
      <c r="AN201" s="722"/>
      <c r="AO201" s="722"/>
      <c r="AP201" s="722"/>
      <c r="AQ201" s="722"/>
      <c r="AR201" s="722"/>
      <c r="AS201" s="722"/>
      <c r="AT201" s="722"/>
      <c r="AU201" s="722"/>
      <c r="AV201" s="722"/>
      <c r="AW201" s="722"/>
      <c r="AX201" s="927"/>
      <c r="AY201" s="738"/>
      <c r="AZ201" s="738"/>
      <c r="BA201" s="738"/>
      <c r="BB201" s="738"/>
      <c r="BC201" s="738"/>
      <c r="BD201" s="631"/>
    </row>
    <row r="202" spans="1:56" s="226" customFormat="1" x14ac:dyDescent="0.25">
      <c r="A202" s="630" t="s">
        <v>126</v>
      </c>
      <c r="B202" s="225"/>
      <c r="C202" s="725">
        <v>19.059999999999999</v>
      </c>
      <c r="D202" s="725">
        <v>19.082000000000001</v>
      </c>
      <c r="E202" s="725">
        <v>19.125</v>
      </c>
      <c r="F202" s="725">
        <v>19.143999999999998</v>
      </c>
      <c r="G202" s="725">
        <v>19.140999999999998</v>
      </c>
      <c r="H202" s="725">
        <v>19.143999999999998</v>
      </c>
      <c r="I202" s="725">
        <v>19.131</v>
      </c>
      <c r="J202" s="725">
        <v>17.166</v>
      </c>
      <c r="K202" s="725">
        <v>17.158999999999999</v>
      </c>
      <c r="L202" s="725">
        <v>17.178000000000001</v>
      </c>
      <c r="M202" s="725">
        <v>17.117000000000001</v>
      </c>
      <c r="N202" s="725">
        <v>16.988</v>
      </c>
      <c r="O202" s="725">
        <v>16.757999999999999</v>
      </c>
      <c r="P202" s="725">
        <v>16.677</v>
      </c>
      <c r="Q202" s="725">
        <v>16.646000000000001</v>
      </c>
      <c r="R202" s="725">
        <v>16.704999999999998</v>
      </c>
      <c r="S202" s="725">
        <v>16.741</v>
      </c>
      <c r="T202" s="725">
        <v>16.716999999999999</v>
      </c>
      <c r="U202" s="725">
        <v>16.75</v>
      </c>
      <c r="V202" s="725">
        <v>16.78</v>
      </c>
      <c r="W202" s="725">
        <v>16.619</v>
      </c>
      <c r="X202" s="725">
        <v>16.510000000000002</v>
      </c>
      <c r="Y202" s="725">
        <v>16.536000000000001</v>
      </c>
      <c r="Z202" s="725">
        <v>16.579000000000001</v>
      </c>
      <c r="AA202" s="725">
        <v>16.672000000000001</v>
      </c>
      <c r="AB202" s="725">
        <v>16.747</v>
      </c>
      <c r="AC202" s="725">
        <v>16.901</v>
      </c>
      <c r="AD202" s="725">
        <v>16.983000000000001</v>
      </c>
      <c r="AE202" s="725">
        <v>17.082000000000001</v>
      </c>
      <c r="AF202" s="771">
        <v>17.143999999999998</v>
      </c>
      <c r="AG202" s="730">
        <f t="shared" ref="AG202:AL202" ca="1" si="143">AF202+AG218/(AG219/AG259)</f>
        <v>17.143999999999998</v>
      </c>
      <c r="AH202" s="730">
        <f t="shared" ca="1" si="143"/>
        <v>17.143999999999998</v>
      </c>
      <c r="AI202" s="730">
        <f t="shared" ca="1" si="143"/>
        <v>17.143999999999998</v>
      </c>
      <c r="AJ202" s="730">
        <f t="shared" ca="1" si="143"/>
        <v>17.143999999999998</v>
      </c>
      <c r="AK202" s="730">
        <f t="shared" ca="1" si="143"/>
        <v>17.143999999999998</v>
      </c>
      <c r="AL202" s="730">
        <f t="shared" ca="1" si="143"/>
        <v>17.143999999999998</v>
      </c>
      <c r="AM202" s="730"/>
      <c r="AN202" s="726">
        <v>15.835000000000001</v>
      </c>
      <c r="AO202" s="726">
        <v>18.620999999999999</v>
      </c>
      <c r="AP202" s="726">
        <v>18.765999999999998</v>
      </c>
      <c r="AQ202" s="726">
        <v>18.956</v>
      </c>
      <c r="AR202" s="726">
        <v>19.103000000000002</v>
      </c>
      <c r="AS202" s="726">
        <v>18.640999999999998</v>
      </c>
      <c r="AT202" s="726">
        <v>17.11</v>
      </c>
      <c r="AU202" s="726">
        <v>16.696000000000002</v>
      </c>
      <c r="AV202" s="726">
        <v>16.748000000000001</v>
      </c>
      <c r="AW202" s="726">
        <v>16.608000000000001</v>
      </c>
      <c r="AX202" s="925">
        <v>16.827000000000002</v>
      </c>
      <c r="AY202" s="729">
        <f ca="1">AVERAGE(AE202,AF202,AG202,AH202)</f>
        <v>17.128499999999999</v>
      </c>
      <c r="AZ202" s="729">
        <f ca="1">AVERAGE(AI202,AJ202,AK202,AL202)</f>
        <v>17.143999999999998</v>
      </c>
      <c r="BA202" s="729">
        <f ca="1">AL202+BA218/(BA219/BA259)</f>
        <v>17.143999999999998</v>
      </c>
      <c r="BB202" s="729">
        <f ca="1">BA202+BB218/(BB219/BB259)</f>
        <v>17.143999999999998</v>
      </c>
      <c r="BC202" s="729">
        <f ca="1">BB202+BC218/(BC219/BC259)</f>
        <v>17.143999999999998</v>
      </c>
      <c r="BD202" s="630"/>
    </row>
    <row r="203" spans="1:56" s="226" customFormat="1" x14ac:dyDescent="0.25">
      <c r="A203" s="630" t="s">
        <v>127</v>
      </c>
      <c r="B203" s="225"/>
      <c r="C203" s="725">
        <v>19.295999999999999</v>
      </c>
      <c r="D203" s="725">
        <v>19.334</v>
      </c>
      <c r="E203" s="725">
        <v>19.404</v>
      </c>
      <c r="F203" s="725">
        <v>19.416</v>
      </c>
      <c r="G203" s="725">
        <v>19.422000000000001</v>
      </c>
      <c r="H203" s="725">
        <v>19.414999999999999</v>
      </c>
      <c r="I203" s="725">
        <v>19.390999999999998</v>
      </c>
      <c r="J203" s="725">
        <v>17.335999999999999</v>
      </c>
      <c r="K203" s="725">
        <v>17.312999999999999</v>
      </c>
      <c r="L203" s="725">
        <v>17.353999999999999</v>
      </c>
      <c r="M203" s="725">
        <v>17.271999999999998</v>
      </c>
      <c r="N203" s="725">
        <v>17.119</v>
      </c>
      <c r="O203" s="725">
        <v>16.831</v>
      </c>
      <c r="P203" s="725">
        <v>16.768000000000001</v>
      </c>
      <c r="Q203" s="725">
        <v>16.747</v>
      </c>
      <c r="R203" s="725">
        <v>16.82</v>
      </c>
      <c r="S203" s="725">
        <v>16.841000000000001</v>
      </c>
      <c r="T203" s="725">
        <v>16.832999999999998</v>
      </c>
      <c r="U203" s="725">
        <v>16.896000000000001</v>
      </c>
      <c r="V203" s="725">
        <v>16.917000000000002</v>
      </c>
      <c r="W203" s="725">
        <v>16.713000000000001</v>
      </c>
      <c r="X203" s="725">
        <v>16.600999999999999</v>
      </c>
      <c r="Y203" s="725">
        <v>16.628</v>
      </c>
      <c r="Z203" s="725">
        <v>16.652000000000001</v>
      </c>
      <c r="AA203" s="725">
        <v>16.702999999999999</v>
      </c>
      <c r="AB203" s="725">
        <v>16.78</v>
      </c>
      <c r="AC203" s="725">
        <v>16.939</v>
      </c>
      <c r="AD203" s="725">
        <v>17.02</v>
      </c>
      <c r="AE203" s="725">
        <v>17.117000000000001</v>
      </c>
      <c r="AF203" s="771">
        <v>17.207000000000001</v>
      </c>
      <c r="AG203" s="730">
        <f t="shared" ref="AG203:AL203" ca="1" si="144">AF203+AG218/(AG219/AG259)</f>
        <v>17.207000000000001</v>
      </c>
      <c r="AH203" s="730">
        <f t="shared" ca="1" si="144"/>
        <v>17.207000000000001</v>
      </c>
      <c r="AI203" s="730">
        <f t="shared" ca="1" si="144"/>
        <v>17.207000000000001</v>
      </c>
      <c r="AJ203" s="730">
        <f t="shared" ca="1" si="144"/>
        <v>17.207000000000001</v>
      </c>
      <c r="AK203" s="730">
        <f t="shared" ca="1" si="144"/>
        <v>17.207000000000001</v>
      </c>
      <c r="AL203" s="730">
        <f t="shared" ca="1" si="144"/>
        <v>17.207000000000001</v>
      </c>
      <c r="AM203" s="730"/>
      <c r="AN203" s="726">
        <v>15.911</v>
      </c>
      <c r="AO203" s="726">
        <v>18.728999999999999</v>
      </c>
      <c r="AP203" s="726">
        <v>19.010000000000002</v>
      </c>
      <c r="AQ203" s="726">
        <v>19.274999999999999</v>
      </c>
      <c r="AR203" s="726">
        <v>19.361999999999998</v>
      </c>
      <c r="AS203" s="726">
        <v>18.887</v>
      </c>
      <c r="AT203" s="726">
        <v>17.263999999999999</v>
      </c>
      <c r="AU203" s="726">
        <v>16.791</v>
      </c>
      <c r="AV203" s="726">
        <v>16.873000000000001</v>
      </c>
      <c r="AW203" s="726">
        <v>16.696000000000002</v>
      </c>
      <c r="AX203" s="925">
        <v>16.861000000000001</v>
      </c>
      <c r="AY203" s="729">
        <f ca="1">AVERAGE(AE203,AF203,AG203,AH203)</f>
        <v>17.1845</v>
      </c>
      <c r="AZ203" s="729">
        <f ca="1">AVERAGE(AI203,AJ203,AK203,AL203)</f>
        <v>17.207000000000001</v>
      </c>
      <c r="BA203" s="729">
        <f ca="1">AL203+BA218/(BA219/BA259)</f>
        <v>17.207000000000001</v>
      </c>
      <c r="BB203" s="729">
        <f ca="1">BA203+BB218/(BB219/BB259)</f>
        <v>17.207000000000001</v>
      </c>
      <c r="BC203" s="729">
        <f ca="1">BB203+BC218/(BC219/BC259)</f>
        <v>17.207000000000001</v>
      </c>
      <c r="BD203" s="630"/>
    </row>
    <row r="204" spans="1:56" s="226" customFormat="1" x14ac:dyDescent="0.25">
      <c r="A204" s="630" t="s">
        <v>128</v>
      </c>
      <c r="B204" s="225"/>
      <c r="C204" s="725">
        <f t="shared" ref="C204:O204" si="145">C203</f>
        <v>19.295999999999999</v>
      </c>
      <c r="D204" s="725">
        <f t="shared" si="145"/>
        <v>19.334</v>
      </c>
      <c r="E204" s="725">
        <f t="shared" si="145"/>
        <v>19.404</v>
      </c>
      <c r="F204" s="725">
        <f t="shared" si="145"/>
        <v>19.416</v>
      </c>
      <c r="G204" s="725">
        <f t="shared" si="145"/>
        <v>19.422000000000001</v>
      </c>
      <c r="H204" s="725">
        <f t="shared" si="145"/>
        <v>19.414999999999999</v>
      </c>
      <c r="I204" s="725">
        <f t="shared" si="145"/>
        <v>19.390999999999998</v>
      </c>
      <c r="J204" s="725">
        <f t="shared" si="145"/>
        <v>17.335999999999999</v>
      </c>
      <c r="K204" s="725">
        <f t="shared" si="145"/>
        <v>17.312999999999999</v>
      </c>
      <c r="L204" s="725">
        <f t="shared" si="145"/>
        <v>17.353999999999999</v>
      </c>
      <c r="M204" s="725">
        <f t="shared" si="145"/>
        <v>17.271999999999998</v>
      </c>
      <c r="N204" s="725">
        <f t="shared" si="145"/>
        <v>17.119</v>
      </c>
      <c r="O204" s="725">
        <f t="shared" si="145"/>
        <v>16.831</v>
      </c>
      <c r="P204" s="725">
        <f>O204</f>
        <v>16.831</v>
      </c>
      <c r="Q204" s="725">
        <f t="shared" ref="Q204:AF204" si="146">Q203</f>
        <v>16.747</v>
      </c>
      <c r="R204" s="725">
        <f t="shared" si="146"/>
        <v>16.82</v>
      </c>
      <c r="S204" s="725">
        <f t="shared" si="146"/>
        <v>16.841000000000001</v>
      </c>
      <c r="T204" s="725">
        <f t="shared" si="146"/>
        <v>16.832999999999998</v>
      </c>
      <c r="U204" s="725">
        <f t="shared" si="146"/>
        <v>16.896000000000001</v>
      </c>
      <c r="V204" s="725">
        <f t="shared" si="146"/>
        <v>16.917000000000002</v>
      </c>
      <c r="W204" s="725">
        <f t="shared" si="146"/>
        <v>16.713000000000001</v>
      </c>
      <c r="X204" s="725">
        <f t="shared" si="146"/>
        <v>16.600999999999999</v>
      </c>
      <c r="Y204" s="725">
        <f t="shared" si="146"/>
        <v>16.628</v>
      </c>
      <c r="Z204" s="725">
        <f t="shared" si="146"/>
        <v>16.652000000000001</v>
      </c>
      <c r="AA204" s="725">
        <f t="shared" si="146"/>
        <v>16.702999999999999</v>
      </c>
      <c r="AB204" s="725">
        <f t="shared" si="146"/>
        <v>16.78</v>
      </c>
      <c r="AC204" s="725">
        <f t="shared" si="146"/>
        <v>16.939</v>
      </c>
      <c r="AD204" s="725">
        <f t="shared" si="146"/>
        <v>17.02</v>
      </c>
      <c r="AE204" s="725">
        <f t="shared" si="146"/>
        <v>17.117000000000001</v>
      </c>
      <c r="AF204" s="771">
        <f t="shared" si="146"/>
        <v>17.207000000000001</v>
      </c>
      <c r="AG204" s="730">
        <f t="shared" ref="AG204:AL204" ca="1" si="147">AF204+AG218/(AG219/AG259)</f>
        <v>17.207000000000001</v>
      </c>
      <c r="AH204" s="730">
        <f t="shared" ca="1" si="147"/>
        <v>17.207000000000001</v>
      </c>
      <c r="AI204" s="730">
        <f t="shared" ca="1" si="147"/>
        <v>17.207000000000001</v>
      </c>
      <c r="AJ204" s="730">
        <f t="shared" ca="1" si="147"/>
        <v>17.207000000000001</v>
      </c>
      <c r="AK204" s="730">
        <f t="shared" ca="1" si="147"/>
        <v>17.207000000000001</v>
      </c>
      <c r="AL204" s="730">
        <f t="shared" ca="1" si="147"/>
        <v>17.207000000000001</v>
      </c>
      <c r="AM204" s="730"/>
      <c r="AN204" s="726">
        <f t="shared" ref="AN204:AX204" si="148">AN203</f>
        <v>15.911</v>
      </c>
      <c r="AO204" s="726">
        <f t="shared" si="148"/>
        <v>18.728999999999999</v>
      </c>
      <c r="AP204" s="726">
        <f t="shared" si="148"/>
        <v>19.010000000000002</v>
      </c>
      <c r="AQ204" s="726">
        <f t="shared" si="148"/>
        <v>19.274999999999999</v>
      </c>
      <c r="AR204" s="726">
        <f t="shared" si="148"/>
        <v>19.361999999999998</v>
      </c>
      <c r="AS204" s="726">
        <f t="shared" si="148"/>
        <v>18.887</v>
      </c>
      <c r="AT204" s="726">
        <f t="shared" si="148"/>
        <v>17.263999999999999</v>
      </c>
      <c r="AU204" s="726">
        <f t="shared" si="148"/>
        <v>16.791</v>
      </c>
      <c r="AV204" s="726">
        <f t="shared" si="148"/>
        <v>16.873000000000001</v>
      </c>
      <c r="AW204" s="726">
        <f t="shared" si="148"/>
        <v>16.696000000000002</v>
      </c>
      <c r="AX204" s="925">
        <f t="shared" si="148"/>
        <v>16.861000000000001</v>
      </c>
      <c r="AY204" s="729">
        <f ca="1">AVERAGE(AE204,AF204,AG204,AH204)</f>
        <v>17.1845</v>
      </c>
      <c r="AZ204" s="729">
        <f ca="1">AVERAGE(AI204,AJ204,AK204,AL204)</f>
        <v>17.207000000000001</v>
      </c>
      <c r="BA204" s="729">
        <f ca="1">AL204+BA218/(BA219/BA259)</f>
        <v>17.207000000000001</v>
      </c>
      <c r="BB204" s="729">
        <f ca="1">BA204+BB218/(BB219/BB259)</f>
        <v>17.207000000000001</v>
      </c>
      <c r="BC204" s="729">
        <f ca="1">BB204+BC218/(BC219/BC259)</f>
        <v>17.207000000000001</v>
      </c>
      <c r="BD204" s="630"/>
    </row>
    <row r="205" spans="1:56" s="39" customFormat="1" x14ac:dyDescent="0.25">
      <c r="A205" s="171"/>
      <c r="B205" s="171"/>
      <c r="C205" s="723"/>
      <c r="D205" s="723"/>
      <c r="E205" s="723"/>
      <c r="F205" s="723"/>
      <c r="G205" s="723"/>
      <c r="H205" s="723"/>
      <c r="I205" s="723"/>
      <c r="J205" s="723"/>
      <c r="K205" s="723"/>
      <c r="L205" s="723"/>
      <c r="M205" s="723"/>
      <c r="N205" s="723"/>
      <c r="O205" s="723"/>
      <c r="P205" s="723"/>
      <c r="Q205" s="724"/>
      <c r="R205" s="723"/>
      <c r="S205" s="723"/>
      <c r="T205" s="723"/>
      <c r="U205" s="724"/>
      <c r="V205" s="777"/>
      <c r="W205" s="723"/>
      <c r="X205" s="723"/>
      <c r="Y205" s="724"/>
      <c r="Z205" s="777"/>
      <c r="AA205" s="723"/>
      <c r="AB205" s="723"/>
      <c r="AC205" s="724"/>
      <c r="AD205" s="777"/>
      <c r="AE205" s="723"/>
      <c r="AF205" s="727"/>
      <c r="AG205" s="737"/>
      <c r="AH205" s="737"/>
      <c r="AI205" s="737"/>
      <c r="AJ205" s="737"/>
      <c r="AK205" s="737"/>
      <c r="AL205" s="737"/>
      <c r="AM205" s="737"/>
      <c r="AN205" s="722"/>
      <c r="AO205" s="722"/>
      <c r="AP205" s="722"/>
      <c r="AQ205" s="722"/>
      <c r="AR205" s="722"/>
      <c r="AS205" s="722"/>
      <c r="AT205" s="722"/>
      <c r="AU205" s="722"/>
      <c r="AV205" s="722"/>
      <c r="AW205" s="722"/>
      <c r="AX205" s="927"/>
      <c r="AY205" s="738"/>
      <c r="AZ205" s="738"/>
      <c r="BA205" s="738"/>
      <c r="BB205" s="738"/>
      <c r="BC205" s="738"/>
      <c r="BD205" s="631"/>
    </row>
    <row r="206" spans="1:56" s="38" customFormat="1" x14ac:dyDescent="0.25">
      <c r="A206" s="626" t="s">
        <v>129</v>
      </c>
      <c r="B206" s="626"/>
      <c r="C206" s="719"/>
      <c r="D206" s="719"/>
      <c r="E206" s="719"/>
      <c r="F206" s="719"/>
      <c r="G206" s="719"/>
      <c r="H206" s="719"/>
      <c r="I206" s="719"/>
      <c r="J206" s="719"/>
      <c r="K206" s="719"/>
      <c r="L206" s="719"/>
      <c r="M206" s="719"/>
      <c r="N206" s="719"/>
      <c r="O206" s="719"/>
      <c r="P206" s="719"/>
      <c r="Q206" s="719"/>
      <c r="R206" s="719"/>
      <c r="S206" s="719"/>
      <c r="T206" s="719"/>
      <c r="U206" s="719"/>
      <c r="V206" s="719"/>
      <c r="W206" s="719"/>
      <c r="X206" s="719"/>
      <c r="Y206" s="719"/>
      <c r="Z206" s="719"/>
      <c r="AA206" s="719"/>
      <c r="AB206" s="719"/>
      <c r="AC206" s="719"/>
      <c r="AD206" s="719"/>
      <c r="AE206" s="719"/>
      <c r="AF206" s="720"/>
      <c r="AG206" s="721"/>
      <c r="AH206" s="721"/>
      <c r="AI206" s="721"/>
      <c r="AJ206" s="721"/>
      <c r="AK206" s="721"/>
      <c r="AL206" s="721"/>
      <c r="AM206" s="721"/>
      <c r="AN206" s="719"/>
      <c r="AO206" s="719"/>
      <c r="AP206" s="719"/>
      <c r="AQ206" s="719"/>
      <c r="AR206" s="719"/>
      <c r="AS206" s="719"/>
      <c r="AT206" s="719"/>
      <c r="AU206" s="719"/>
      <c r="AV206" s="719"/>
      <c r="AW206" s="719"/>
      <c r="AX206" s="720"/>
      <c r="AY206" s="721"/>
      <c r="AZ206" s="721"/>
      <c r="BA206" s="721"/>
      <c r="BB206" s="721"/>
      <c r="BC206" s="721"/>
      <c r="BD206" s="632"/>
    </row>
    <row r="207" spans="1:56" s="39" customFormat="1" x14ac:dyDescent="0.25">
      <c r="A207" s="630" t="s">
        <v>130</v>
      </c>
      <c r="B207" s="225"/>
      <c r="C207" s="725">
        <f t="shared" ref="C207:AL207" si="149">C336</f>
        <v>7.3150000000000004</v>
      </c>
      <c r="D207" s="725">
        <f t="shared" si="149"/>
        <v>8.1509999999999998</v>
      </c>
      <c r="E207" s="725">
        <f t="shared" si="149"/>
        <v>9.3280000000000012</v>
      </c>
      <c r="F207" s="725">
        <f t="shared" si="149"/>
        <v>9.2909999999999986</v>
      </c>
      <c r="G207" s="725">
        <f t="shared" si="149"/>
        <v>7.4600000000000009</v>
      </c>
      <c r="H207" s="725">
        <f t="shared" si="149"/>
        <v>11.378999999999998</v>
      </c>
      <c r="I207" s="725">
        <f t="shared" si="149"/>
        <v>10.675000000000001</v>
      </c>
      <c r="J207" s="725">
        <f t="shared" si="149"/>
        <v>10.66</v>
      </c>
      <c r="K207" s="725">
        <f t="shared" si="149"/>
        <v>7.7160000000000002</v>
      </c>
      <c r="L207" s="725">
        <f t="shared" si="149"/>
        <v>8.3349999999999973</v>
      </c>
      <c r="M207" s="725">
        <f t="shared" si="149"/>
        <v>7.2870000000000017</v>
      </c>
      <c r="N207" s="725">
        <f t="shared" si="149"/>
        <v>8.65</v>
      </c>
      <c r="O207" s="725">
        <f t="shared" si="149"/>
        <v>7.2199999999999989</v>
      </c>
      <c r="P207" s="725">
        <f t="shared" si="149"/>
        <v>7.9269999999999996</v>
      </c>
      <c r="Q207" s="725">
        <f t="shared" si="149"/>
        <v>6.2710000000000017</v>
      </c>
      <c r="R207" s="725">
        <f t="shared" si="149"/>
        <v>9.6809999999999992</v>
      </c>
      <c r="S207" s="725">
        <f t="shared" si="149"/>
        <v>6.9080000000000013</v>
      </c>
      <c r="T207" s="725">
        <f t="shared" si="149"/>
        <v>8.9049999999999994</v>
      </c>
      <c r="U207" s="725">
        <f t="shared" si="149"/>
        <v>6.6560000000000006</v>
      </c>
      <c r="V207" s="725">
        <f t="shared" si="149"/>
        <v>1.7769999999999997</v>
      </c>
      <c r="W207" s="725">
        <f t="shared" si="149"/>
        <v>3.2230000000000003</v>
      </c>
      <c r="X207" s="725">
        <f t="shared" si="149"/>
        <v>5.6639999999999997</v>
      </c>
      <c r="Y207" s="725">
        <f t="shared" si="149"/>
        <v>5.1530000000000014</v>
      </c>
      <c r="Z207" s="725">
        <f t="shared" si="149"/>
        <v>4.4649999999999999</v>
      </c>
      <c r="AA207" s="725">
        <f t="shared" si="149"/>
        <v>3.6120000000000001</v>
      </c>
      <c r="AB207" s="725">
        <f t="shared" si="149"/>
        <v>5.7839999999999998</v>
      </c>
      <c r="AC207" s="725">
        <f t="shared" si="149"/>
        <v>6.2940000000000005</v>
      </c>
      <c r="AD207" s="725">
        <f t="shared" si="149"/>
        <v>0.6870000000000005</v>
      </c>
      <c r="AE207" s="725">
        <f t="shared" si="149"/>
        <v>0.66100000000000003</v>
      </c>
      <c r="AF207" s="771">
        <f t="shared" si="149"/>
        <v>2.9174500000000041</v>
      </c>
      <c r="AG207" s="730">
        <f t="shared" si="149"/>
        <v>4.8543690722404333</v>
      </c>
      <c r="AH207" s="730">
        <f t="shared" ca="1" si="149"/>
        <v>6.2204225574091776</v>
      </c>
      <c r="AI207" s="730">
        <f t="shared" ca="1" si="149"/>
        <v>4.9101685618610844</v>
      </c>
      <c r="AJ207" s="730">
        <f t="shared" ca="1" si="149"/>
        <v>5.3682749037227637</v>
      </c>
      <c r="AK207" s="730">
        <f t="shared" ca="1" si="149"/>
        <v>5.726541708286061</v>
      </c>
      <c r="AL207" s="730">
        <f t="shared" ca="1" si="149"/>
        <v>8.2520775289139312</v>
      </c>
      <c r="AM207" s="730"/>
      <c r="AN207" s="726">
        <f t="shared" ref="AN207:BC207" si="150">AN336</f>
        <v>15.853000000000002</v>
      </c>
      <c r="AO207" s="726">
        <f t="shared" si="150"/>
        <v>18.724999999999998</v>
      </c>
      <c r="AP207" s="726">
        <f t="shared" si="150"/>
        <v>24.844999999999999</v>
      </c>
      <c r="AQ207" s="726">
        <f t="shared" si="150"/>
        <v>34.177</v>
      </c>
      <c r="AR207" s="726">
        <f t="shared" si="150"/>
        <v>34.085000000000008</v>
      </c>
      <c r="AS207" s="726">
        <f t="shared" si="150"/>
        <v>40.173999999999999</v>
      </c>
      <c r="AT207" s="726">
        <f t="shared" si="150"/>
        <v>31.987999999999996</v>
      </c>
      <c r="AU207" s="726">
        <f t="shared" si="150"/>
        <v>31.099</v>
      </c>
      <c r="AV207" s="726">
        <f t="shared" si="150"/>
        <v>24.246000000000002</v>
      </c>
      <c r="AW207" s="726">
        <f t="shared" si="150"/>
        <v>18.505000000000003</v>
      </c>
      <c r="AX207" s="925">
        <f t="shared" si="150"/>
        <v>16.377000000000002</v>
      </c>
      <c r="AY207" s="729">
        <f t="shared" ca="1" si="150"/>
        <v>14.653241629649616</v>
      </c>
      <c r="AZ207" s="729">
        <f t="shared" ca="1" si="150"/>
        <v>24.257062702783841</v>
      </c>
      <c r="BA207" s="729">
        <f t="shared" ca="1" si="150"/>
        <v>32.003744567509393</v>
      </c>
      <c r="BB207" s="729">
        <f t="shared" ca="1" si="150"/>
        <v>39.565778345723977</v>
      </c>
      <c r="BC207" s="729">
        <f t="shared" ca="1" si="150"/>
        <v>41.206890438325836</v>
      </c>
      <c r="BD207" s="631"/>
    </row>
    <row r="208" spans="1:56" s="49" customFormat="1" x14ac:dyDescent="0.25">
      <c r="A208" s="513" t="s">
        <v>131</v>
      </c>
      <c r="B208" s="514"/>
      <c r="C208" s="517">
        <f t="shared" ref="C208:AL208" si="151">C207/C203</f>
        <v>0.37909411276948596</v>
      </c>
      <c r="D208" s="517">
        <f t="shared" si="151"/>
        <v>0.42158891072721633</v>
      </c>
      <c r="E208" s="517">
        <f t="shared" si="151"/>
        <v>0.48072562358276649</v>
      </c>
      <c r="F208" s="517">
        <f t="shared" si="151"/>
        <v>0.478522867737948</v>
      </c>
      <c r="G208" s="517">
        <f t="shared" si="151"/>
        <v>0.38410050458243233</v>
      </c>
      <c r="H208" s="517">
        <f t="shared" si="151"/>
        <v>0.58609322688642795</v>
      </c>
      <c r="I208" s="517">
        <f t="shared" si="151"/>
        <v>0.55051312464545421</v>
      </c>
      <c r="J208" s="517">
        <f t="shared" si="151"/>
        <v>0.6149053991693586</v>
      </c>
      <c r="K208" s="517">
        <f t="shared" si="151"/>
        <v>0.44567665915785831</v>
      </c>
      <c r="L208" s="517">
        <f t="shared" si="151"/>
        <v>0.48029272790134825</v>
      </c>
      <c r="M208" s="517">
        <f t="shared" si="151"/>
        <v>0.42189671144048185</v>
      </c>
      <c r="N208" s="517">
        <f t="shared" si="151"/>
        <v>0.50528652374554595</v>
      </c>
      <c r="O208" s="517">
        <f t="shared" si="151"/>
        <v>0.42897035232606495</v>
      </c>
      <c r="P208" s="517">
        <f t="shared" si="151"/>
        <v>0.47274570610687017</v>
      </c>
      <c r="Q208" s="517">
        <f t="shared" si="151"/>
        <v>0.37445512629127614</v>
      </c>
      <c r="R208" s="517">
        <f t="shared" si="151"/>
        <v>0.57556480380499397</v>
      </c>
      <c r="S208" s="517">
        <f t="shared" si="151"/>
        <v>0.41018941868060094</v>
      </c>
      <c r="T208" s="517">
        <f t="shared" si="151"/>
        <v>0.52902037664112167</v>
      </c>
      <c r="U208" s="517">
        <f t="shared" si="151"/>
        <v>0.39393939393939398</v>
      </c>
      <c r="V208" s="517">
        <f t="shared" si="151"/>
        <v>0.10504226517704082</v>
      </c>
      <c r="W208" s="517">
        <f t="shared" si="151"/>
        <v>0.19284389397475021</v>
      </c>
      <c r="X208" s="517">
        <f t="shared" si="151"/>
        <v>0.34118426600807178</v>
      </c>
      <c r="Y208" s="517">
        <f t="shared" si="151"/>
        <v>0.30989896560019253</v>
      </c>
      <c r="Z208" s="517">
        <f t="shared" si="151"/>
        <v>0.26813595964448711</v>
      </c>
      <c r="AA208" s="517">
        <f t="shared" si="151"/>
        <v>0.21624857809974257</v>
      </c>
      <c r="AB208" s="517">
        <f t="shared" si="151"/>
        <v>0.3446960667461263</v>
      </c>
      <c r="AC208" s="517">
        <f t="shared" si="151"/>
        <v>0.37156856957317436</v>
      </c>
      <c r="AD208" s="517">
        <f t="shared" si="151"/>
        <v>4.0364277320799093E-2</v>
      </c>
      <c r="AE208" s="517">
        <f t="shared" si="151"/>
        <v>3.8616580008179004E-2</v>
      </c>
      <c r="AF208" s="659">
        <f t="shared" si="151"/>
        <v>0.16955018306503192</v>
      </c>
      <c r="AG208" s="203">
        <f t="shared" ca="1" si="151"/>
        <v>0.28211594538504292</v>
      </c>
      <c r="AH208" s="203">
        <f t="shared" ca="1" si="151"/>
        <v>0.36150534999762757</v>
      </c>
      <c r="AI208" s="203">
        <f t="shared" ca="1" si="151"/>
        <v>0.28535878199924941</v>
      </c>
      <c r="AJ208" s="203">
        <f t="shared" ca="1" si="151"/>
        <v>0.3119820365968945</v>
      </c>
      <c r="AK208" s="203">
        <f t="shared" ca="1" si="151"/>
        <v>0.33280302831905972</v>
      </c>
      <c r="AL208" s="203">
        <f t="shared" ca="1" si="151"/>
        <v>0.4795767727618952</v>
      </c>
      <c r="AM208" s="203"/>
      <c r="AN208" s="515">
        <f t="shared" ref="AN208:BC208" si="152">AN207/AN203</f>
        <v>0.99635472314750817</v>
      </c>
      <c r="AO208" s="515">
        <f t="shared" si="152"/>
        <v>0.9997864274654279</v>
      </c>
      <c r="AP208" s="516">
        <f t="shared" si="152"/>
        <v>1.3069437138348237</v>
      </c>
      <c r="AQ208" s="516">
        <f t="shared" si="152"/>
        <v>1.7731258106355383</v>
      </c>
      <c r="AR208" s="516">
        <f t="shared" si="152"/>
        <v>1.7604069827497164</v>
      </c>
      <c r="AS208" s="516">
        <f t="shared" si="152"/>
        <v>2.1270715306824801</v>
      </c>
      <c r="AT208" s="516">
        <f t="shared" si="152"/>
        <v>1.8528730305838739</v>
      </c>
      <c r="AU208" s="516">
        <f t="shared" si="152"/>
        <v>1.8521231612173188</v>
      </c>
      <c r="AV208" s="516">
        <f t="shared" si="152"/>
        <v>1.4369703075920108</v>
      </c>
      <c r="AW208" s="516">
        <f t="shared" si="152"/>
        <v>1.1083493052228079</v>
      </c>
      <c r="AX208" s="945">
        <f t="shared" si="152"/>
        <v>0.97129470375422589</v>
      </c>
      <c r="AY208" s="213">
        <f t="shared" ca="1" si="152"/>
        <v>0.85270107536731443</v>
      </c>
      <c r="AZ208" s="213">
        <f t="shared" ca="1" si="152"/>
        <v>1.4097206196770988</v>
      </c>
      <c r="BA208" s="213">
        <f t="shared" ca="1" si="152"/>
        <v>1.8599258771145111</v>
      </c>
      <c r="BB208" s="213">
        <f t="shared" ca="1" si="152"/>
        <v>2.2994001479469968</v>
      </c>
      <c r="BC208" s="213">
        <f t="shared" ca="1" si="152"/>
        <v>2.3947748264267932</v>
      </c>
      <c r="BD208" s="73"/>
    </row>
    <row r="209" spans="1:56" s="112" customFormat="1" x14ac:dyDescent="0.25">
      <c r="A209" s="170" t="str">
        <f>CONCATENATE("Consensus Estimates - ",IFERROR(LEFT(A208,FIND("(",A208)-1),A208))</f>
        <v>Consensus Estimates - Cash Flow Per Diluted Share</v>
      </c>
      <c r="B209" s="191"/>
      <c r="C209" s="414"/>
      <c r="D209" s="414"/>
      <c r="E209" s="414"/>
      <c r="F209" s="414"/>
      <c r="G209" s="414"/>
      <c r="H209" s="414"/>
      <c r="I209" s="414"/>
      <c r="J209" s="414"/>
      <c r="K209" s="414"/>
      <c r="L209" s="414"/>
      <c r="M209" s="414"/>
      <c r="N209" s="414"/>
      <c r="O209" s="414"/>
      <c r="P209" s="414"/>
      <c r="Q209" s="416"/>
      <c r="R209" s="414"/>
      <c r="S209" s="414"/>
      <c r="T209" s="414"/>
      <c r="U209" s="416"/>
      <c r="V209" s="414"/>
      <c r="W209" s="414"/>
      <c r="X209" s="414"/>
      <c r="Y209" s="414"/>
      <c r="Z209" s="414"/>
      <c r="AA209" s="414"/>
      <c r="AB209" s="414"/>
      <c r="AC209" s="414"/>
      <c r="AD209" s="414"/>
      <c r="AE209" s="414"/>
      <c r="AF209" s="656"/>
      <c r="AG209" s="111" t="str">
        <f t="shared" ref="AG209:AL209" ca="1" si="153">IFERROR(VLOOKUP($A209,tb_ConsensusEstimate,MATCH(AG$5,OFFSET(tb_ConsensusEstimate,0,0,1,COLUMNS(tb_ConsensusEstimate)),0),FALSE),"-")</f>
        <v>N/A</v>
      </c>
      <c r="AH209" s="111" t="str">
        <f t="shared" ca="1" si="153"/>
        <v>N/A</v>
      </c>
      <c r="AI209" s="111" t="str">
        <f t="shared" ca="1" si="153"/>
        <v>N/A</v>
      </c>
      <c r="AJ209" s="111" t="str">
        <f t="shared" ca="1" si="153"/>
        <v>N/A</v>
      </c>
      <c r="AK209" s="111" t="str">
        <f t="shared" ca="1" si="153"/>
        <v>N/A</v>
      </c>
      <c r="AL209" s="111" t="str">
        <f t="shared" ca="1" si="153"/>
        <v>N/A</v>
      </c>
      <c r="AM209" s="111"/>
      <c r="AN209" s="413"/>
      <c r="AO209" s="413"/>
      <c r="AP209" s="413"/>
      <c r="AQ209" s="413"/>
      <c r="AR209" s="413"/>
      <c r="AS209" s="413"/>
      <c r="AT209" s="413"/>
      <c r="AU209" s="413"/>
      <c r="AV209" s="413"/>
      <c r="AW209" s="413"/>
      <c r="AX209" s="946"/>
      <c r="AY209" s="212" t="str">
        <f ca="1">IFERROR(VLOOKUP($A209,tb_ConsensusEstimate,MATCH(AY$5,OFFSET(tb_ConsensusEstimate,0,0,1,COLUMNS(tb_ConsensusEstimate)),0),FALSE),"-")</f>
        <v>N/A</v>
      </c>
      <c r="AZ209" s="212" t="str">
        <f ca="1">IFERROR(VLOOKUP($A209,tb_ConsensusEstimate,MATCH(AZ$5,OFFSET(tb_ConsensusEstimate,0,0,1,COLUMNS(tb_ConsensusEstimate)),0),FALSE),"-")</f>
        <v>N/A</v>
      </c>
      <c r="BA209" s="218" t="str">
        <f ca="1">IFERROR(VLOOKUP(A209,tb_ConsensusEstimate,MATCH(BA5,OFFSET(tb_ConsensusEstimate,0,0,1,COLUMNS(tb_ConsensusEstimate)),0),FALSE),"-")</f>
        <v>N/A</v>
      </c>
      <c r="BB209" s="218" t="str">
        <f ca="1">IFERROR(VLOOKUP(A209,tb_ConsensusEstimate,MATCH(BB5,OFFSET(tb_ConsensusEstimate,0,0,1,COLUMNS(tb_ConsensusEstimate)),0),FALSE),"-")</f>
        <v>N/A</v>
      </c>
      <c r="BC209" s="218" t="str">
        <f ca="1">IFERROR(VLOOKUP(A209,tb_ConsensusEstimate,MATCH(BC5,OFFSET(tb_ConsensusEstimate,0,0,1,COLUMNS(tb_ConsensusEstimate)),0),FALSE),"-")</f>
        <v>-</v>
      </c>
      <c r="BD209" s="111"/>
    </row>
    <row r="210" spans="1:56" s="38" customFormat="1" x14ac:dyDescent="0.25">
      <c r="A210" s="518" t="s">
        <v>132</v>
      </c>
      <c r="B210" s="504"/>
      <c r="C210" s="757">
        <f t="shared" ref="C210:AE210" si="154">C349</f>
        <v>-0.83</v>
      </c>
      <c r="D210" s="757">
        <f t="shared" si="154"/>
        <v>-1.331</v>
      </c>
      <c r="E210" s="757">
        <f t="shared" si="154"/>
        <v>-2.4469999999999996</v>
      </c>
      <c r="F210" s="757">
        <f t="shared" si="154"/>
        <v>-2.1060000000000008</v>
      </c>
      <c r="G210" s="757">
        <f t="shared" si="154"/>
        <v>-0.91600000000000004</v>
      </c>
      <c r="H210" s="757">
        <f t="shared" si="154"/>
        <v>-0.52799999999999991</v>
      </c>
      <c r="I210" s="757">
        <f t="shared" si="154"/>
        <v>-0.871</v>
      </c>
      <c r="J210" s="757">
        <f t="shared" si="154"/>
        <v>-0.44200000000000017</v>
      </c>
      <c r="K210" s="757">
        <f t="shared" si="154"/>
        <v>-0.6</v>
      </c>
      <c r="L210" s="757">
        <f t="shared" si="154"/>
        <v>-0.75000000000000011</v>
      </c>
      <c r="M210" s="757">
        <f t="shared" si="154"/>
        <v>-0.48099999999999987</v>
      </c>
      <c r="N210" s="757">
        <f t="shared" si="154"/>
        <v>-0.52600000000000025</v>
      </c>
      <c r="O210" s="757">
        <f t="shared" si="154"/>
        <v>-0.57499999999999996</v>
      </c>
      <c r="P210" s="757">
        <f t="shared" si="154"/>
        <v>-0.34700000000000009</v>
      </c>
      <c r="Q210" s="757">
        <f t="shared" si="154"/>
        <v>-0.2619999999999999</v>
      </c>
      <c r="R210" s="757">
        <f t="shared" si="154"/>
        <v>-0.21799999999999997</v>
      </c>
      <c r="S210" s="757">
        <f t="shared" si="154"/>
        <v>-0.52500000000000002</v>
      </c>
      <c r="T210" s="757">
        <f t="shared" si="154"/>
        <v>-1.2439999999999998</v>
      </c>
      <c r="U210" s="757">
        <f t="shared" si="154"/>
        <v>-0.55499999999999994</v>
      </c>
      <c r="V210" s="757">
        <f t="shared" si="154"/>
        <v>-0.41000000000000014</v>
      </c>
      <c r="W210" s="757">
        <f t="shared" si="154"/>
        <v>-0.37</v>
      </c>
      <c r="X210" s="757">
        <f t="shared" si="154"/>
        <v>-1.1440000000000001</v>
      </c>
      <c r="Y210" s="757">
        <f t="shared" si="154"/>
        <v>-0.75299999999999989</v>
      </c>
      <c r="Z210" s="757">
        <f t="shared" si="154"/>
        <v>-0.56700000000000017</v>
      </c>
      <c r="AA210" s="757">
        <f t="shared" si="154"/>
        <v>-0.54200000000000004</v>
      </c>
      <c r="AB210" s="757">
        <f t="shared" si="154"/>
        <v>-0.48499999999999988</v>
      </c>
      <c r="AC210" s="757">
        <f t="shared" si="154"/>
        <v>-0.87800000000000011</v>
      </c>
      <c r="AD210" s="757">
        <f t="shared" si="154"/>
        <v>-0.40999999999999992</v>
      </c>
      <c r="AE210" s="757">
        <f t="shared" si="154"/>
        <v>-0.46700000000000003</v>
      </c>
      <c r="AF210" s="758">
        <v>-0.57899999999999996</v>
      </c>
      <c r="AG210" s="890">
        <f>Drivers!AG50</f>
        <v>-0.4</v>
      </c>
      <c r="AH210" s="890">
        <f>Drivers!AH50</f>
        <v>-0.4</v>
      </c>
      <c r="AI210" s="890">
        <f>Drivers!AI50</f>
        <v>-0.8</v>
      </c>
      <c r="AJ210" s="890">
        <f>Drivers!AJ50</f>
        <v>-0.8</v>
      </c>
      <c r="AK210" s="890">
        <f>Drivers!AK50</f>
        <v>-0.8</v>
      </c>
      <c r="AL210" s="890">
        <f>Drivers!AL50</f>
        <v>-0.8</v>
      </c>
      <c r="AM210" s="890"/>
      <c r="AN210" s="756">
        <f t="shared" ref="AN210:AZ210" si="155">AN349</f>
        <v>-1.1739999999999999</v>
      </c>
      <c r="AO210" s="756">
        <f t="shared" si="155"/>
        <v>-1.5309999999999999</v>
      </c>
      <c r="AP210" s="756">
        <f t="shared" si="155"/>
        <v>-3.9750000000000001</v>
      </c>
      <c r="AQ210" s="756">
        <f t="shared" si="155"/>
        <v>-2.536</v>
      </c>
      <c r="AR210" s="756">
        <f t="shared" si="155"/>
        <v>-6.7140000000000004</v>
      </c>
      <c r="AS210" s="756">
        <f t="shared" si="155"/>
        <v>-2.7570000000000001</v>
      </c>
      <c r="AT210" s="756">
        <f t="shared" si="155"/>
        <v>-2.3570000000000002</v>
      </c>
      <c r="AU210" s="756">
        <f t="shared" si="155"/>
        <v>-1.4019999999999999</v>
      </c>
      <c r="AV210" s="756">
        <f t="shared" si="155"/>
        <v>-2.734</v>
      </c>
      <c r="AW210" s="756">
        <f t="shared" si="155"/>
        <v>-2.8340000000000001</v>
      </c>
      <c r="AX210" s="947">
        <f t="shared" si="155"/>
        <v>-2.3149999999999999</v>
      </c>
      <c r="AY210" s="760">
        <f t="shared" si="155"/>
        <v>-1.8460000000000001</v>
      </c>
      <c r="AZ210" s="760">
        <f t="shared" si="155"/>
        <v>-3.2</v>
      </c>
      <c r="BA210" s="890">
        <f>Drivers!BA50</f>
        <v>-3.2</v>
      </c>
      <c r="BB210" s="890">
        <f>Drivers!BB50</f>
        <v>-3.2</v>
      </c>
      <c r="BC210" s="890">
        <f>Drivers!BC50</f>
        <v>-3.2</v>
      </c>
      <c r="BD210" s="632"/>
    </row>
    <row r="211" spans="1:56" s="110" customFormat="1" x14ac:dyDescent="0.25">
      <c r="A211" s="811" t="str">
        <f>CONCATENATE("Consensus Estimates - ",IFERROR(LEFT(A210,FIND("(",A210)-1),A210))</f>
        <v>Consensus Estimates - Capex</v>
      </c>
      <c r="B211" s="812"/>
      <c r="C211" s="762"/>
      <c r="D211" s="762"/>
      <c r="E211" s="762"/>
      <c r="F211" s="762"/>
      <c r="G211" s="762"/>
      <c r="H211" s="762"/>
      <c r="I211" s="762"/>
      <c r="J211" s="762"/>
      <c r="K211" s="762"/>
      <c r="L211" s="762"/>
      <c r="M211" s="762"/>
      <c r="N211" s="762"/>
      <c r="O211" s="762"/>
      <c r="P211" s="762"/>
      <c r="Q211" s="763"/>
      <c r="R211" s="762"/>
      <c r="S211" s="762"/>
      <c r="T211" s="762"/>
      <c r="U211" s="763"/>
      <c r="V211" s="762"/>
      <c r="W211" s="762"/>
      <c r="X211" s="762"/>
      <c r="Y211" s="762"/>
      <c r="Z211" s="762"/>
      <c r="AA211" s="762"/>
      <c r="AB211" s="762"/>
      <c r="AC211" s="762"/>
      <c r="AD211" s="764"/>
      <c r="AE211" s="762"/>
      <c r="AF211" s="766"/>
      <c r="AG211" s="767" t="str">
        <f t="shared" ref="AG211:AL211" ca="1" si="156">IFERROR(VLOOKUP($A211,tb_ConsensusEstimate,MATCH(AG$5,OFFSET(tb_ConsensusEstimate,0,0,1,COLUMNS(tb_ConsensusEstimate)),0),FALSE),"-")</f>
        <v>N/A</v>
      </c>
      <c r="AH211" s="767" t="str">
        <f t="shared" ca="1" si="156"/>
        <v>N/A</v>
      </c>
      <c r="AI211" s="767" t="str">
        <f t="shared" ca="1" si="156"/>
        <v>N/A</v>
      </c>
      <c r="AJ211" s="767" t="str">
        <f t="shared" ca="1" si="156"/>
        <v>N/A</v>
      </c>
      <c r="AK211" s="767" t="str">
        <f t="shared" ca="1" si="156"/>
        <v>N/A</v>
      </c>
      <c r="AL211" s="767" t="str">
        <f t="shared" ca="1" si="156"/>
        <v>N/A</v>
      </c>
      <c r="AM211" s="767"/>
      <c r="AN211" s="761"/>
      <c r="AO211" s="761"/>
      <c r="AP211" s="761"/>
      <c r="AQ211" s="761"/>
      <c r="AR211" s="761"/>
      <c r="AS211" s="761"/>
      <c r="AT211" s="761"/>
      <c r="AU211" s="761"/>
      <c r="AV211" s="761"/>
      <c r="AW211" s="761"/>
      <c r="AX211" s="948"/>
      <c r="AY211" s="768" t="str">
        <f ca="1">IFERROR(VLOOKUP($A211,tb_ConsensusEstimate,MATCH(AY$5,OFFSET(tb_ConsensusEstimate,0,0,1,COLUMNS(tb_ConsensusEstimate)),0),FALSE),"-")</f>
        <v>N/A</v>
      </c>
      <c r="AZ211" s="768" t="str">
        <f ca="1">IFERROR(VLOOKUP($A211,tb_ConsensusEstimate,MATCH(AZ$5,OFFSET(tb_ConsensusEstimate,0,0,1,COLUMNS(tb_ConsensusEstimate)),0),FALSE),"-")</f>
        <v>N/A</v>
      </c>
      <c r="BA211" s="778" t="str">
        <f ca="1">IFERROR(VLOOKUP(A211,tb_ConsensusEstimate,MATCH(BA5,OFFSET(tb_ConsensusEstimate,0,0,1,COLUMNS(tb_ConsensusEstimate)),0),FALSE),"-")</f>
        <v>N/A</v>
      </c>
      <c r="BB211" s="778" t="str">
        <f ca="1">IFERROR(VLOOKUP(A211,tb_ConsensusEstimate,MATCH(BB5,OFFSET(tb_ConsensusEstimate,0,0,1,COLUMNS(tb_ConsensusEstimate)),0),FALSE),"-")</f>
        <v>N/A</v>
      </c>
      <c r="BC211" s="778" t="str">
        <f ca="1">IFERROR(VLOOKUP(A211,tb_ConsensusEstimate,MATCH(BC5,OFFSET(tb_ConsensusEstimate,0,0,1,COLUMNS(tb_ConsensusEstimate)),0),FALSE),"-")</f>
        <v>-</v>
      </c>
      <c r="BD211" s="634"/>
    </row>
    <row r="212" spans="1:56" s="39" customFormat="1" x14ac:dyDescent="0.25">
      <c r="A212" s="630" t="s">
        <v>133</v>
      </c>
      <c r="B212" s="225"/>
      <c r="C212" s="725">
        <f t="shared" ref="C212:AE212" si="157">C350+C353</f>
        <v>0</v>
      </c>
      <c r="D212" s="725">
        <f t="shared" si="157"/>
        <v>-13.523999999999999</v>
      </c>
      <c r="E212" s="725">
        <f t="shared" si="157"/>
        <v>0</v>
      </c>
      <c r="F212" s="725">
        <f t="shared" si="157"/>
        <v>1.8999999999998352E-2</v>
      </c>
      <c r="G212" s="725">
        <f t="shared" si="157"/>
        <v>0</v>
      </c>
      <c r="H212" s="725">
        <f t="shared" si="157"/>
        <v>-8.6660000000000004</v>
      </c>
      <c r="I212" s="725">
        <f t="shared" si="157"/>
        <v>0</v>
      </c>
      <c r="J212" s="725">
        <f t="shared" si="157"/>
        <v>-3.9999999999995595E-3</v>
      </c>
      <c r="K212" s="725">
        <f t="shared" si="157"/>
        <v>0</v>
      </c>
      <c r="L212" s="725">
        <f t="shared" si="157"/>
        <v>0</v>
      </c>
      <c r="M212" s="725">
        <f t="shared" si="157"/>
        <v>0</v>
      </c>
      <c r="N212" s="725">
        <f t="shared" si="157"/>
        <v>0</v>
      </c>
      <c r="O212" s="725">
        <f t="shared" si="157"/>
        <v>-2.33</v>
      </c>
      <c r="P212" s="725">
        <f t="shared" si="157"/>
        <v>0</v>
      </c>
      <c r="Q212" s="725">
        <f t="shared" si="157"/>
        <v>0.16900000000000004</v>
      </c>
      <c r="R212" s="725">
        <f t="shared" si="157"/>
        <v>-6.24</v>
      </c>
      <c r="S212" s="725">
        <f t="shared" si="157"/>
        <v>-3.1930000000000001</v>
      </c>
      <c r="T212" s="725">
        <f t="shared" si="157"/>
        <v>-3.1910000000000003</v>
      </c>
      <c r="U212" s="725">
        <f t="shared" si="157"/>
        <v>-4.7279999999999998</v>
      </c>
      <c r="V212" s="725">
        <f t="shared" si="157"/>
        <v>9.9999999999944578E-4</v>
      </c>
      <c r="W212" s="725">
        <f t="shared" si="157"/>
        <v>-10</v>
      </c>
      <c r="X212" s="725">
        <f t="shared" si="157"/>
        <v>-29.957000000000001</v>
      </c>
      <c r="Y212" s="725">
        <f t="shared" si="157"/>
        <v>-2.9149999999999991</v>
      </c>
      <c r="Z212" s="725">
        <f t="shared" si="157"/>
        <v>-12.417999999999999</v>
      </c>
      <c r="AA212" s="725">
        <f t="shared" si="157"/>
        <v>0</v>
      </c>
      <c r="AB212" s="725">
        <f t="shared" si="157"/>
        <v>0</v>
      </c>
      <c r="AC212" s="725">
        <f t="shared" si="157"/>
        <v>0.85</v>
      </c>
      <c r="AD212" s="725">
        <f t="shared" si="157"/>
        <v>0</v>
      </c>
      <c r="AE212" s="725">
        <f t="shared" si="157"/>
        <v>0</v>
      </c>
      <c r="AF212" s="779">
        <v>0</v>
      </c>
      <c r="AG212" s="878">
        <f>Drivers!AG51</f>
        <v>0</v>
      </c>
      <c r="AH212" s="878">
        <f>Drivers!AH51</f>
        <v>0</v>
      </c>
      <c r="AI212" s="878">
        <f>Drivers!AI51</f>
        <v>0</v>
      </c>
      <c r="AJ212" s="878">
        <f>Drivers!AJ51</f>
        <v>0</v>
      </c>
      <c r="AK212" s="878">
        <f>Drivers!AK51</f>
        <v>0</v>
      </c>
      <c r="AL212" s="878">
        <f>Drivers!AL51</f>
        <v>0</v>
      </c>
      <c r="AM212" s="878"/>
      <c r="AN212" s="726">
        <f t="shared" ref="AN212:AZ212" si="158">AN350+AN353</f>
        <v>-20.773</v>
      </c>
      <c r="AO212" s="726">
        <f t="shared" si="158"/>
        <v>-5.1210000000000004</v>
      </c>
      <c r="AP212" s="726">
        <f t="shared" si="158"/>
        <v>-36.076999999999998</v>
      </c>
      <c r="AQ212" s="726">
        <f t="shared" si="158"/>
        <v>-12.183999999999999</v>
      </c>
      <c r="AR212" s="726">
        <f t="shared" si="158"/>
        <v>-13.505000000000001</v>
      </c>
      <c r="AS212" s="726">
        <f t="shared" si="158"/>
        <v>-8.67</v>
      </c>
      <c r="AT212" s="726">
        <f t="shared" si="158"/>
        <v>0</v>
      </c>
      <c r="AU212" s="726">
        <f t="shared" si="158"/>
        <v>-8.4009999999999998</v>
      </c>
      <c r="AV212" s="726">
        <f t="shared" si="158"/>
        <v>-11.111000000000001</v>
      </c>
      <c r="AW212" s="726">
        <f t="shared" si="158"/>
        <v>-55.29</v>
      </c>
      <c r="AX212" s="925">
        <f t="shared" si="158"/>
        <v>0.85</v>
      </c>
      <c r="AY212" s="729">
        <f t="shared" si="158"/>
        <v>0</v>
      </c>
      <c r="AZ212" s="729">
        <f t="shared" si="158"/>
        <v>0</v>
      </c>
      <c r="BA212" s="878">
        <f>Drivers!BA51</f>
        <v>0</v>
      </c>
      <c r="BB212" s="878">
        <f>Drivers!BB51</f>
        <v>0</v>
      </c>
      <c r="BC212" s="878">
        <f>Drivers!BC51</f>
        <v>0</v>
      </c>
      <c r="BD212" s="631"/>
    </row>
    <row r="213" spans="1:56" s="39" customFormat="1" x14ac:dyDescent="0.25">
      <c r="A213" s="630" t="s">
        <v>134</v>
      </c>
      <c r="B213" s="225"/>
      <c r="C213" s="725">
        <f t="shared" ref="C213:AE213" si="159">C352+C351</f>
        <v>0</v>
      </c>
      <c r="D213" s="725">
        <f t="shared" si="159"/>
        <v>0</v>
      </c>
      <c r="E213" s="725">
        <f t="shared" si="159"/>
        <v>0</v>
      </c>
      <c r="F213" s="725">
        <f t="shared" si="159"/>
        <v>0</v>
      </c>
      <c r="G213" s="725">
        <f t="shared" si="159"/>
        <v>0</v>
      </c>
      <c r="H213" s="725">
        <f t="shared" si="159"/>
        <v>0</v>
      </c>
      <c r="I213" s="725">
        <f t="shared" si="159"/>
        <v>0</v>
      </c>
      <c r="J213" s="725">
        <f t="shared" si="159"/>
        <v>0</v>
      </c>
      <c r="K213" s="725">
        <f t="shared" si="159"/>
        <v>0</v>
      </c>
      <c r="L213" s="725">
        <f t="shared" si="159"/>
        <v>0</v>
      </c>
      <c r="M213" s="725">
        <f t="shared" si="159"/>
        <v>0</v>
      </c>
      <c r="N213" s="725">
        <f t="shared" si="159"/>
        <v>0</v>
      </c>
      <c r="O213" s="725">
        <f t="shared" si="159"/>
        <v>0</v>
      </c>
      <c r="P213" s="725">
        <f t="shared" si="159"/>
        <v>0</v>
      </c>
      <c r="Q213" s="725">
        <f t="shared" si="159"/>
        <v>0</v>
      </c>
      <c r="R213" s="725">
        <f t="shared" si="159"/>
        <v>0</v>
      </c>
      <c r="S213" s="725">
        <f t="shared" si="159"/>
        <v>0</v>
      </c>
      <c r="T213" s="725">
        <f t="shared" si="159"/>
        <v>0</v>
      </c>
      <c r="U213" s="725">
        <f t="shared" si="159"/>
        <v>0</v>
      </c>
      <c r="V213" s="725">
        <f t="shared" si="159"/>
        <v>0</v>
      </c>
      <c r="W213" s="725">
        <f t="shared" si="159"/>
        <v>0</v>
      </c>
      <c r="X213" s="725">
        <f t="shared" si="159"/>
        <v>0</v>
      </c>
      <c r="Y213" s="725">
        <f t="shared" si="159"/>
        <v>0</v>
      </c>
      <c r="Z213" s="725">
        <f t="shared" si="159"/>
        <v>0</v>
      </c>
      <c r="AA213" s="725">
        <f t="shared" si="159"/>
        <v>0</v>
      </c>
      <c r="AB213" s="725">
        <f t="shared" si="159"/>
        <v>0</v>
      </c>
      <c r="AC213" s="725">
        <f t="shared" si="159"/>
        <v>0</v>
      </c>
      <c r="AD213" s="725">
        <f t="shared" si="159"/>
        <v>20.047999999999998</v>
      </c>
      <c r="AE213" s="725">
        <f t="shared" si="159"/>
        <v>3.3279999999999998</v>
      </c>
      <c r="AF213" s="779">
        <v>0</v>
      </c>
      <c r="AG213" s="878">
        <f>Drivers!AG52</f>
        <v>0</v>
      </c>
      <c r="AH213" s="878">
        <f>Drivers!AH52</f>
        <v>0</v>
      </c>
      <c r="AI213" s="878">
        <f>Drivers!AI52</f>
        <v>0</v>
      </c>
      <c r="AJ213" s="878">
        <f>Drivers!AJ52</f>
        <v>0</v>
      </c>
      <c r="AK213" s="878">
        <f>Drivers!AK52</f>
        <v>0</v>
      </c>
      <c r="AL213" s="878">
        <f>Drivers!AL52</f>
        <v>0</v>
      </c>
      <c r="AM213" s="878"/>
      <c r="AN213" s="726">
        <f t="shared" ref="AN213:AZ213" si="160">AN352+AN351</f>
        <v>0</v>
      </c>
      <c r="AO213" s="726">
        <f t="shared" si="160"/>
        <v>0</v>
      </c>
      <c r="AP213" s="726">
        <f t="shared" si="160"/>
        <v>0</v>
      </c>
      <c r="AQ213" s="726">
        <f t="shared" si="160"/>
        <v>0</v>
      </c>
      <c r="AR213" s="726">
        <f t="shared" si="160"/>
        <v>0</v>
      </c>
      <c r="AS213" s="726">
        <f t="shared" si="160"/>
        <v>0</v>
      </c>
      <c r="AT213" s="726">
        <f t="shared" si="160"/>
        <v>0</v>
      </c>
      <c r="AU213" s="726">
        <f t="shared" si="160"/>
        <v>0</v>
      </c>
      <c r="AV213" s="726">
        <f t="shared" si="160"/>
        <v>0</v>
      </c>
      <c r="AW213" s="726">
        <f t="shared" si="160"/>
        <v>0</v>
      </c>
      <c r="AX213" s="925">
        <f t="shared" si="160"/>
        <v>20.047999999999998</v>
      </c>
      <c r="AY213" s="729">
        <f t="shared" si="160"/>
        <v>3.3279999999999998</v>
      </c>
      <c r="AZ213" s="729">
        <f t="shared" si="160"/>
        <v>0</v>
      </c>
      <c r="BA213" s="878">
        <f>Drivers!BA52</f>
        <v>0</v>
      </c>
      <c r="BB213" s="878">
        <f>Drivers!BB52</f>
        <v>0</v>
      </c>
      <c r="BC213" s="878">
        <f>Drivers!BC52</f>
        <v>0</v>
      </c>
      <c r="BD213" s="631"/>
    </row>
    <row r="214" spans="1:56" s="39" customFormat="1" x14ac:dyDescent="0.25">
      <c r="A214" s="630" t="s">
        <v>135</v>
      </c>
      <c r="B214" s="225"/>
      <c r="C214" s="725">
        <f t="shared" ref="C214:AE214" si="161">C374</f>
        <v>0</v>
      </c>
      <c r="D214" s="725">
        <f t="shared" si="161"/>
        <v>0</v>
      </c>
      <c r="E214" s="725">
        <f t="shared" si="161"/>
        <v>0</v>
      </c>
      <c r="F214" s="725">
        <f t="shared" si="161"/>
        <v>0</v>
      </c>
      <c r="G214" s="725">
        <f t="shared" si="161"/>
        <v>0</v>
      </c>
      <c r="H214" s="725">
        <f t="shared" si="161"/>
        <v>0</v>
      </c>
      <c r="I214" s="725">
        <f t="shared" si="161"/>
        <v>0</v>
      </c>
      <c r="J214" s="725">
        <f t="shared" si="161"/>
        <v>0</v>
      </c>
      <c r="K214" s="725">
        <f t="shared" si="161"/>
        <v>0</v>
      </c>
      <c r="L214" s="725">
        <f t="shared" si="161"/>
        <v>0</v>
      </c>
      <c r="M214" s="725">
        <f t="shared" si="161"/>
        <v>0</v>
      </c>
      <c r="N214" s="725">
        <f t="shared" si="161"/>
        <v>0</v>
      </c>
      <c r="O214" s="725">
        <f t="shared" si="161"/>
        <v>0</v>
      </c>
      <c r="P214" s="725">
        <f t="shared" si="161"/>
        <v>0</v>
      </c>
      <c r="Q214" s="725">
        <f t="shared" si="161"/>
        <v>0</v>
      </c>
      <c r="R214" s="725">
        <f t="shared" si="161"/>
        <v>0</v>
      </c>
      <c r="S214" s="725">
        <f t="shared" si="161"/>
        <v>0</v>
      </c>
      <c r="T214" s="725">
        <f t="shared" si="161"/>
        <v>0</v>
      </c>
      <c r="U214" s="725">
        <f t="shared" si="161"/>
        <v>0</v>
      </c>
      <c r="V214" s="725">
        <f t="shared" si="161"/>
        <v>0</v>
      </c>
      <c r="W214" s="725">
        <f t="shared" si="161"/>
        <v>0</v>
      </c>
      <c r="X214" s="725">
        <f t="shared" si="161"/>
        <v>0</v>
      </c>
      <c r="Y214" s="725">
        <f t="shared" si="161"/>
        <v>0</v>
      </c>
      <c r="Z214" s="725">
        <f t="shared" si="161"/>
        <v>0</v>
      </c>
      <c r="AA214" s="725">
        <f t="shared" si="161"/>
        <v>0</v>
      </c>
      <c r="AB214" s="725">
        <f t="shared" si="161"/>
        <v>0</v>
      </c>
      <c r="AC214" s="725">
        <f t="shared" si="161"/>
        <v>0</v>
      </c>
      <c r="AD214" s="725">
        <f t="shared" si="161"/>
        <v>0</v>
      </c>
      <c r="AE214" s="725">
        <f t="shared" si="161"/>
        <v>0</v>
      </c>
      <c r="AF214" s="771">
        <f t="shared" ref="AF214:AL214" si="162">AF215*-AF202</f>
        <v>0</v>
      </c>
      <c r="AG214" s="730">
        <f t="shared" ca="1" si="162"/>
        <v>0</v>
      </c>
      <c r="AH214" s="730">
        <f t="shared" ca="1" si="162"/>
        <v>0</v>
      </c>
      <c r="AI214" s="730">
        <f t="shared" ca="1" si="162"/>
        <v>0</v>
      </c>
      <c r="AJ214" s="730">
        <f t="shared" ca="1" si="162"/>
        <v>0</v>
      </c>
      <c r="AK214" s="730">
        <f t="shared" ca="1" si="162"/>
        <v>0</v>
      </c>
      <c r="AL214" s="730">
        <f t="shared" ca="1" si="162"/>
        <v>0</v>
      </c>
      <c r="AM214" s="730"/>
      <c r="AN214" s="726">
        <f t="shared" ref="AN214:AZ214" si="163">AN374</f>
        <v>0</v>
      </c>
      <c r="AO214" s="726">
        <f t="shared" si="163"/>
        <v>0</v>
      </c>
      <c r="AP214" s="726">
        <f t="shared" si="163"/>
        <v>0</v>
      </c>
      <c r="AQ214" s="726">
        <f t="shared" si="163"/>
        <v>0</v>
      </c>
      <c r="AR214" s="726">
        <f t="shared" si="163"/>
        <v>0</v>
      </c>
      <c r="AS214" s="726">
        <f t="shared" si="163"/>
        <v>0</v>
      </c>
      <c r="AT214" s="726">
        <f t="shared" si="163"/>
        <v>0</v>
      </c>
      <c r="AU214" s="726">
        <f t="shared" si="163"/>
        <v>0</v>
      </c>
      <c r="AV214" s="726">
        <f t="shared" si="163"/>
        <v>0</v>
      </c>
      <c r="AW214" s="726">
        <f t="shared" si="163"/>
        <v>0</v>
      </c>
      <c r="AX214" s="925">
        <f t="shared" si="163"/>
        <v>0</v>
      </c>
      <c r="AY214" s="729">
        <f t="shared" ca="1" si="163"/>
        <v>0</v>
      </c>
      <c r="AZ214" s="729">
        <f t="shared" ca="1" si="163"/>
        <v>0</v>
      </c>
      <c r="BA214" s="729">
        <f ca="1">BA215*-BA202</f>
        <v>0</v>
      </c>
      <c r="BB214" s="729">
        <f ca="1">BB215*-BB202</f>
        <v>0</v>
      </c>
      <c r="BC214" s="729">
        <f ca="1">BC215*-BC202</f>
        <v>0</v>
      </c>
      <c r="BD214" s="631"/>
    </row>
    <row r="215" spans="1:56" s="50" customFormat="1" x14ac:dyDescent="0.25">
      <c r="A215" s="526" t="s">
        <v>136</v>
      </c>
      <c r="B215" s="527"/>
      <c r="C215" s="596">
        <v>0</v>
      </c>
      <c r="D215" s="596">
        <v>0</v>
      </c>
      <c r="E215" s="596">
        <v>0</v>
      </c>
      <c r="F215" s="596">
        <v>0</v>
      </c>
      <c r="G215" s="596">
        <v>0</v>
      </c>
      <c r="H215" s="596">
        <v>0</v>
      </c>
      <c r="I215" s="596">
        <v>0</v>
      </c>
      <c r="J215" s="596">
        <v>0</v>
      </c>
      <c r="K215" s="596">
        <v>0</v>
      </c>
      <c r="L215" s="596">
        <v>0</v>
      </c>
      <c r="M215" s="596">
        <v>0</v>
      </c>
      <c r="N215" s="596">
        <v>0</v>
      </c>
      <c r="O215" s="596">
        <v>0</v>
      </c>
      <c r="P215" s="596">
        <v>0</v>
      </c>
      <c r="Q215" s="596">
        <v>0</v>
      </c>
      <c r="R215" s="596">
        <v>0</v>
      </c>
      <c r="S215" s="596">
        <v>0</v>
      </c>
      <c r="T215" s="596">
        <v>0</v>
      </c>
      <c r="U215" s="596">
        <v>0</v>
      </c>
      <c r="V215" s="596">
        <v>0</v>
      </c>
      <c r="W215" s="596">
        <v>0</v>
      </c>
      <c r="X215" s="596">
        <v>0</v>
      </c>
      <c r="Y215" s="596">
        <v>0</v>
      </c>
      <c r="Z215" s="596">
        <v>0</v>
      </c>
      <c r="AA215" s="596">
        <v>0</v>
      </c>
      <c r="AB215" s="596">
        <v>0</v>
      </c>
      <c r="AC215" s="596">
        <v>0</v>
      </c>
      <c r="AD215" s="596">
        <v>0</v>
      </c>
      <c r="AE215" s="596">
        <v>0</v>
      </c>
      <c r="AF215" s="660">
        <v>0</v>
      </c>
      <c r="AG215" s="895">
        <f>Drivers!AG53</f>
        <v>0</v>
      </c>
      <c r="AH215" s="895">
        <f>Drivers!AH53</f>
        <v>0</v>
      </c>
      <c r="AI215" s="895">
        <f>Drivers!AI53</f>
        <v>0</v>
      </c>
      <c r="AJ215" s="895">
        <f>Drivers!AJ53</f>
        <v>0</v>
      </c>
      <c r="AK215" s="895">
        <f>Drivers!AK53</f>
        <v>0</v>
      </c>
      <c r="AL215" s="895">
        <f>Drivers!AL53</f>
        <v>0</v>
      </c>
      <c r="AM215" s="895"/>
      <c r="AN215" s="528">
        <v>0</v>
      </c>
      <c r="AO215" s="528">
        <v>0</v>
      </c>
      <c r="AP215" s="528">
        <v>0</v>
      </c>
      <c r="AQ215" s="528">
        <v>0</v>
      </c>
      <c r="AR215" s="528">
        <f>SUM(C215,D215,E215,F215)</f>
        <v>0</v>
      </c>
      <c r="AS215" s="528">
        <f>SUM(G215,H215,I215,J215)</f>
        <v>0</v>
      </c>
      <c r="AT215" s="528">
        <f>SUM(K215,L215,M215,N215)</f>
        <v>0</v>
      </c>
      <c r="AU215" s="528">
        <f>SUM(O215,P215,Q215,R215)</f>
        <v>0</v>
      </c>
      <c r="AV215" s="528">
        <f>SUM(S215,T215,U215,V215)</f>
        <v>0</v>
      </c>
      <c r="AW215" s="528">
        <f>SUM(W215,X215,Y215,Z215)</f>
        <v>0</v>
      </c>
      <c r="AX215" s="949">
        <f>SUM(AA215,AB215,AC215,AD215)</f>
        <v>0</v>
      </c>
      <c r="AY215" s="214">
        <f>SUM(AE215,AF215,AG215,AH215)</f>
        <v>0</v>
      </c>
      <c r="AZ215" s="214">
        <f>SUM(AI215,AJ215,AK215,AL215)</f>
        <v>0</v>
      </c>
      <c r="BA215" s="895">
        <f>Drivers!BA53</f>
        <v>0</v>
      </c>
      <c r="BB215" s="895">
        <f>Drivers!BB53</f>
        <v>0</v>
      </c>
      <c r="BC215" s="895">
        <f>Drivers!BC53</f>
        <v>0</v>
      </c>
      <c r="BD215" s="74"/>
    </row>
    <row r="216" spans="1:56" s="50" customFormat="1" x14ac:dyDescent="0.25">
      <c r="A216" s="526"/>
      <c r="B216" s="527"/>
      <c r="C216" s="596"/>
      <c r="D216" s="596"/>
      <c r="E216" s="596"/>
      <c r="F216" s="596"/>
      <c r="G216" s="596"/>
      <c r="H216" s="596"/>
      <c r="I216" s="596"/>
      <c r="J216" s="596"/>
      <c r="K216" s="596"/>
      <c r="L216" s="596"/>
      <c r="M216" s="596"/>
      <c r="N216" s="596"/>
      <c r="O216" s="596"/>
      <c r="P216" s="596"/>
      <c r="Q216" s="596"/>
      <c r="R216" s="596"/>
      <c r="S216" s="596"/>
      <c r="T216" s="596"/>
      <c r="U216" s="596"/>
      <c r="V216" s="596"/>
      <c r="W216" s="596"/>
      <c r="X216" s="596"/>
      <c r="Y216" s="596"/>
      <c r="Z216" s="596"/>
      <c r="AA216" s="596"/>
      <c r="AB216" s="596"/>
      <c r="AC216" s="596"/>
      <c r="AD216" s="596"/>
      <c r="AE216" s="596"/>
      <c r="AF216" s="661"/>
      <c r="AG216" s="204"/>
      <c r="AH216" s="204"/>
      <c r="AI216" s="204"/>
      <c r="AJ216" s="204"/>
      <c r="AK216" s="204"/>
      <c r="AL216" s="204"/>
      <c r="AM216" s="204"/>
      <c r="AN216" s="528"/>
      <c r="AO216" s="528"/>
      <c r="AP216" s="528"/>
      <c r="AQ216" s="528"/>
      <c r="AR216" s="528"/>
      <c r="AS216" s="528"/>
      <c r="AT216" s="528"/>
      <c r="AU216" s="528"/>
      <c r="AV216" s="528"/>
      <c r="AW216" s="528"/>
      <c r="AX216" s="949"/>
      <c r="AY216" s="214"/>
      <c r="AZ216" s="214"/>
      <c r="BA216" s="219"/>
      <c r="BB216" s="219"/>
      <c r="BC216" s="219"/>
      <c r="BD216" s="74"/>
    </row>
    <row r="217" spans="1:56" s="50" customFormat="1" x14ac:dyDescent="0.25">
      <c r="A217" s="526" t="s">
        <v>461</v>
      </c>
      <c r="B217" s="527"/>
      <c r="C217" s="725">
        <f t="shared" ref="C217:AE217" si="164">C362+C361+C360+C367+C369</f>
        <v>0</v>
      </c>
      <c r="D217" s="725">
        <f t="shared" si="164"/>
        <v>6.77</v>
      </c>
      <c r="E217" s="725">
        <f t="shared" si="164"/>
        <v>-1.9499999999999993</v>
      </c>
      <c r="F217" s="725">
        <f t="shared" si="164"/>
        <v>-4.4130000000000003</v>
      </c>
      <c r="G217" s="725">
        <f t="shared" si="164"/>
        <v>2.37</v>
      </c>
      <c r="H217" s="725">
        <f t="shared" si="164"/>
        <v>14.994</v>
      </c>
      <c r="I217" s="725">
        <f t="shared" si="164"/>
        <v>-12.891000000000002</v>
      </c>
      <c r="J217" s="725">
        <f t="shared" si="164"/>
        <v>53.695999999999998</v>
      </c>
      <c r="K217" s="725">
        <f t="shared" si="164"/>
        <v>-2.5980000000000003</v>
      </c>
      <c r="L217" s="725">
        <f t="shared" si="164"/>
        <v>3.9309999999999992</v>
      </c>
      <c r="M217" s="725">
        <f t="shared" si="164"/>
        <v>0.77500000000000124</v>
      </c>
      <c r="N217" s="725">
        <f t="shared" si="164"/>
        <v>-2.1560000000000006</v>
      </c>
      <c r="O217" s="725">
        <f t="shared" si="164"/>
        <v>-4.3250000000000002</v>
      </c>
      <c r="P217" s="725">
        <f t="shared" si="164"/>
        <v>6.2440000000000015</v>
      </c>
      <c r="Q217" s="725">
        <f t="shared" si="164"/>
        <v>-1.1539999999999999</v>
      </c>
      <c r="R217" s="725">
        <f t="shared" si="164"/>
        <v>-1.3359999999999985</v>
      </c>
      <c r="S217" s="725">
        <f t="shared" si="164"/>
        <v>2.8200000000000003</v>
      </c>
      <c r="T217" s="725">
        <f t="shared" si="164"/>
        <v>-2.5670000000000002</v>
      </c>
      <c r="U217" s="725">
        <f t="shared" si="164"/>
        <v>2.2000000000000242E-2</v>
      </c>
      <c r="V217" s="725">
        <f t="shared" si="164"/>
        <v>7.1150000000000002</v>
      </c>
      <c r="W217" s="725">
        <f t="shared" si="164"/>
        <v>3.0220000000000002</v>
      </c>
      <c r="X217" s="725">
        <f t="shared" si="164"/>
        <v>33.174999999999997</v>
      </c>
      <c r="Y217" s="725">
        <f t="shared" si="164"/>
        <v>4.213000000000001</v>
      </c>
      <c r="Z217" s="725">
        <f t="shared" si="164"/>
        <v>9.2820000000000054</v>
      </c>
      <c r="AA217" s="725">
        <f t="shared" si="164"/>
        <v>3.7999999999996703E-2</v>
      </c>
      <c r="AB217" s="725">
        <f t="shared" si="164"/>
        <v>3.1119999999999948</v>
      </c>
      <c r="AC217" s="725">
        <f t="shared" si="164"/>
        <v>-6.5</v>
      </c>
      <c r="AD217" s="725">
        <f t="shared" si="164"/>
        <v>-30.582999999999988</v>
      </c>
      <c r="AE217" s="725">
        <f t="shared" si="164"/>
        <v>-8.0330000000000013</v>
      </c>
      <c r="AF217" s="779">
        <v>0</v>
      </c>
      <c r="AG217" s="878">
        <f>Drivers!AG54</f>
        <v>0</v>
      </c>
      <c r="AH217" s="878">
        <f>Drivers!AH54</f>
        <v>0</v>
      </c>
      <c r="AI217" s="878">
        <f>Drivers!AI54</f>
        <v>0</v>
      </c>
      <c r="AJ217" s="878">
        <f>Drivers!AJ54</f>
        <v>0</v>
      </c>
      <c r="AK217" s="878">
        <f>Drivers!AK54</f>
        <v>0</v>
      </c>
      <c r="AL217" s="878">
        <f>Drivers!AL54</f>
        <v>0</v>
      </c>
      <c r="AM217" s="878"/>
      <c r="AN217" s="726">
        <f t="shared" ref="AN217:AZ217" si="165">AN362+AN361+AN360+AN367+AN369</f>
        <v>-3.234</v>
      </c>
      <c r="AO217" s="726">
        <f t="shared" si="165"/>
        <v>0</v>
      </c>
      <c r="AP217" s="726">
        <f t="shared" si="165"/>
        <v>0</v>
      </c>
      <c r="AQ217" s="726">
        <f t="shared" si="165"/>
        <v>0</v>
      </c>
      <c r="AR217" s="726">
        <f t="shared" si="165"/>
        <v>0.40699999999999997</v>
      </c>
      <c r="AS217" s="726">
        <f t="shared" si="165"/>
        <v>58.168999999999997</v>
      </c>
      <c r="AT217" s="726">
        <f t="shared" si="165"/>
        <v>-4.8000000000000043E-2</v>
      </c>
      <c r="AU217" s="726">
        <f t="shared" si="165"/>
        <v>-0.57099999999999795</v>
      </c>
      <c r="AV217" s="726">
        <f t="shared" si="165"/>
        <v>7.3900000000000006</v>
      </c>
      <c r="AW217" s="726">
        <f t="shared" si="165"/>
        <v>49.692</v>
      </c>
      <c r="AX217" s="925">
        <f t="shared" si="165"/>
        <v>-33.932999999999993</v>
      </c>
      <c r="AY217" s="729">
        <f t="shared" si="165"/>
        <v>-8.0330000000000013</v>
      </c>
      <c r="AZ217" s="729">
        <f t="shared" si="165"/>
        <v>0</v>
      </c>
      <c r="BA217" s="878">
        <f>Drivers!BA54</f>
        <v>0</v>
      </c>
      <c r="BB217" s="878">
        <f>Drivers!BB54</f>
        <v>0</v>
      </c>
      <c r="BC217" s="878">
        <f>Drivers!BC54</f>
        <v>0</v>
      </c>
      <c r="BD217" s="74"/>
    </row>
    <row r="218" spans="1:56" s="50" customFormat="1" x14ac:dyDescent="0.25">
      <c r="A218" s="526" t="s">
        <v>464</v>
      </c>
      <c r="B218" s="527"/>
      <c r="C218" s="725">
        <f t="shared" ref="C218:AE218" si="166">C372+C371+C370+C366+C363</f>
        <v>-0.45100000000000001</v>
      </c>
      <c r="D218" s="725">
        <f t="shared" si="166"/>
        <v>0</v>
      </c>
      <c r="E218" s="725">
        <f t="shared" si="166"/>
        <v>-0.69600000000000006</v>
      </c>
      <c r="F218" s="725">
        <f t="shared" si="166"/>
        <v>-0.80100000000000005</v>
      </c>
      <c r="G218" s="725">
        <f t="shared" si="166"/>
        <v>-0.32</v>
      </c>
      <c r="H218" s="725">
        <f t="shared" si="166"/>
        <v>-1.0679999999999998</v>
      </c>
      <c r="I218" s="725">
        <f t="shared" si="166"/>
        <v>-2.0210000000000004</v>
      </c>
      <c r="J218" s="725">
        <f t="shared" si="166"/>
        <v>-64.03</v>
      </c>
      <c r="K218" s="725">
        <f t="shared" si="166"/>
        <v>-0.36399999999999999</v>
      </c>
      <c r="L218" s="725">
        <f t="shared" si="166"/>
        <v>-0.73699999999999999</v>
      </c>
      <c r="M218" s="725">
        <f t="shared" si="166"/>
        <v>-5.5339999999999998</v>
      </c>
      <c r="N218" s="725">
        <f t="shared" si="166"/>
        <v>-5.3919999999999995</v>
      </c>
      <c r="O218" s="725">
        <f t="shared" si="166"/>
        <v>-4.2910000000000004</v>
      </c>
      <c r="P218" s="725">
        <f t="shared" si="166"/>
        <v>-3.585</v>
      </c>
      <c r="Q218" s="725">
        <f t="shared" si="166"/>
        <v>-0.34999999999999931</v>
      </c>
      <c r="R218" s="725">
        <f t="shared" si="166"/>
        <v>-1.0100000000000002</v>
      </c>
      <c r="S218" s="725">
        <f t="shared" si="166"/>
        <v>-1.6739999999999999</v>
      </c>
      <c r="T218" s="725">
        <f t="shared" si="166"/>
        <v>-0.74500000000000011</v>
      </c>
      <c r="U218" s="725">
        <f t="shared" si="166"/>
        <v>-0.60399999999999998</v>
      </c>
      <c r="V218" s="725">
        <f t="shared" si="166"/>
        <v>-1.9180000000000001</v>
      </c>
      <c r="W218" s="725">
        <f t="shared" si="166"/>
        <v>-7.79</v>
      </c>
      <c r="X218" s="725">
        <f t="shared" si="166"/>
        <v>-3.3000000000000362E-2</v>
      </c>
      <c r="Y218" s="725">
        <f t="shared" si="166"/>
        <v>-0.76499999999999901</v>
      </c>
      <c r="Z218" s="725">
        <f t="shared" si="166"/>
        <v>-0.35000000000000081</v>
      </c>
      <c r="AA218" s="725">
        <f t="shared" si="166"/>
        <v>0</v>
      </c>
      <c r="AB218" s="725">
        <f t="shared" si="166"/>
        <v>0</v>
      </c>
      <c r="AC218" s="725">
        <f t="shared" si="166"/>
        <v>0</v>
      </c>
      <c r="AD218" s="725">
        <f t="shared" si="166"/>
        <v>-0.27800000000000002</v>
      </c>
      <c r="AE218" s="725">
        <f t="shared" si="166"/>
        <v>0</v>
      </c>
      <c r="AF218" s="779">
        <v>0</v>
      </c>
      <c r="AG218" s="878">
        <f>Drivers!AG55</f>
        <v>0</v>
      </c>
      <c r="AH218" s="878">
        <f>Drivers!AH55</f>
        <v>0</v>
      </c>
      <c r="AI218" s="878">
        <f>Drivers!AI55</f>
        <v>0</v>
      </c>
      <c r="AJ218" s="878">
        <f>Drivers!AJ55</f>
        <v>0</v>
      </c>
      <c r="AK218" s="878">
        <f>Drivers!AK55</f>
        <v>0</v>
      </c>
      <c r="AL218" s="878">
        <f>Drivers!AL55</f>
        <v>0</v>
      </c>
      <c r="AM218" s="878"/>
      <c r="AN218" s="726">
        <f t="shared" ref="AN218:AZ218" si="167">AN372+AN371+AN370+AN366+AN363</f>
        <v>17.466000000000001</v>
      </c>
      <c r="AO218" s="726">
        <f t="shared" si="167"/>
        <v>-9.8000000000000004E-2</v>
      </c>
      <c r="AP218" s="726">
        <f t="shared" si="167"/>
        <v>-1.2649999999999999</v>
      </c>
      <c r="AQ218" s="726">
        <f t="shared" si="167"/>
        <v>-3.8650000000000002</v>
      </c>
      <c r="AR218" s="726">
        <f t="shared" si="167"/>
        <v>-1.9480000000000002</v>
      </c>
      <c r="AS218" s="726">
        <f t="shared" si="167"/>
        <v>-67.439000000000007</v>
      </c>
      <c r="AT218" s="726">
        <f t="shared" si="167"/>
        <v>-12.026999999999999</v>
      </c>
      <c r="AU218" s="726">
        <f t="shared" si="167"/>
        <v>-9.2360000000000007</v>
      </c>
      <c r="AV218" s="726">
        <f t="shared" si="167"/>
        <v>-4.9409999999999998</v>
      </c>
      <c r="AW218" s="726">
        <f t="shared" si="167"/>
        <v>-8.9380000000000006</v>
      </c>
      <c r="AX218" s="925">
        <f t="shared" si="167"/>
        <v>-0.27800000000000002</v>
      </c>
      <c r="AY218" s="729">
        <f t="shared" si="167"/>
        <v>0</v>
      </c>
      <c r="AZ218" s="729">
        <f t="shared" si="167"/>
        <v>0</v>
      </c>
      <c r="BA218" s="878">
        <f>Drivers!BA55</f>
        <v>0</v>
      </c>
      <c r="BB218" s="878">
        <f>Drivers!BB55</f>
        <v>0</v>
      </c>
      <c r="BC218" s="878">
        <f>Drivers!BC55</f>
        <v>0</v>
      </c>
      <c r="BD218" s="74"/>
    </row>
    <row r="219" spans="1:56" s="50" customFormat="1" x14ac:dyDescent="0.25">
      <c r="A219" s="609" t="s">
        <v>465</v>
      </c>
      <c r="B219" s="610"/>
      <c r="C219" s="611"/>
      <c r="D219" s="611"/>
      <c r="E219" s="611"/>
      <c r="F219" s="611"/>
      <c r="G219" s="611"/>
      <c r="H219" s="611"/>
      <c r="I219" s="611"/>
      <c r="J219" s="611"/>
      <c r="K219" s="611"/>
      <c r="L219" s="611"/>
      <c r="M219" s="611"/>
      <c r="N219" s="611"/>
      <c r="O219" s="611"/>
      <c r="P219" s="611"/>
      <c r="Q219" s="611"/>
      <c r="R219" s="611"/>
      <c r="S219" s="611"/>
      <c r="T219" s="611"/>
      <c r="U219" s="611"/>
      <c r="V219" s="611"/>
      <c r="W219" s="611"/>
      <c r="X219" s="611"/>
      <c r="Y219" s="611"/>
      <c r="Z219" s="611"/>
      <c r="AA219" s="611"/>
      <c r="AB219" s="611"/>
      <c r="AC219" s="611"/>
      <c r="AD219" s="611"/>
      <c r="AE219" s="611"/>
      <c r="AF219" s="662">
        <v>7</v>
      </c>
      <c r="AG219" s="900">
        <f>Drivers!AG56</f>
        <v>8</v>
      </c>
      <c r="AH219" s="900">
        <f>Drivers!AH56</f>
        <v>8</v>
      </c>
      <c r="AI219" s="900">
        <f>Drivers!AI56</f>
        <v>9</v>
      </c>
      <c r="AJ219" s="900">
        <f>Drivers!AJ56</f>
        <v>9</v>
      </c>
      <c r="AK219" s="900">
        <f>Drivers!AK56</f>
        <v>9</v>
      </c>
      <c r="AL219" s="900">
        <f>Drivers!AL56</f>
        <v>9</v>
      </c>
      <c r="AM219" s="900"/>
      <c r="AN219" s="428"/>
      <c r="AO219" s="428"/>
      <c r="AP219" s="428"/>
      <c r="AQ219" s="428"/>
      <c r="AR219" s="428"/>
      <c r="AS219" s="428"/>
      <c r="AT219" s="428"/>
      <c r="AU219" s="428"/>
      <c r="AV219" s="428"/>
      <c r="AW219" s="428"/>
      <c r="AX219" s="950"/>
      <c r="AY219" s="366">
        <f>AVERAGE(AE219,AF219,AG219,AH219)</f>
        <v>7.666666666666667</v>
      </c>
      <c r="AZ219" s="366">
        <f>AVERAGE(AI219,AJ219,AK219,AL219)</f>
        <v>9</v>
      </c>
      <c r="BA219" s="900">
        <f>Drivers!BA56</f>
        <v>10</v>
      </c>
      <c r="BB219" s="900">
        <f>Drivers!BB56</f>
        <v>11</v>
      </c>
      <c r="BC219" s="900">
        <f>Drivers!BC56</f>
        <v>12</v>
      </c>
      <c r="BD219" s="74"/>
    </row>
    <row r="220" spans="1:56" s="47" customFormat="1" x14ac:dyDescent="0.25">
      <c r="A220" s="169"/>
      <c r="B220" s="188"/>
      <c r="C220" s="764"/>
      <c r="D220" s="764"/>
      <c r="E220" s="764"/>
      <c r="F220" s="764"/>
      <c r="G220" s="764"/>
      <c r="H220" s="764"/>
      <c r="I220" s="764"/>
      <c r="J220" s="764"/>
      <c r="K220" s="764"/>
      <c r="L220" s="764"/>
      <c r="M220" s="764"/>
      <c r="N220" s="764"/>
      <c r="O220" s="764"/>
      <c r="P220" s="764"/>
      <c r="Q220" s="780"/>
      <c r="R220" s="764"/>
      <c r="S220" s="764"/>
      <c r="T220" s="764"/>
      <c r="U220" s="780"/>
      <c r="V220" s="764"/>
      <c r="W220" s="764"/>
      <c r="X220" s="764"/>
      <c r="Y220" s="764"/>
      <c r="Z220" s="764"/>
      <c r="AA220" s="764"/>
      <c r="AB220" s="764"/>
      <c r="AC220" s="764"/>
      <c r="AD220" s="764"/>
      <c r="AE220" s="764"/>
      <c r="AF220" s="781"/>
      <c r="AG220" s="782"/>
      <c r="AH220" s="782"/>
      <c r="AI220" s="782"/>
      <c r="AJ220" s="782"/>
      <c r="AK220" s="782"/>
      <c r="AL220" s="782"/>
      <c r="AM220" s="782"/>
      <c r="AN220" s="765"/>
      <c r="AO220" s="765"/>
      <c r="AP220" s="765"/>
      <c r="AQ220" s="765"/>
      <c r="AR220" s="765"/>
      <c r="AS220" s="765"/>
      <c r="AT220" s="765"/>
      <c r="AU220" s="765"/>
      <c r="AV220" s="765"/>
      <c r="AW220" s="765"/>
      <c r="AX220" s="940"/>
      <c r="AY220" s="783"/>
      <c r="AZ220" s="783"/>
      <c r="BA220" s="783"/>
      <c r="BB220" s="783"/>
      <c r="BC220" s="783"/>
      <c r="BD220" s="635"/>
    </row>
    <row r="221" spans="1:56" s="39" customFormat="1" x14ac:dyDescent="0.25">
      <c r="A221" s="631" t="s">
        <v>137</v>
      </c>
      <c r="B221" s="171"/>
      <c r="C221" s="723">
        <f t="shared" ref="C221:AL221" si="168">C207+C210</f>
        <v>6.4850000000000003</v>
      </c>
      <c r="D221" s="723">
        <f t="shared" si="168"/>
        <v>6.82</v>
      </c>
      <c r="E221" s="723">
        <f t="shared" si="168"/>
        <v>6.881000000000002</v>
      </c>
      <c r="F221" s="723">
        <f t="shared" si="168"/>
        <v>7.1849999999999978</v>
      </c>
      <c r="G221" s="723">
        <f t="shared" si="168"/>
        <v>6.5440000000000005</v>
      </c>
      <c r="H221" s="723">
        <f t="shared" si="168"/>
        <v>10.850999999999997</v>
      </c>
      <c r="I221" s="723">
        <f t="shared" si="168"/>
        <v>9.8040000000000003</v>
      </c>
      <c r="J221" s="723">
        <f t="shared" si="168"/>
        <v>10.218</v>
      </c>
      <c r="K221" s="723">
        <f t="shared" si="168"/>
        <v>7.1160000000000005</v>
      </c>
      <c r="L221" s="723">
        <f t="shared" si="168"/>
        <v>7.5849999999999973</v>
      </c>
      <c r="M221" s="723">
        <f t="shared" si="168"/>
        <v>6.8060000000000018</v>
      </c>
      <c r="N221" s="723">
        <f t="shared" si="168"/>
        <v>8.1240000000000006</v>
      </c>
      <c r="O221" s="723">
        <f t="shared" si="168"/>
        <v>6.6449999999999987</v>
      </c>
      <c r="P221" s="723">
        <f t="shared" si="168"/>
        <v>7.5799999999999992</v>
      </c>
      <c r="Q221" s="724">
        <f t="shared" si="168"/>
        <v>6.0090000000000021</v>
      </c>
      <c r="R221" s="723">
        <f t="shared" si="168"/>
        <v>9.4629999999999992</v>
      </c>
      <c r="S221" s="723">
        <f t="shared" si="168"/>
        <v>6.3830000000000009</v>
      </c>
      <c r="T221" s="723">
        <f t="shared" si="168"/>
        <v>7.6609999999999996</v>
      </c>
      <c r="U221" s="724">
        <f t="shared" si="168"/>
        <v>6.1010000000000009</v>
      </c>
      <c r="V221" s="723">
        <f t="shared" si="168"/>
        <v>1.3669999999999995</v>
      </c>
      <c r="W221" s="723">
        <f t="shared" si="168"/>
        <v>2.8530000000000002</v>
      </c>
      <c r="X221" s="723">
        <f t="shared" si="168"/>
        <v>4.5199999999999996</v>
      </c>
      <c r="Y221" s="723">
        <f t="shared" si="168"/>
        <v>4.4000000000000012</v>
      </c>
      <c r="Z221" s="723">
        <f t="shared" si="168"/>
        <v>3.8979999999999997</v>
      </c>
      <c r="AA221" s="725">
        <f t="shared" si="168"/>
        <v>3.0700000000000003</v>
      </c>
      <c r="AB221" s="723">
        <f t="shared" si="168"/>
        <v>5.2989999999999995</v>
      </c>
      <c r="AC221" s="725">
        <f t="shared" si="168"/>
        <v>5.4160000000000004</v>
      </c>
      <c r="AD221" s="725">
        <f t="shared" si="168"/>
        <v>0.27700000000000058</v>
      </c>
      <c r="AE221" s="725">
        <f t="shared" si="168"/>
        <v>0.19400000000000001</v>
      </c>
      <c r="AF221" s="771">
        <f t="shared" si="168"/>
        <v>2.3384500000000044</v>
      </c>
      <c r="AG221" s="730">
        <f t="shared" si="168"/>
        <v>4.454369072240433</v>
      </c>
      <c r="AH221" s="730">
        <f t="shared" ca="1" si="168"/>
        <v>5.8204225574091772</v>
      </c>
      <c r="AI221" s="730">
        <f t="shared" ca="1" si="168"/>
        <v>4.1101685618610846</v>
      </c>
      <c r="AJ221" s="730">
        <f t="shared" ca="1" si="168"/>
        <v>4.5682749037227639</v>
      </c>
      <c r="AK221" s="730">
        <f t="shared" ca="1" si="168"/>
        <v>4.9265417082860612</v>
      </c>
      <c r="AL221" s="730">
        <f t="shared" ca="1" si="168"/>
        <v>7.4520775289139314</v>
      </c>
      <c r="AM221" s="730"/>
      <c r="AN221" s="722">
        <f t="shared" ref="AN221:BC221" si="169">AN207+AN210</f>
        <v>14.679000000000002</v>
      </c>
      <c r="AO221" s="722">
        <f t="shared" si="169"/>
        <v>17.193999999999999</v>
      </c>
      <c r="AP221" s="722">
        <f t="shared" si="169"/>
        <v>20.869999999999997</v>
      </c>
      <c r="AQ221" s="722">
        <f t="shared" si="169"/>
        <v>31.640999999999998</v>
      </c>
      <c r="AR221" s="722">
        <f t="shared" si="169"/>
        <v>27.371000000000009</v>
      </c>
      <c r="AS221" s="722">
        <f t="shared" si="169"/>
        <v>37.417000000000002</v>
      </c>
      <c r="AT221" s="722">
        <f t="shared" si="169"/>
        <v>29.630999999999997</v>
      </c>
      <c r="AU221" s="722">
        <f t="shared" si="169"/>
        <v>29.696999999999999</v>
      </c>
      <c r="AV221" s="722">
        <f t="shared" si="169"/>
        <v>21.512</v>
      </c>
      <c r="AW221" s="722">
        <f t="shared" si="169"/>
        <v>15.671000000000003</v>
      </c>
      <c r="AX221" s="925">
        <f t="shared" si="169"/>
        <v>14.062000000000003</v>
      </c>
      <c r="AY221" s="729">
        <f t="shared" ca="1" si="169"/>
        <v>12.807241629649615</v>
      </c>
      <c r="AZ221" s="729">
        <f t="shared" ca="1" si="169"/>
        <v>21.057062702783842</v>
      </c>
      <c r="BA221" s="729">
        <f t="shared" ca="1" si="169"/>
        <v>28.803744567509394</v>
      </c>
      <c r="BB221" s="729">
        <f t="shared" ca="1" si="169"/>
        <v>36.365778345723974</v>
      </c>
      <c r="BC221" s="729">
        <f t="shared" ca="1" si="169"/>
        <v>38.006890438325833</v>
      </c>
      <c r="BD221" s="631"/>
    </row>
    <row r="222" spans="1:56" s="39" customFormat="1" x14ac:dyDescent="0.25">
      <c r="A222" s="631" t="s">
        <v>138</v>
      </c>
      <c r="B222" s="171"/>
      <c r="C222" s="723">
        <f t="shared" ref="C222:AL222" si="170">C221+C214</f>
        <v>6.4850000000000003</v>
      </c>
      <c r="D222" s="723">
        <f t="shared" si="170"/>
        <v>6.82</v>
      </c>
      <c r="E222" s="723">
        <f t="shared" si="170"/>
        <v>6.881000000000002</v>
      </c>
      <c r="F222" s="723">
        <f t="shared" si="170"/>
        <v>7.1849999999999978</v>
      </c>
      <c r="G222" s="723">
        <f t="shared" si="170"/>
        <v>6.5440000000000005</v>
      </c>
      <c r="H222" s="723">
        <f t="shared" si="170"/>
        <v>10.850999999999997</v>
      </c>
      <c r="I222" s="723">
        <f t="shared" si="170"/>
        <v>9.8040000000000003</v>
      </c>
      <c r="J222" s="723">
        <f t="shared" si="170"/>
        <v>10.218</v>
      </c>
      <c r="K222" s="723">
        <f t="shared" si="170"/>
        <v>7.1160000000000005</v>
      </c>
      <c r="L222" s="723">
        <f t="shared" si="170"/>
        <v>7.5849999999999973</v>
      </c>
      <c r="M222" s="723">
        <f t="shared" si="170"/>
        <v>6.8060000000000018</v>
      </c>
      <c r="N222" s="723">
        <f t="shared" si="170"/>
        <v>8.1240000000000006</v>
      </c>
      <c r="O222" s="723">
        <f t="shared" si="170"/>
        <v>6.6449999999999987</v>
      </c>
      <c r="P222" s="723">
        <f t="shared" si="170"/>
        <v>7.5799999999999992</v>
      </c>
      <c r="Q222" s="724">
        <f t="shared" si="170"/>
        <v>6.0090000000000021</v>
      </c>
      <c r="R222" s="723">
        <f t="shared" si="170"/>
        <v>9.4629999999999992</v>
      </c>
      <c r="S222" s="723">
        <f t="shared" si="170"/>
        <v>6.3830000000000009</v>
      </c>
      <c r="T222" s="723">
        <f t="shared" si="170"/>
        <v>7.6609999999999996</v>
      </c>
      <c r="U222" s="724">
        <f t="shared" si="170"/>
        <v>6.1010000000000009</v>
      </c>
      <c r="V222" s="723">
        <f t="shared" si="170"/>
        <v>1.3669999999999995</v>
      </c>
      <c r="W222" s="723">
        <f t="shared" si="170"/>
        <v>2.8530000000000002</v>
      </c>
      <c r="X222" s="723">
        <f t="shared" si="170"/>
        <v>4.5199999999999996</v>
      </c>
      <c r="Y222" s="723">
        <f t="shared" si="170"/>
        <v>4.4000000000000012</v>
      </c>
      <c r="Z222" s="723">
        <f t="shared" si="170"/>
        <v>3.8979999999999997</v>
      </c>
      <c r="AA222" s="725">
        <f t="shared" si="170"/>
        <v>3.0700000000000003</v>
      </c>
      <c r="AB222" s="723">
        <f t="shared" si="170"/>
        <v>5.2989999999999995</v>
      </c>
      <c r="AC222" s="725">
        <f t="shared" si="170"/>
        <v>5.4160000000000004</v>
      </c>
      <c r="AD222" s="725">
        <f t="shared" si="170"/>
        <v>0.27700000000000058</v>
      </c>
      <c r="AE222" s="725">
        <f t="shared" si="170"/>
        <v>0.19400000000000001</v>
      </c>
      <c r="AF222" s="771">
        <f t="shared" si="170"/>
        <v>2.3384500000000044</v>
      </c>
      <c r="AG222" s="730">
        <f t="shared" ca="1" si="170"/>
        <v>4.454369072240433</v>
      </c>
      <c r="AH222" s="730">
        <f t="shared" ca="1" si="170"/>
        <v>5.8204225574091772</v>
      </c>
      <c r="AI222" s="730">
        <f t="shared" ca="1" si="170"/>
        <v>4.1101685618610846</v>
      </c>
      <c r="AJ222" s="730">
        <f t="shared" ca="1" si="170"/>
        <v>4.5682749037227639</v>
      </c>
      <c r="AK222" s="730">
        <f t="shared" ca="1" si="170"/>
        <v>4.9265417082860612</v>
      </c>
      <c r="AL222" s="730">
        <f t="shared" ca="1" si="170"/>
        <v>7.4520775289139314</v>
      </c>
      <c r="AM222" s="730"/>
      <c r="AN222" s="722">
        <f t="shared" ref="AN222:BC222" si="171">AN221+AN214</f>
        <v>14.679000000000002</v>
      </c>
      <c r="AO222" s="722">
        <f t="shared" si="171"/>
        <v>17.193999999999999</v>
      </c>
      <c r="AP222" s="722">
        <f t="shared" si="171"/>
        <v>20.869999999999997</v>
      </c>
      <c r="AQ222" s="722">
        <f t="shared" si="171"/>
        <v>31.640999999999998</v>
      </c>
      <c r="AR222" s="722">
        <f t="shared" si="171"/>
        <v>27.371000000000009</v>
      </c>
      <c r="AS222" s="722">
        <f t="shared" si="171"/>
        <v>37.417000000000002</v>
      </c>
      <c r="AT222" s="722">
        <f t="shared" si="171"/>
        <v>29.630999999999997</v>
      </c>
      <c r="AU222" s="722">
        <f t="shared" si="171"/>
        <v>29.696999999999999</v>
      </c>
      <c r="AV222" s="722">
        <f t="shared" si="171"/>
        <v>21.512</v>
      </c>
      <c r="AW222" s="722">
        <f t="shared" si="171"/>
        <v>15.671000000000003</v>
      </c>
      <c r="AX222" s="925">
        <f t="shared" si="171"/>
        <v>14.062000000000003</v>
      </c>
      <c r="AY222" s="729">
        <f t="shared" ca="1" si="171"/>
        <v>12.807241629649615</v>
      </c>
      <c r="AZ222" s="729">
        <f t="shared" ca="1" si="171"/>
        <v>21.057062702783842</v>
      </c>
      <c r="BA222" s="729">
        <f t="shared" ca="1" si="171"/>
        <v>28.803744567509394</v>
      </c>
      <c r="BB222" s="729">
        <f t="shared" ca="1" si="171"/>
        <v>36.365778345723974</v>
      </c>
      <c r="BC222" s="729">
        <f t="shared" ca="1" si="171"/>
        <v>38.006890438325833</v>
      </c>
      <c r="BD222" s="631"/>
    </row>
    <row r="223" spans="1:56" s="39" customFormat="1" x14ac:dyDescent="0.25">
      <c r="A223" s="631" t="s">
        <v>139</v>
      </c>
      <c r="B223" s="171"/>
      <c r="C223" s="723">
        <f t="shared" ref="C223:AL223" si="172">C222+C212+C213</f>
        <v>6.4850000000000003</v>
      </c>
      <c r="D223" s="723">
        <f t="shared" si="172"/>
        <v>-6.7039999999999988</v>
      </c>
      <c r="E223" s="723">
        <f t="shared" si="172"/>
        <v>6.881000000000002</v>
      </c>
      <c r="F223" s="723">
        <f t="shared" si="172"/>
        <v>7.2039999999999962</v>
      </c>
      <c r="G223" s="723">
        <f t="shared" si="172"/>
        <v>6.5440000000000005</v>
      </c>
      <c r="H223" s="723">
        <f t="shared" si="172"/>
        <v>2.1849999999999969</v>
      </c>
      <c r="I223" s="723">
        <f t="shared" si="172"/>
        <v>9.8040000000000003</v>
      </c>
      <c r="J223" s="723">
        <f t="shared" si="172"/>
        <v>10.214</v>
      </c>
      <c r="K223" s="723">
        <f t="shared" si="172"/>
        <v>7.1160000000000005</v>
      </c>
      <c r="L223" s="723">
        <f t="shared" si="172"/>
        <v>7.5849999999999973</v>
      </c>
      <c r="M223" s="723">
        <f t="shared" si="172"/>
        <v>6.8060000000000018</v>
      </c>
      <c r="N223" s="723">
        <f t="shared" si="172"/>
        <v>8.1240000000000006</v>
      </c>
      <c r="O223" s="723">
        <f t="shared" si="172"/>
        <v>4.3149999999999986</v>
      </c>
      <c r="P223" s="723">
        <f t="shared" si="172"/>
        <v>7.5799999999999992</v>
      </c>
      <c r="Q223" s="724">
        <f t="shared" si="172"/>
        <v>6.1780000000000026</v>
      </c>
      <c r="R223" s="723">
        <f t="shared" si="172"/>
        <v>3.222999999999999</v>
      </c>
      <c r="S223" s="723">
        <f t="shared" si="172"/>
        <v>3.1900000000000008</v>
      </c>
      <c r="T223" s="723">
        <f t="shared" si="172"/>
        <v>4.4699999999999989</v>
      </c>
      <c r="U223" s="724">
        <f t="shared" si="172"/>
        <v>1.3730000000000011</v>
      </c>
      <c r="V223" s="723">
        <f t="shared" si="172"/>
        <v>1.367999999999999</v>
      </c>
      <c r="W223" s="723">
        <f t="shared" si="172"/>
        <v>-7.1470000000000002</v>
      </c>
      <c r="X223" s="723">
        <f t="shared" si="172"/>
        <v>-25.437000000000001</v>
      </c>
      <c r="Y223" s="723">
        <f t="shared" si="172"/>
        <v>1.4850000000000021</v>
      </c>
      <c r="Z223" s="723">
        <f t="shared" si="172"/>
        <v>-8.52</v>
      </c>
      <c r="AA223" s="725">
        <f t="shared" si="172"/>
        <v>3.0700000000000003</v>
      </c>
      <c r="AB223" s="723">
        <f t="shared" si="172"/>
        <v>5.2989999999999995</v>
      </c>
      <c r="AC223" s="725">
        <f t="shared" si="172"/>
        <v>6.266</v>
      </c>
      <c r="AD223" s="725">
        <f t="shared" si="172"/>
        <v>20.324999999999999</v>
      </c>
      <c r="AE223" s="725">
        <f t="shared" si="172"/>
        <v>3.5219999999999998</v>
      </c>
      <c r="AF223" s="771">
        <f t="shared" si="172"/>
        <v>2.3384500000000044</v>
      </c>
      <c r="AG223" s="730">
        <f t="shared" ca="1" si="172"/>
        <v>4.454369072240433</v>
      </c>
      <c r="AH223" s="730">
        <f t="shared" ca="1" si="172"/>
        <v>5.8204225574091772</v>
      </c>
      <c r="AI223" s="730">
        <f t="shared" ca="1" si="172"/>
        <v>4.1101685618610846</v>
      </c>
      <c r="AJ223" s="730">
        <f t="shared" ca="1" si="172"/>
        <v>4.5682749037227639</v>
      </c>
      <c r="AK223" s="730">
        <f t="shared" ca="1" si="172"/>
        <v>4.9265417082860612</v>
      </c>
      <c r="AL223" s="730">
        <f t="shared" ca="1" si="172"/>
        <v>7.4520775289139314</v>
      </c>
      <c r="AM223" s="730"/>
      <c r="AN223" s="722">
        <f t="shared" ref="AN223:BC223" si="173">AN222+AN212+AN213</f>
        <v>-6.0939999999999976</v>
      </c>
      <c r="AO223" s="722">
        <f t="shared" si="173"/>
        <v>12.072999999999999</v>
      </c>
      <c r="AP223" s="722">
        <f t="shared" si="173"/>
        <v>-15.207000000000001</v>
      </c>
      <c r="AQ223" s="722">
        <f t="shared" si="173"/>
        <v>19.457000000000001</v>
      </c>
      <c r="AR223" s="722">
        <f t="shared" si="173"/>
        <v>13.866000000000009</v>
      </c>
      <c r="AS223" s="722">
        <f t="shared" si="173"/>
        <v>28.747</v>
      </c>
      <c r="AT223" s="722">
        <f t="shared" si="173"/>
        <v>29.630999999999997</v>
      </c>
      <c r="AU223" s="722">
        <f t="shared" si="173"/>
        <v>21.295999999999999</v>
      </c>
      <c r="AV223" s="722">
        <f t="shared" si="173"/>
        <v>10.401</v>
      </c>
      <c r="AW223" s="722">
        <f t="shared" si="173"/>
        <v>-39.619</v>
      </c>
      <c r="AX223" s="925">
        <f t="shared" si="173"/>
        <v>34.96</v>
      </c>
      <c r="AY223" s="729">
        <f t="shared" ca="1" si="173"/>
        <v>16.135241629649617</v>
      </c>
      <c r="AZ223" s="729">
        <f t="shared" ca="1" si="173"/>
        <v>21.057062702783842</v>
      </c>
      <c r="BA223" s="729">
        <f t="shared" ca="1" si="173"/>
        <v>28.803744567509394</v>
      </c>
      <c r="BB223" s="729">
        <f t="shared" ca="1" si="173"/>
        <v>36.365778345723974</v>
      </c>
      <c r="BC223" s="729">
        <f t="shared" ca="1" si="173"/>
        <v>38.006890438325833</v>
      </c>
      <c r="BD223" s="631"/>
    </row>
    <row r="224" spans="1:56" s="39" customFormat="1" x14ac:dyDescent="0.25">
      <c r="A224" s="632" t="s">
        <v>466</v>
      </c>
      <c r="B224" s="187"/>
      <c r="C224" s="740">
        <f t="shared" ref="C224:AL224" si="174">C223+C217+C218</f>
        <v>6.0340000000000007</v>
      </c>
      <c r="D224" s="740">
        <f t="shared" si="174"/>
        <v>6.6000000000000725E-2</v>
      </c>
      <c r="E224" s="740">
        <f t="shared" si="174"/>
        <v>4.235000000000003</v>
      </c>
      <c r="F224" s="740">
        <f t="shared" si="174"/>
        <v>1.9899999999999958</v>
      </c>
      <c r="G224" s="740">
        <f t="shared" si="174"/>
        <v>8.5940000000000012</v>
      </c>
      <c r="H224" s="740">
        <f t="shared" si="174"/>
        <v>16.110999999999994</v>
      </c>
      <c r="I224" s="740">
        <f t="shared" si="174"/>
        <v>-5.1080000000000023</v>
      </c>
      <c r="J224" s="740">
        <f t="shared" si="174"/>
        <v>-0.12000000000000455</v>
      </c>
      <c r="K224" s="740">
        <f t="shared" si="174"/>
        <v>4.1540000000000008</v>
      </c>
      <c r="L224" s="740">
        <f t="shared" si="174"/>
        <v>10.778999999999996</v>
      </c>
      <c r="M224" s="740">
        <f t="shared" si="174"/>
        <v>2.0470000000000033</v>
      </c>
      <c r="N224" s="740">
        <f t="shared" si="174"/>
        <v>0.57600000000000051</v>
      </c>
      <c r="O224" s="740">
        <f t="shared" si="174"/>
        <v>-4.3010000000000019</v>
      </c>
      <c r="P224" s="740">
        <f t="shared" si="174"/>
        <v>10.239000000000001</v>
      </c>
      <c r="Q224" s="754">
        <f t="shared" si="174"/>
        <v>4.674000000000003</v>
      </c>
      <c r="R224" s="740">
        <f t="shared" si="174"/>
        <v>0.87700000000000022</v>
      </c>
      <c r="S224" s="740">
        <f t="shared" si="174"/>
        <v>4.3360000000000021</v>
      </c>
      <c r="T224" s="740">
        <f t="shared" si="174"/>
        <v>1.1579999999999986</v>
      </c>
      <c r="U224" s="754">
        <f t="shared" si="174"/>
        <v>0.79100000000000137</v>
      </c>
      <c r="V224" s="740">
        <f t="shared" si="174"/>
        <v>6.5649999999999986</v>
      </c>
      <c r="W224" s="740">
        <f t="shared" si="174"/>
        <v>-11.914999999999999</v>
      </c>
      <c r="X224" s="740">
        <f t="shared" si="174"/>
        <v>7.7049999999999956</v>
      </c>
      <c r="Y224" s="740">
        <f t="shared" si="174"/>
        <v>4.9330000000000043</v>
      </c>
      <c r="Z224" s="740">
        <f t="shared" si="174"/>
        <v>0.41200000000000497</v>
      </c>
      <c r="AA224" s="757">
        <f t="shared" si="174"/>
        <v>3.107999999999997</v>
      </c>
      <c r="AB224" s="740">
        <f t="shared" si="174"/>
        <v>8.4109999999999943</v>
      </c>
      <c r="AC224" s="757">
        <f t="shared" si="174"/>
        <v>-0.23399999999999999</v>
      </c>
      <c r="AD224" s="757">
        <f t="shared" si="174"/>
        <v>-10.535999999999989</v>
      </c>
      <c r="AE224" s="757">
        <f t="shared" si="174"/>
        <v>-4.511000000000001</v>
      </c>
      <c r="AF224" s="758">
        <f t="shared" si="174"/>
        <v>2.3384500000000044</v>
      </c>
      <c r="AG224" s="759">
        <f t="shared" ca="1" si="174"/>
        <v>4.454369072240433</v>
      </c>
      <c r="AH224" s="759">
        <f t="shared" ca="1" si="174"/>
        <v>5.8204225574091772</v>
      </c>
      <c r="AI224" s="759">
        <f t="shared" ca="1" si="174"/>
        <v>4.1101685618610846</v>
      </c>
      <c r="AJ224" s="759">
        <f t="shared" ca="1" si="174"/>
        <v>4.5682749037227639</v>
      </c>
      <c r="AK224" s="759">
        <f t="shared" ca="1" si="174"/>
        <v>4.9265417082860612</v>
      </c>
      <c r="AL224" s="759">
        <f t="shared" ca="1" si="174"/>
        <v>7.4520775289139314</v>
      </c>
      <c r="AM224" s="759"/>
      <c r="AN224" s="739">
        <f t="shared" ref="AN224:BC224" si="175">AN223+AN217+AN218</f>
        <v>8.1380000000000035</v>
      </c>
      <c r="AO224" s="739">
        <f t="shared" si="175"/>
        <v>11.974999999999998</v>
      </c>
      <c r="AP224" s="739">
        <f t="shared" si="175"/>
        <v>-16.472000000000001</v>
      </c>
      <c r="AQ224" s="739">
        <f t="shared" si="175"/>
        <v>15.592000000000001</v>
      </c>
      <c r="AR224" s="739">
        <f t="shared" si="175"/>
        <v>12.325000000000008</v>
      </c>
      <c r="AS224" s="739">
        <f t="shared" si="175"/>
        <v>19.47699999999999</v>
      </c>
      <c r="AT224" s="739">
        <f t="shared" si="175"/>
        <v>17.555999999999997</v>
      </c>
      <c r="AU224" s="739">
        <f t="shared" si="175"/>
        <v>11.489000000000001</v>
      </c>
      <c r="AV224" s="739">
        <f t="shared" si="175"/>
        <v>12.850000000000001</v>
      </c>
      <c r="AW224" s="739">
        <f t="shared" si="175"/>
        <v>1.1349999999999998</v>
      </c>
      <c r="AX224" s="947">
        <f t="shared" si="175"/>
        <v>0.7490000000000081</v>
      </c>
      <c r="AY224" s="760">
        <f t="shared" ca="1" si="175"/>
        <v>8.1022416296496154</v>
      </c>
      <c r="AZ224" s="760">
        <f t="shared" ca="1" si="175"/>
        <v>21.057062702783842</v>
      </c>
      <c r="BA224" s="760">
        <f t="shared" ca="1" si="175"/>
        <v>28.803744567509394</v>
      </c>
      <c r="BB224" s="760">
        <f t="shared" ca="1" si="175"/>
        <v>36.365778345723974</v>
      </c>
      <c r="BC224" s="760">
        <f t="shared" ca="1" si="175"/>
        <v>38.006890438325833</v>
      </c>
      <c r="BD224" s="631"/>
    </row>
    <row r="225" spans="1:56" s="39" customFormat="1" x14ac:dyDescent="0.25">
      <c r="A225" s="631"/>
      <c r="B225" s="171"/>
      <c r="C225" s="723"/>
      <c r="D225" s="723"/>
      <c r="E225" s="723"/>
      <c r="F225" s="723"/>
      <c r="G225" s="723"/>
      <c r="H225" s="723"/>
      <c r="I225" s="723"/>
      <c r="J225" s="723"/>
      <c r="K225" s="723"/>
      <c r="L225" s="723"/>
      <c r="M225" s="723"/>
      <c r="N225" s="723"/>
      <c r="O225" s="723"/>
      <c r="P225" s="723"/>
      <c r="Q225" s="724"/>
      <c r="R225" s="723"/>
      <c r="S225" s="723"/>
      <c r="T225" s="723"/>
      <c r="U225" s="724"/>
      <c r="V225" s="723"/>
      <c r="W225" s="723"/>
      <c r="X225" s="723"/>
      <c r="Y225" s="724"/>
      <c r="Z225" s="723"/>
      <c r="AA225" s="723"/>
      <c r="AB225" s="723"/>
      <c r="AC225" s="723"/>
      <c r="AD225" s="723"/>
      <c r="AE225" s="723"/>
      <c r="AF225" s="727"/>
      <c r="AG225" s="737"/>
      <c r="AH225" s="737"/>
      <c r="AI225" s="737"/>
      <c r="AJ225" s="737"/>
      <c r="AK225" s="737"/>
      <c r="AL225" s="737"/>
      <c r="AM225" s="737"/>
      <c r="AN225" s="722"/>
      <c r="AO225" s="722"/>
      <c r="AP225" s="722"/>
      <c r="AQ225" s="722"/>
      <c r="AR225" s="722"/>
      <c r="AS225" s="722"/>
      <c r="AT225" s="722"/>
      <c r="AU225" s="722"/>
      <c r="AV225" s="722"/>
      <c r="AW225" s="722"/>
      <c r="AX225" s="927"/>
      <c r="AY225" s="738"/>
      <c r="AZ225" s="738"/>
      <c r="BA225" s="738"/>
      <c r="BB225" s="738"/>
      <c r="BC225" s="738"/>
      <c r="BD225" s="631"/>
    </row>
    <row r="226" spans="1:56" s="38" customFormat="1" x14ac:dyDescent="0.25">
      <c r="A226" s="626" t="s">
        <v>140</v>
      </c>
      <c r="B226" s="626"/>
      <c r="C226" s="719"/>
      <c r="D226" s="719"/>
      <c r="E226" s="719"/>
      <c r="F226" s="719"/>
      <c r="G226" s="719"/>
      <c r="H226" s="719"/>
      <c r="I226" s="719"/>
      <c r="J226" s="719"/>
      <c r="K226" s="719"/>
      <c r="L226" s="719"/>
      <c r="M226" s="719"/>
      <c r="N226" s="719"/>
      <c r="O226" s="719"/>
      <c r="P226" s="719"/>
      <c r="Q226" s="719"/>
      <c r="R226" s="719"/>
      <c r="S226" s="719"/>
      <c r="T226" s="719"/>
      <c r="U226" s="719"/>
      <c r="V226" s="719"/>
      <c r="W226" s="719"/>
      <c r="X226" s="719"/>
      <c r="Y226" s="719"/>
      <c r="Z226" s="719"/>
      <c r="AA226" s="719"/>
      <c r="AB226" s="719"/>
      <c r="AC226" s="719"/>
      <c r="AD226" s="719"/>
      <c r="AE226" s="719"/>
      <c r="AF226" s="720"/>
      <c r="AG226" s="721"/>
      <c r="AH226" s="721"/>
      <c r="AI226" s="721"/>
      <c r="AJ226" s="721"/>
      <c r="AK226" s="721"/>
      <c r="AL226" s="721"/>
      <c r="AM226" s="721"/>
      <c r="AN226" s="719"/>
      <c r="AO226" s="719"/>
      <c r="AP226" s="719"/>
      <c r="AQ226" s="719"/>
      <c r="AR226" s="719"/>
      <c r="AS226" s="719"/>
      <c r="AT226" s="719"/>
      <c r="AU226" s="719"/>
      <c r="AV226" s="719"/>
      <c r="AW226" s="719"/>
      <c r="AX226" s="720"/>
      <c r="AY226" s="721"/>
      <c r="AZ226" s="721"/>
      <c r="BA226" s="721"/>
      <c r="BB226" s="721"/>
      <c r="BC226" s="721"/>
      <c r="BD226" s="632"/>
    </row>
    <row r="227" spans="1:56" s="39" customFormat="1" x14ac:dyDescent="0.25">
      <c r="A227" s="631" t="s">
        <v>141</v>
      </c>
      <c r="B227" s="171"/>
      <c r="C227" s="723">
        <f t="shared" ref="C227:AL227" si="176">C398</f>
        <v>11.047000000000001</v>
      </c>
      <c r="D227" s="723">
        <f t="shared" si="176"/>
        <v>5.1920000000000002</v>
      </c>
      <c r="E227" s="723">
        <f t="shared" si="176"/>
        <v>4.3730000000000002</v>
      </c>
      <c r="F227" s="723">
        <f t="shared" si="176"/>
        <v>5.6470000000000002</v>
      </c>
      <c r="G227" s="723">
        <f t="shared" si="176"/>
        <v>5.2270000000000003</v>
      </c>
      <c r="H227" s="723">
        <f t="shared" si="176"/>
        <v>6.0259999999999998</v>
      </c>
      <c r="I227" s="723">
        <f t="shared" si="176"/>
        <v>9.1180000000000003</v>
      </c>
      <c r="J227" s="723">
        <f t="shared" si="176"/>
        <v>14.541</v>
      </c>
      <c r="K227" s="723">
        <f t="shared" si="176"/>
        <v>12.135</v>
      </c>
      <c r="L227" s="723">
        <f t="shared" si="176"/>
        <v>12.34</v>
      </c>
      <c r="M227" s="723">
        <f t="shared" si="176"/>
        <v>13.631</v>
      </c>
      <c r="N227" s="723">
        <f t="shared" si="176"/>
        <v>21.03</v>
      </c>
      <c r="O227" s="723">
        <f t="shared" si="176"/>
        <v>16.47</v>
      </c>
      <c r="P227" s="723">
        <f t="shared" si="176"/>
        <v>14.86</v>
      </c>
      <c r="Q227" s="724">
        <f t="shared" si="176"/>
        <v>15.695</v>
      </c>
      <c r="R227" s="723">
        <f t="shared" si="176"/>
        <v>16.346</v>
      </c>
      <c r="S227" s="723">
        <f t="shared" si="176"/>
        <v>15.452</v>
      </c>
      <c r="T227" s="723">
        <f t="shared" si="176"/>
        <v>23.713999999999999</v>
      </c>
      <c r="U227" s="724">
        <f t="shared" si="176"/>
        <v>18.02</v>
      </c>
      <c r="V227" s="725">
        <f t="shared" si="176"/>
        <v>23.611999999999998</v>
      </c>
      <c r="W227" s="723">
        <f t="shared" si="176"/>
        <v>16.945</v>
      </c>
      <c r="X227" s="723">
        <f t="shared" si="176"/>
        <v>14.134</v>
      </c>
      <c r="Y227" s="724">
        <f t="shared" si="176"/>
        <v>10.323</v>
      </c>
      <c r="Z227" s="725">
        <f t="shared" si="176"/>
        <v>13.417</v>
      </c>
      <c r="AA227" s="723">
        <f t="shared" si="176"/>
        <v>8.4269999999999996</v>
      </c>
      <c r="AB227" s="723">
        <f t="shared" si="176"/>
        <v>6.1109999999999998</v>
      </c>
      <c r="AC227" s="724">
        <f t="shared" si="176"/>
        <v>7.7389999999999999</v>
      </c>
      <c r="AD227" s="725">
        <f t="shared" si="176"/>
        <v>8.1590000000000007</v>
      </c>
      <c r="AE227" s="723">
        <f t="shared" si="176"/>
        <v>9.0250000000000004</v>
      </c>
      <c r="AF227" s="727">
        <f t="shared" si="176"/>
        <v>12.097</v>
      </c>
      <c r="AG227" s="730">
        <f t="shared" ca="1" si="176"/>
        <v>10.89746852890833</v>
      </c>
      <c r="AH227" s="730">
        <f t="shared" ca="1" si="176"/>
        <v>19.621465831161704</v>
      </c>
      <c r="AI227" s="730">
        <f t="shared" ca="1" si="176"/>
        <v>14.278098288899596</v>
      </c>
      <c r="AJ227" s="730">
        <f t="shared" ca="1" si="176"/>
        <v>28.908349917226953</v>
      </c>
      <c r="AK227" s="730">
        <f t="shared" ca="1" si="176"/>
        <v>25.954825680337841</v>
      </c>
      <c r="AL227" s="730">
        <f t="shared" ca="1" si="176"/>
        <v>34.391001674894277</v>
      </c>
      <c r="AM227" s="730"/>
      <c r="AN227" s="722">
        <f t="shared" ref="AN227:BC227" si="177">AN398</f>
        <v>10.803000000000001</v>
      </c>
      <c r="AO227" s="722">
        <f t="shared" si="177"/>
        <v>28.902000000000001</v>
      </c>
      <c r="AP227" s="722">
        <f t="shared" si="177"/>
        <v>4.1509999999999998</v>
      </c>
      <c r="AQ227" s="722">
        <f t="shared" si="177"/>
        <v>7.7610000000000001</v>
      </c>
      <c r="AR227" s="722">
        <f t="shared" si="177"/>
        <v>5.6470000000000002</v>
      </c>
      <c r="AS227" s="722">
        <f t="shared" si="177"/>
        <v>14.541</v>
      </c>
      <c r="AT227" s="722">
        <f t="shared" si="177"/>
        <v>21.03</v>
      </c>
      <c r="AU227" s="722">
        <f t="shared" si="177"/>
        <v>16.346</v>
      </c>
      <c r="AV227" s="726">
        <f t="shared" si="177"/>
        <v>23.611999999999998</v>
      </c>
      <c r="AW227" s="726">
        <f t="shared" si="177"/>
        <v>13.417</v>
      </c>
      <c r="AX227" s="925">
        <f t="shared" si="177"/>
        <v>8.1590000000000007</v>
      </c>
      <c r="AY227" s="729">
        <f t="shared" ca="1" si="177"/>
        <v>19.621465831161704</v>
      </c>
      <c r="AZ227" s="729">
        <f t="shared" ca="1" si="177"/>
        <v>34.391001674894277</v>
      </c>
      <c r="BA227" s="729">
        <f t="shared" ca="1" si="177"/>
        <v>53.42996097664976</v>
      </c>
      <c r="BB227" s="729">
        <f t="shared" ca="1" si="177"/>
        <v>79.0544755300444</v>
      </c>
      <c r="BC227" s="729">
        <f t="shared" ca="1" si="177"/>
        <v>111.15367088258914</v>
      </c>
      <c r="BD227" s="631"/>
    </row>
    <row r="228" spans="1:56" s="39" customFormat="1" x14ac:dyDescent="0.25">
      <c r="A228" s="75" t="s">
        <v>459</v>
      </c>
      <c r="B228" s="171"/>
      <c r="C228" s="723">
        <f t="shared" ref="C228:AF228" si="178">C419+C420</f>
        <v>0</v>
      </c>
      <c r="D228" s="723">
        <f t="shared" si="178"/>
        <v>6.77</v>
      </c>
      <c r="E228" s="723">
        <f t="shared" si="178"/>
        <v>4.82</v>
      </c>
      <c r="F228" s="723">
        <f t="shared" si="178"/>
        <v>0.40699999999999997</v>
      </c>
      <c r="G228" s="723">
        <f t="shared" si="178"/>
        <v>2.7770000000000001</v>
      </c>
      <c r="H228" s="723">
        <f t="shared" si="178"/>
        <v>17.771000000000001</v>
      </c>
      <c r="I228" s="723">
        <f t="shared" si="178"/>
        <v>4.88</v>
      </c>
      <c r="J228" s="723">
        <f t="shared" si="178"/>
        <v>34.131999999999998</v>
      </c>
      <c r="K228" s="723">
        <f t="shared" si="178"/>
        <v>34.866999999999997</v>
      </c>
      <c r="L228" s="723">
        <f t="shared" si="178"/>
        <v>42.131</v>
      </c>
      <c r="M228" s="723">
        <f t="shared" si="178"/>
        <v>46.239999999999995</v>
      </c>
      <c r="N228" s="723">
        <f t="shared" si="178"/>
        <v>47.417000000000002</v>
      </c>
      <c r="O228" s="723">
        <f t="shared" si="178"/>
        <v>46.424999999999997</v>
      </c>
      <c r="P228" s="723">
        <f t="shared" si="178"/>
        <v>55.814999999999998</v>
      </c>
      <c r="Q228" s="724">
        <f t="shared" si="178"/>
        <v>58.181999999999995</v>
      </c>
      <c r="R228" s="723">
        <f t="shared" si="178"/>
        <v>29.693999999999999</v>
      </c>
      <c r="S228" s="723">
        <f t="shared" si="178"/>
        <v>35.528999999999996</v>
      </c>
      <c r="T228" s="723">
        <f t="shared" si="178"/>
        <v>36.483000000000004</v>
      </c>
      <c r="U228" s="724">
        <f t="shared" si="178"/>
        <v>39.506</v>
      </c>
      <c r="V228" s="725">
        <f t="shared" si="178"/>
        <v>49.695999999999998</v>
      </c>
      <c r="W228" s="723">
        <f t="shared" si="178"/>
        <v>55.706000000000003</v>
      </c>
      <c r="X228" s="723">
        <f t="shared" si="178"/>
        <v>73.823000000000008</v>
      </c>
      <c r="Y228" s="724">
        <f t="shared" si="178"/>
        <v>81.043999999999997</v>
      </c>
      <c r="Z228" s="725">
        <f t="shared" si="178"/>
        <v>0</v>
      </c>
      <c r="AA228" s="723">
        <f t="shared" si="178"/>
        <v>0</v>
      </c>
      <c r="AB228" s="723">
        <f t="shared" si="178"/>
        <v>0</v>
      </c>
      <c r="AC228" s="724">
        <f t="shared" si="178"/>
        <v>0</v>
      </c>
      <c r="AD228" s="725">
        <f t="shared" si="178"/>
        <v>0</v>
      </c>
      <c r="AE228" s="723">
        <f t="shared" si="178"/>
        <v>0</v>
      </c>
      <c r="AF228" s="727">
        <f t="shared" si="178"/>
        <v>0</v>
      </c>
      <c r="AG228" s="730">
        <f t="shared" ref="AG228:AL228" si="179">AG230-AG229</f>
        <v>0</v>
      </c>
      <c r="AH228" s="730">
        <f t="shared" si="179"/>
        <v>0</v>
      </c>
      <c r="AI228" s="730">
        <f t="shared" si="179"/>
        <v>0</v>
      </c>
      <c r="AJ228" s="730">
        <f t="shared" si="179"/>
        <v>0</v>
      </c>
      <c r="AK228" s="730">
        <f t="shared" si="179"/>
        <v>0</v>
      </c>
      <c r="AL228" s="730">
        <f t="shared" si="179"/>
        <v>0</v>
      </c>
      <c r="AM228" s="730"/>
      <c r="AN228" s="722">
        <f t="shared" ref="AN228:AZ228" si="180">AN419+AN420</f>
        <v>0</v>
      </c>
      <c r="AO228" s="722">
        <f t="shared" si="180"/>
        <v>0</v>
      </c>
      <c r="AP228" s="722">
        <f t="shared" si="180"/>
        <v>0</v>
      </c>
      <c r="AQ228" s="722">
        <f t="shared" si="180"/>
        <v>0</v>
      </c>
      <c r="AR228" s="722">
        <f t="shared" si="180"/>
        <v>0.40699999999999997</v>
      </c>
      <c r="AS228" s="722">
        <f t="shared" si="180"/>
        <v>34.131999999999998</v>
      </c>
      <c r="AT228" s="722">
        <f t="shared" si="180"/>
        <v>47.417000000000002</v>
      </c>
      <c r="AU228" s="722">
        <f t="shared" si="180"/>
        <v>29.693999999999999</v>
      </c>
      <c r="AV228" s="726">
        <f t="shared" si="180"/>
        <v>49.695999999999998</v>
      </c>
      <c r="AW228" s="726">
        <f t="shared" si="180"/>
        <v>0</v>
      </c>
      <c r="AX228" s="925">
        <f t="shared" si="180"/>
        <v>0</v>
      </c>
      <c r="AY228" s="729">
        <f t="shared" si="180"/>
        <v>0</v>
      </c>
      <c r="AZ228" s="729">
        <f t="shared" si="180"/>
        <v>0</v>
      </c>
      <c r="BA228" s="729">
        <f>BA230-BA229</f>
        <v>0</v>
      </c>
      <c r="BB228" s="729">
        <f>BB230-BB229</f>
        <v>0</v>
      </c>
      <c r="BC228" s="729">
        <f>BC230-BC229</f>
        <v>0</v>
      </c>
      <c r="BD228" s="631"/>
    </row>
    <row r="229" spans="1:56" s="39" customFormat="1" x14ac:dyDescent="0.25">
      <c r="A229" s="607" t="s">
        <v>460</v>
      </c>
      <c r="B229" s="608"/>
      <c r="C229" s="785">
        <f t="shared" ref="C229:AF229" si="181">C427</f>
        <v>0</v>
      </c>
      <c r="D229" s="785">
        <f t="shared" si="181"/>
        <v>0</v>
      </c>
      <c r="E229" s="785">
        <f t="shared" si="181"/>
        <v>0</v>
      </c>
      <c r="F229" s="785">
        <f t="shared" si="181"/>
        <v>0</v>
      </c>
      <c r="G229" s="785">
        <f t="shared" si="181"/>
        <v>0</v>
      </c>
      <c r="H229" s="785">
        <f t="shared" si="181"/>
        <v>0</v>
      </c>
      <c r="I229" s="785">
        <f t="shared" si="181"/>
        <v>0</v>
      </c>
      <c r="J229" s="785">
        <f t="shared" si="181"/>
        <v>24.443999999999999</v>
      </c>
      <c r="K229" s="785">
        <f t="shared" si="181"/>
        <v>21.111000000000001</v>
      </c>
      <c r="L229" s="785">
        <f t="shared" si="181"/>
        <v>17.777999999999999</v>
      </c>
      <c r="M229" s="785">
        <f t="shared" si="181"/>
        <v>14.444000000000001</v>
      </c>
      <c r="N229" s="785">
        <f t="shared" si="181"/>
        <v>11.111000000000001</v>
      </c>
      <c r="O229" s="785">
        <f t="shared" si="181"/>
        <v>7.7779999999999996</v>
      </c>
      <c r="P229" s="785">
        <f t="shared" si="181"/>
        <v>4.444</v>
      </c>
      <c r="Q229" s="786">
        <f t="shared" si="181"/>
        <v>1.111</v>
      </c>
      <c r="R229" s="785">
        <f t="shared" si="181"/>
        <v>28</v>
      </c>
      <c r="S229" s="785">
        <f t="shared" si="181"/>
        <v>25</v>
      </c>
      <c r="T229" s="785">
        <f t="shared" si="181"/>
        <v>22</v>
      </c>
      <c r="U229" s="786">
        <f t="shared" si="181"/>
        <v>19</v>
      </c>
      <c r="V229" s="787">
        <f t="shared" si="181"/>
        <v>16</v>
      </c>
      <c r="W229" s="785">
        <f t="shared" si="181"/>
        <v>13</v>
      </c>
      <c r="X229" s="785">
        <f t="shared" si="181"/>
        <v>28</v>
      </c>
      <c r="Y229" s="786">
        <f t="shared" si="181"/>
        <v>25</v>
      </c>
      <c r="Z229" s="787">
        <f t="shared" si="181"/>
        <v>116.5</v>
      </c>
      <c r="AA229" s="785">
        <f t="shared" si="181"/>
        <v>116.607</v>
      </c>
      <c r="AB229" s="785">
        <f t="shared" si="181"/>
        <v>119.65</v>
      </c>
      <c r="AC229" s="786">
        <f t="shared" si="181"/>
        <v>113.15</v>
      </c>
      <c r="AD229" s="787">
        <f t="shared" si="181"/>
        <v>82.87</v>
      </c>
      <c r="AE229" s="785">
        <f t="shared" si="181"/>
        <v>74.837000000000003</v>
      </c>
      <c r="AF229" s="789">
        <f t="shared" si="181"/>
        <v>57.65</v>
      </c>
      <c r="AG229" s="787">
        <f>MAX(0,AF229+AG217)</f>
        <v>57.65</v>
      </c>
      <c r="AH229" s="787">
        <f>MAX(0,AG229+AH217)</f>
        <v>57.65</v>
      </c>
      <c r="AI229" s="787">
        <f>MAX(0,AY229+AI217)</f>
        <v>57.65</v>
      </c>
      <c r="AJ229" s="787">
        <f>MAX(0,AI229+AJ217)</f>
        <v>57.65</v>
      </c>
      <c r="AK229" s="787">
        <f>MAX(0,AJ229+AK217)</f>
        <v>57.65</v>
      </c>
      <c r="AL229" s="787">
        <f>MAX(0,AK229+AL217)</f>
        <v>57.65</v>
      </c>
      <c r="AM229" s="787"/>
      <c r="AN229" s="784">
        <f t="shared" ref="AN229:AZ229" si="182">AN427</f>
        <v>0</v>
      </c>
      <c r="AO229" s="784">
        <f t="shared" si="182"/>
        <v>0</v>
      </c>
      <c r="AP229" s="784">
        <f t="shared" si="182"/>
        <v>0</v>
      </c>
      <c r="AQ229" s="784">
        <f t="shared" si="182"/>
        <v>0</v>
      </c>
      <c r="AR229" s="784">
        <f t="shared" si="182"/>
        <v>0</v>
      </c>
      <c r="AS229" s="784">
        <f t="shared" si="182"/>
        <v>24.443999999999999</v>
      </c>
      <c r="AT229" s="784">
        <f t="shared" si="182"/>
        <v>11.111000000000001</v>
      </c>
      <c r="AU229" s="784">
        <f t="shared" si="182"/>
        <v>28</v>
      </c>
      <c r="AV229" s="788">
        <f t="shared" si="182"/>
        <v>16</v>
      </c>
      <c r="AW229" s="788">
        <f t="shared" si="182"/>
        <v>116.5</v>
      </c>
      <c r="AX229" s="951">
        <f t="shared" si="182"/>
        <v>82.87</v>
      </c>
      <c r="AY229" s="788">
        <f t="shared" si="182"/>
        <v>57.65</v>
      </c>
      <c r="AZ229" s="788">
        <f t="shared" si="182"/>
        <v>57.65</v>
      </c>
      <c r="BA229" s="788">
        <f>MAX(0,AZ229+BA217)</f>
        <v>57.65</v>
      </c>
      <c r="BB229" s="788">
        <f>MAX(0,BA229+BB217)</f>
        <v>57.65</v>
      </c>
      <c r="BC229" s="788">
        <f>MAX(0,BB229+BC217)</f>
        <v>57.65</v>
      </c>
      <c r="BD229" s="631"/>
    </row>
    <row r="230" spans="1:56" s="39" customFormat="1" x14ac:dyDescent="0.25">
      <c r="A230" s="631" t="s">
        <v>142</v>
      </c>
      <c r="B230" s="171"/>
      <c r="C230" s="723">
        <f t="shared" ref="C230:AF230" si="183">C419+C420+C427</f>
        <v>0</v>
      </c>
      <c r="D230" s="723">
        <f t="shared" si="183"/>
        <v>6.77</v>
      </c>
      <c r="E230" s="723">
        <f t="shared" si="183"/>
        <v>4.82</v>
      </c>
      <c r="F230" s="723">
        <f t="shared" si="183"/>
        <v>0.40699999999999997</v>
      </c>
      <c r="G230" s="723">
        <f t="shared" si="183"/>
        <v>2.7770000000000001</v>
      </c>
      <c r="H230" s="723">
        <f t="shared" si="183"/>
        <v>17.771000000000001</v>
      </c>
      <c r="I230" s="723">
        <f t="shared" si="183"/>
        <v>4.88</v>
      </c>
      <c r="J230" s="723">
        <f t="shared" si="183"/>
        <v>58.575999999999993</v>
      </c>
      <c r="K230" s="723">
        <f t="shared" si="183"/>
        <v>55.977999999999994</v>
      </c>
      <c r="L230" s="723">
        <f t="shared" si="183"/>
        <v>59.908999999999999</v>
      </c>
      <c r="M230" s="723">
        <f t="shared" si="183"/>
        <v>60.683999999999997</v>
      </c>
      <c r="N230" s="723">
        <f t="shared" si="183"/>
        <v>58.528000000000006</v>
      </c>
      <c r="O230" s="723">
        <f t="shared" si="183"/>
        <v>54.202999999999996</v>
      </c>
      <c r="P230" s="723">
        <f t="shared" si="183"/>
        <v>60.259</v>
      </c>
      <c r="Q230" s="724">
        <f t="shared" si="183"/>
        <v>59.292999999999992</v>
      </c>
      <c r="R230" s="723">
        <f t="shared" si="183"/>
        <v>57.694000000000003</v>
      </c>
      <c r="S230" s="723">
        <f t="shared" si="183"/>
        <v>60.528999999999996</v>
      </c>
      <c r="T230" s="723">
        <f t="shared" si="183"/>
        <v>58.483000000000004</v>
      </c>
      <c r="U230" s="724">
        <f t="shared" si="183"/>
        <v>58.506</v>
      </c>
      <c r="V230" s="725">
        <f t="shared" si="183"/>
        <v>65.695999999999998</v>
      </c>
      <c r="W230" s="723">
        <f t="shared" si="183"/>
        <v>68.706000000000003</v>
      </c>
      <c r="X230" s="723">
        <f t="shared" si="183"/>
        <v>101.82300000000001</v>
      </c>
      <c r="Y230" s="724">
        <f t="shared" si="183"/>
        <v>106.044</v>
      </c>
      <c r="Z230" s="725">
        <f t="shared" si="183"/>
        <v>116.5</v>
      </c>
      <c r="AA230" s="723">
        <f t="shared" si="183"/>
        <v>116.607</v>
      </c>
      <c r="AB230" s="723">
        <f t="shared" si="183"/>
        <v>119.65</v>
      </c>
      <c r="AC230" s="724">
        <f t="shared" si="183"/>
        <v>113.15</v>
      </c>
      <c r="AD230" s="725">
        <f t="shared" si="183"/>
        <v>82.87</v>
      </c>
      <c r="AE230" s="723">
        <f t="shared" si="183"/>
        <v>74.837000000000003</v>
      </c>
      <c r="AF230" s="727">
        <f t="shared" si="183"/>
        <v>57.65</v>
      </c>
      <c r="AG230" s="730">
        <f>AF230+AG217</f>
        <v>57.65</v>
      </c>
      <c r="AH230" s="730">
        <f>AG230+AH217</f>
        <v>57.65</v>
      </c>
      <c r="AI230" s="730">
        <f>AY230+AI217</f>
        <v>57.65</v>
      </c>
      <c r="AJ230" s="730">
        <f>AI230+AJ217</f>
        <v>57.65</v>
      </c>
      <c r="AK230" s="730">
        <f>AJ230+AK217</f>
        <v>57.65</v>
      </c>
      <c r="AL230" s="730">
        <f>AK230+AL217</f>
        <v>57.65</v>
      </c>
      <c r="AM230" s="730"/>
      <c r="AN230" s="722">
        <f t="shared" ref="AN230:AZ230" si="184">AN419+AN420+AN427</f>
        <v>0</v>
      </c>
      <c r="AO230" s="722">
        <f t="shared" si="184"/>
        <v>0</v>
      </c>
      <c r="AP230" s="722">
        <f t="shared" si="184"/>
        <v>0</v>
      </c>
      <c r="AQ230" s="722">
        <f t="shared" si="184"/>
        <v>0</v>
      </c>
      <c r="AR230" s="722">
        <f t="shared" si="184"/>
        <v>0.40699999999999997</v>
      </c>
      <c r="AS230" s="722">
        <f t="shared" si="184"/>
        <v>58.575999999999993</v>
      </c>
      <c r="AT230" s="722">
        <f t="shared" si="184"/>
        <v>58.528000000000006</v>
      </c>
      <c r="AU230" s="722">
        <f t="shared" si="184"/>
        <v>57.694000000000003</v>
      </c>
      <c r="AV230" s="726">
        <f t="shared" si="184"/>
        <v>65.695999999999998</v>
      </c>
      <c r="AW230" s="726">
        <f t="shared" si="184"/>
        <v>116.5</v>
      </c>
      <c r="AX230" s="925">
        <f t="shared" si="184"/>
        <v>82.87</v>
      </c>
      <c r="AY230" s="729">
        <f t="shared" si="184"/>
        <v>57.65</v>
      </c>
      <c r="AZ230" s="729">
        <f t="shared" si="184"/>
        <v>57.65</v>
      </c>
      <c r="BA230" s="729">
        <f>AZ230+BA217</f>
        <v>57.65</v>
      </c>
      <c r="BB230" s="729">
        <f>BA230+BB217</f>
        <v>57.65</v>
      </c>
      <c r="BC230" s="729">
        <f>BB230+BC217</f>
        <v>57.65</v>
      </c>
      <c r="BD230" s="631"/>
    </row>
    <row r="231" spans="1:56" s="39" customFormat="1" x14ac:dyDescent="0.25">
      <c r="A231" s="631" t="s">
        <v>414</v>
      </c>
      <c r="B231" s="171"/>
      <c r="C231" s="723">
        <f t="shared" ref="C231:AL231" si="185">C428+C421</f>
        <v>0</v>
      </c>
      <c r="D231" s="723">
        <f t="shared" si="185"/>
        <v>0</v>
      </c>
      <c r="E231" s="723">
        <f t="shared" si="185"/>
        <v>0</v>
      </c>
      <c r="F231" s="723">
        <f t="shared" si="185"/>
        <v>0</v>
      </c>
      <c r="G231" s="723">
        <f t="shared" si="185"/>
        <v>0</v>
      </c>
      <c r="H231" s="723">
        <f t="shared" si="185"/>
        <v>0</v>
      </c>
      <c r="I231" s="723">
        <f t="shared" si="185"/>
        <v>0</v>
      </c>
      <c r="J231" s="723">
        <f t="shared" si="185"/>
        <v>0</v>
      </c>
      <c r="K231" s="723">
        <f t="shared" si="185"/>
        <v>0</v>
      </c>
      <c r="L231" s="723">
        <f t="shared" si="185"/>
        <v>0</v>
      </c>
      <c r="M231" s="723">
        <f t="shared" si="185"/>
        <v>0</v>
      </c>
      <c r="N231" s="723">
        <f t="shared" si="185"/>
        <v>0</v>
      </c>
      <c r="O231" s="723">
        <f t="shared" si="185"/>
        <v>0</v>
      </c>
      <c r="P231" s="723">
        <f t="shared" si="185"/>
        <v>0</v>
      </c>
      <c r="Q231" s="724">
        <f t="shared" si="185"/>
        <v>0</v>
      </c>
      <c r="R231" s="723">
        <f t="shared" si="185"/>
        <v>0</v>
      </c>
      <c r="S231" s="723">
        <f t="shared" si="185"/>
        <v>0</v>
      </c>
      <c r="T231" s="723">
        <f t="shared" si="185"/>
        <v>0</v>
      </c>
      <c r="U231" s="724">
        <f t="shared" si="185"/>
        <v>0</v>
      </c>
      <c r="V231" s="725">
        <f t="shared" si="185"/>
        <v>0</v>
      </c>
      <c r="W231" s="723">
        <f t="shared" si="185"/>
        <v>0</v>
      </c>
      <c r="X231" s="723">
        <f t="shared" si="185"/>
        <v>0</v>
      </c>
      <c r="Y231" s="724">
        <f t="shared" si="185"/>
        <v>0</v>
      </c>
      <c r="Z231" s="725">
        <f t="shared" si="185"/>
        <v>0</v>
      </c>
      <c r="AA231" s="723">
        <f t="shared" si="185"/>
        <v>33.055</v>
      </c>
      <c r="AB231" s="723">
        <f t="shared" si="185"/>
        <v>32.492999999999995</v>
      </c>
      <c r="AC231" s="724">
        <f t="shared" si="185"/>
        <v>30.625</v>
      </c>
      <c r="AD231" s="725">
        <f t="shared" si="185"/>
        <v>30.03</v>
      </c>
      <c r="AE231" s="723">
        <f t="shared" si="185"/>
        <v>28.515000000000001</v>
      </c>
      <c r="AF231" s="727">
        <f t="shared" si="185"/>
        <v>26.531000000000002</v>
      </c>
      <c r="AG231" s="730">
        <f t="shared" si="185"/>
        <v>26.531000000000002</v>
      </c>
      <c r="AH231" s="730">
        <f t="shared" si="185"/>
        <v>26.531000000000002</v>
      </c>
      <c r="AI231" s="730">
        <f t="shared" si="185"/>
        <v>26.531000000000002</v>
      </c>
      <c r="AJ231" s="730">
        <f t="shared" si="185"/>
        <v>26.531000000000002</v>
      </c>
      <c r="AK231" s="730">
        <f t="shared" si="185"/>
        <v>26.531000000000002</v>
      </c>
      <c r="AL231" s="730">
        <f t="shared" si="185"/>
        <v>26.531000000000002</v>
      </c>
      <c r="AM231" s="730"/>
      <c r="AN231" s="722">
        <f t="shared" ref="AN231:BC231" si="186">AN428+AN421</f>
        <v>0</v>
      </c>
      <c r="AO231" s="722">
        <f t="shared" si="186"/>
        <v>0</v>
      </c>
      <c r="AP231" s="722">
        <f t="shared" si="186"/>
        <v>0</v>
      </c>
      <c r="AQ231" s="722">
        <f t="shared" si="186"/>
        <v>0</v>
      </c>
      <c r="AR231" s="722">
        <f t="shared" si="186"/>
        <v>0</v>
      </c>
      <c r="AS231" s="722">
        <f t="shared" si="186"/>
        <v>0</v>
      </c>
      <c r="AT231" s="722">
        <f t="shared" si="186"/>
        <v>0</v>
      </c>
      <c r="AU231" s="722">
        <f t="shared" si="186"/>
        <v>0</v>
      </c>
      <c r="AV231" s="726">
        <f t="shared" si="186"/>
        <v>0</v>
      </c>
      <c r="AW231" s="726">
        <f t="shared" si="186"/>
        <v>0</v>
      </c>
      <c r="AX231" s="925">
        <f t="shared" si="186"/>
        <v>30.03</v>
      </c>
      <c r="AY231" s="729">
        <f t="shared" si="186"/>
        <v>26.531000000000002</v>
      </c>
      <c r="AZ231" s="729">
        <f t="shared" si="186"/>
        <v>26.531000000000002</v>
      </c>
      <c r="BA231" s="729">
        <f t="shared" si="186"/>
        <v>26.531000000000002</v>
      </c>
      <c r="BB231" s="729">
        <f t="shared" si="186"/>
        <v>26.531000000000002</v>
      </c>
      <c r="BC231" s="729">
        <f t="shared" si="186"/>
        <v>26.531000000000002</v>
      </c>
      <c r="BD231" s="631"/>
    </row>
    <row r="232" spans="1:56" s="39" customFormat="1" x14ac:dyDescent="0.25">
      <c r="A232" s="631" t="s">
        <v>143</v>
      </c>
      <c r="B232" s="171"/>
      <c r="C232" s="723">
        <f t="shared" ref="C232:AL232" si="187">C230+C231-C227</f>
        <v>-11.047000000000001</v>
      </c>
      <c r="D232" s="723">
        <f t="shared" si="187"/>
        <v>1.5779999999999994</v>
      </c>
      <c r="E232" s="723">
        <f t="shared" si="187"/>
        <v>0.44700000000000006</v>
      </c>
      <c r="F232" s="723">
        <f t="shared" si="187"/>
        <v>-5.24</v>
      </c>
      <c r="G232" s="723">
        <f t="shared" si="187"/>
        <v>-2.4500000000000002</v>
      </c>
      <c r="H232" s="723">
        <f t="shared" si="187"/>
        <v>11.745000000000001</v>
      </c>
      <c r="I232" s="723">
        <f t="shared" si="187"/>
        <v>-4.2380000000000004</v>
      </c>
      <c r="J232" s="723">
        <f t="shared" si="187"/>
        <v>44.034999999999997</v>
      </c>
      <c r="K232" s="723">
        <f t="shared" si="187"/>
        <v>43.842999999999996</v>
      </c>
      <c r="L232" s="723">
        <f t="shared" si="187"/>
        <v>47.569000000000003</v>
      </c>
      <c r="M232" s="723">
        <f t="shared" si="187"/>
        <v>47.052999999999997</v>
      </c>
      <c r="N232" s="723">
        <f t="shared" si="187"/>
        <v>37.498000000000005</v>
      </c>
      <c r="O232" s="723">
        <f t="shared" si="187"/>
        <v>37.732999999999997</v>
      </c>
      <c r="P232" s="723">
        <f t="shared" si="187"/>
        <v>45.399000000000001</v>
      </c>
      <c r="Q232" s="724">
        <f t="shared" si="187"/>
        <v>43.597999999999992</v>
      </c>
      <c r="R232" s="723">
        <f t="shared" si="187"/>
        <v>41.347999999999999</v>
      </c>
      <c r="S232" s="723">
        <f t="shared" si="187"/>
        <v>45.076999999999998</v>
      </c>
      <c r="T232" s="723">
        <f t="shared" si="187"/>
        <v>34.769000000000005</v>
      </c>
      <c r="U232" s="724">
        <f t="shared" si="187"/>
        <v>40.486000000000004</v>
      </c>
      <c r="V232" s="725">
        <f t="shared" si="187"/>
        <v>42.084000000000003</v>
      </c>
      <c r="W232" s="723">
        <f t="shared" si="187"/>
        <v>51.761000000000003</v>
      </c>
      <c r="X232" s="723">
        <f t="shared" si="187"/>
        <v>87.689000000000007</v>
      </c>
      <c r="Y232" s="724">
        <f t="shared" si="187"/>
        <v>95.721000000000004</v>
      </c>
      <c r="Z232" s="725">
        <f t="shared" si="187"/>
        <v>103.083</v>
      </c>
      <c r="AA232" s="723">
        <f t="shared" si="187"/>
        <v>141.23500000000001</v>
      </c>
      <c r="AB232" s="723">
        <f t="shared" si="187"/>
        <v>146.03200000000001</v>
      </c>
      <c r="AC232" s="724">
        <f t="shared" si="187"/>
        <v>136.036</v>
      </c>
      <c r="AD232" s="725">
        <f t="shared" si="187"/>
        <v>104.741</v>
      </c>
      <c r="AE232" s="723">
        <f t="shared" si="187"/>
        <v>94.326999999999998</v>
      </c>
      <c r="AF232" s="727">
        <f t="shared" si="187"/>
        <v>72.084000000000003</v>
      </c>
      <c r="AG232" s="730">
        <f t="shared" ca="1" si="187"/>
        <v>73.283531471091663</v>
      </c>
      <c r="AH232" s="730">
        <f t="shared" ca="1" si="187"/>
        <v>64.559534168838297</v>
      </c>
      <c r="AI232" s="730">
        <f t="shared" ca="1" si="187"/>
        <v>69.902901711100398</v>
      </c>
      <c r="AJ232" s="730">
        <f t="shared" ca="1" si="187"/>
        <v>55.27265008277304</v>
      </c>
      <c r="AK232" s="730">
        <f t="shared" ca="1" si="187"/>
        <v>58.226174319662157</v>
      </c>
      <c r="AL232" s="730">
        <f t="shared" ca="1" si="187"/>
        <v>49.789998325105721</v>
      </c>
      <c r="AM232" s="730"/>
      <c r="AN232" s="722">
        <f t="shared" ref="AN232:BC232" si="188">AN230+AN231-AN227</f>
        <v>-10.803000000000001</v>
      </c>
      <c r="AO232" s="722">
        <f t="shared" si="188"/>
        <v>-28.902000000000001</v>
      </c>
      <c r="AP232" s="722">
        <f t="shared" si="188"/>
        <v>-4.1509999999999998</v>
      </c>
      <c r="AQ232" s="722">
        <f t="shared" si="188"/>
        <v>-7.7610000000000001</v>
      </c>
      <c r="AR232" s="722">
        <f t="shared" si="188"/>
        <v>-5.24</v>
      </c>
      <c r="AS232" s="722">
        <f t="shared" si="188"/>
        <v>44.034999999999997</v>
      </c>
      <c r="AT232" s="722">
        <f t="shared" si="188"/>
        <v>37.498000000000005</v>
      </c>
      <c r="AU232" s="722">
        <f t="shared" si="188"/>
        <v>41.347999999999999</v>
      </c>
      <c r="AV232" s="726">
        <f t="shared" si="188"/>
        <v>42.084000000000003</v>
      </c>
      <c r="AW232" s="726">
        <f t="shared" si="188"/>
        <v>103.083</v>
      </c>
      <c r="AX232" s="925">
        <f t="shared" si="188"/>
        <v>104.741</v>
      </c>
      <c r="AY232" s="729">
        <f t="shared" ca="1" si="188"/>
        <v>64.559534168838297</v>
      </c>
      <c r="AZ232" s="729">
        <f t="shared" ca="1" si="188"/>
        <v>49.789998325105721</v>
      </c>
      <c r="BA232" s="729">
        <f t="shared" ca="1" si="188"/>
        <v>30.751039023350238</v>
      </c>
      <c r="BB232" s="729">
        <f t="shared" ca="1" si="188"/>
        <v>5.1265244699555979</v>
      </c>
      <c r="BC232" s="729">
        <f t="shared" ca="1" si="188"/>
        <v>-26.972670882589142</v>
      </c>
      <c r="BD232" s="631"/>
    </row>
    <row r="233" spans="1:56" s="39" customFormat="1" x14ac:dyDescent="0.25">
      <c r="A233" s="631"/>
      <c r="B233" s="171"/>
      <c r="C233" s="723"/>
      <c r="D233" s="723"/>
      <c r="E233" s="723"/>
      <c r="F233" s="723"/>
      <c r="G233" s="723"/>
      <c r="H233" s="723"/>
      <c r="I233" s="723"/>
      <c r="J233" s="723"/>
      <c r="K233" s="723"/>
      <c r="L233" s="723"/>
      <c r="M233" s="723"/>
      <c r="N233" s="723"/>
      <c r="O233" s="723"/>
      <c r="P233" s="723"/>
      <c r="Q233" s="724"/>
      <c r="R233" s="723"/>
      <c r="S233" s="723"/>
      <c r="T233" s="723"/>
      <c r="U233" s="724"/>
      <c r="V233" s="725"/>
      <c r="W233" s="723"/>
      <c r="X233" s="723"/>
      <c r="Y233" s="724"/>
      <c r="Z233" s="725"/>
      <c r="AA233" s="723"/>
      <c r="AB233" s="723"/>
      <c r="AC233" s="724"/>
      <c r="AD233" s="725"/>
      <c r="AE233" s="723"/>
      <c r="AF233" s="727"/>
      <c r="AG233" s="730"/>
      <c r="AH233" s="730"/>
      <c r="AI233" s="730"/>
      <c r="AJ233" s="730"/>
      <c r="AK233" s="730"/>
      <c r="AL233" s="730"/>
      <c r="AM233" s="730"/>
      <c r="AN233" s="722"/>
      <c r="AO233" s="722"/>
      <c r="AP233" s="722"/>
      <c r="AQ233" s="722"/>
      <c r="AR233" s="722"/>
      <c r="AS233" s="722"/>
      <c r="AT233" s="722"/>
      <c r="AU233" s="722"/>
      <c r="AV233" s="726"/>
      <c r="AW233" s="726"/>
      <c r="AX233" s="925"/>
      <c r="AY233" s="729"/>
      <c r="AZ233" s="729"/>
      <c r="BA233" s="729"/>
      <c r="BB233" s="729"/>
      <c r="BC233" s="729"/>
      <c r="BD233" s="631"/>
    </row>
    <row r="234" spans="1:56" s="39" customFormat="1" x14ac:dyDescent="0.25">
      <c r="A234" s="631" t="s">
        <v>452</v>
      </c>
      <c r="B234" s="171"/>
      <c r="C234" s="710">
        <f t="shared" ref="C234:AF234" si="189">C175</f>
        <v>0.1</v>
      </c>
      <c r="D234" s="710">
        <f t="shared" si="189"/>
        <v>6.6000000000000003E-2</v>
      </c>
      <c r="E234" s="710">
        <f t="shared" si="189"/>
        <v>0.09</v>
      </c>
      <c r="F234" s="710">
        <f t="shared" si="189"/>
        <v>0.11000000000000001</v>
      </c>
      <c r="G234" s="710">
        <f t="shared" si="189"/>
        <v>0.20499999999999999</v>
      </c>
      <c r="H234" s="710">
        <f t="shared" si="189"/>
        <v>7.6999999999999999E-2</v>
      </c>
      <c r="I234" s="710">
        <f t="shared" si="189"/>
        <v>0.11700000000000001</v>
      </c>
      <c r="J234" s="710">
        <f t="shared" si="189"/>
        <v>0.43400000000000005</v>
      </c>
      <c r="K234" s="710">
        <f t="shared" si="189"/>
        <v>0.36499999999999999</v>
      </c>
      <c r="L234" s="710">
        <f t="shared" si="189"/>
        <v>0.30599999999999999</v>
      </c>
      <c r="M234" s="710">
        <f t="shared" si="189"/>
        <v>0.34</v>
      </c>
      <c r="N234" s="710">
        <f t="shared" si="189"/>
        <v>0.36999999999999994</v>
      </c>
      <c r="O234" s="710">
        <f t="shared" si="189"/>
        <v>0.245</v>
      </c>
      <c r="P234" s="710">
        <f t="shared" si="189"/>
        <v>0.35899999999999999</v>
      </c>
      <c r="Q234" s="711">
        <f t="shared" si="189"/>
        <v>0.36599999999999999</v>
      </c>
      <c r="R234" s="710">
        <f t="shared" si="189"/>
        <v>0.59799999999999998</v>
      </c>
      <c r="S234" s="710">
        <f t="shared" si="189"/>
        <v>0.438</v>
      </c>
      <c r="T234" s="710">
        <f t="shared" si="189"/>
        <v>0.53400000000000003</v>
      </c>
      <c r="U234" s="711">
        <f t="shared" si="189"/>
        <v>0.51100000000000001</v>
      </c>
      <c r="V234" s="790">
        <f t="shared" si="189"/>
        <v>1.649</v>
      </c>
      <c r="W234" s="710">
        <f t="shared" si="189"/>
        <v>0.68600000000000005</v>
      </c>
      <c r="X234" s="710">
        <f t="shared" si="189"/>
        <v>-0.15</v>
      </c>
      <c r="Y234" s="711">
        <f t="shared" si="189"/>
        <v>1.095</v>
      </c>
      <c r="Z234" s="790">
        <f t="shared" si="189"/>
        <v>1.3139999999999998</v>
      </c>
      <c r="AA234" s="710">
        <f t="shared" si="189"/>
        <v>1.5980000000000001</v>
      </c>
      <c r="AB234" s="710">
        <f t="shared" si="189"/>
        <v>1.679</v>
      </c>
      <c r="AC234" s="711">
        <f t="shared" si="189"/>
        <v>1.575</v>
      </c>
      <c r="AD234" s="790">
        <f t="shared" si="189"/>
        <v>1.2059999999999995</v>
      </c>
      <c r="AE234" s="710">
        <f t="shared" si="189"/>
        <v>0.97799999999999998</v>
      </c>
      <c r="AF234" s="712">
        <f t="shared" si="189"/>
        <v>0.60699999999999998</v>
      </c>
      <c r="AG234" s="792">
        <f>MAX(0,AG235*AVERAGE(AF230,AG230)*AG3/AY3)</f>
        <v>0.71007158469945364</v>
      </c>
      <c r="AH234" s="792">
        <f>MAX(0,AH235*AVERAGE(AG230,AH230)*AH3/AY3)</f>
        <v>0.71007158469945364</v>
      </c>
      <c r="AI234" s="792">
        <f>MAX(0,AI235*AVERAGE(AY230,AI230)*AI3/AZ3)</f>
        <v>0.69653835616438353</v>
      </c>
      <c r="AJ234" s="792">
        <f>MAX(0,AJ235*AVERAGE(AI230,AJ230)*AJ3/AZ3)</f>
        <v>0.70427767123287677</v>
      </c>
      <c r="AK234" s="792">
        <f>MAX(0,AK235*AVERAGE(AJ230,AK230)*AK3/AZ3)</f>
        <v>0.71201698630136989</v>
      </c>
      <c r="AL234" s="792">
        <f>MAX(0,AL235*AVERAGE(AK230,AL230)*AL3/AZ3)</f>
        <v>0.71201698630136989</v>
      </c>
      <c r="AM234" s="792"/>
      <c r="AN234" s="709">
        <f t="shared" ref="AN234:AX234" si="190">AN175</f>
        <v>0.217</v>
      </c>
      <c r="AO234" s="709">
        <f t="shared" si="190"/>
        <v>0.23599999999999999</v>
      </c>
      <c r="AP234" s="709">
        <f t="shared" si="190"/>
        <v>0.20899999999999999</v>
      </c>
      <c r="AQ234" s="709">
        <f t="shared" si="190"/>
        <v>0.26900000000000002</v>
      </c>
      <c r="AR234" s="709">
        <f t="shared" si="190"/>
        <v>0.36599999999999999</v>
      </c>
      <c r="AS234" s="709">
        <f t="shared" si="190"/>
        <v>0.83299999999999996</v>
      </c>
      <c r="AT234" s="709">
        <f t="shared" si="190"/>
        <v>1.381</v>
      </c>
      <c r="AU234" s="709">
        <f t="shared" si="190"/>
        <v>1.5680000000000001</v>
      </c>
      <c r="AV234" s="791">
        <f t="shared" si="190"/>
        <v>3.1320000000000001</v>
      </c>
      <c r="AW234" s="791">
        <f t="shared" si="190"/>
        <v>2.9449999999999998</v>
      </c>
      <c r="AX234" s="952">
        <f t="shared" si="190"/>
        <v>6.0579999999999998</v>
      </c>
      <c r="AY234" s="793">
        <f>IF(OR(ISBLANK(AE234),ISBLANK(AF234),ISBLANK(AG234),ISBLANK(AH234)),"n/a",SUM(AE234,AF234,AG234,AH234))</f>
        <v>3.0051431693989068</v>
      </c>
      <c r="AZ234" s="793">
        <f>IF(OR(ISBLANK(AI234),ISBLANK(AJ234),ISBLANK(AK234),ISBLANK(AL234)),"n/a",SUM(AI234,AJ234,AK234,AL234))</f>
        <v>2.8248499999999996</v>
      </c>
      <c r="BA234" s="793">
        <f>BA235*AVERAGE(AZ230,BA230)</f>
        <v>2.8248500000000001</v>
      </c>
      <c r="BB234" s="793">
        <f>BB235*AVERAGE(BA230,BB230)</f>
        <v>2.8248500000000001</v>
      </c>
      <c r="BC234" s="793">
        <f>BC235*AVERAGE(BB230,BC230)</f>
        <v>2.8248500000000001</v>
      </c>
      <c r="BD234" s="631"/>
    </row>
    <row r="235" spans="1:56" s="39" customFormat="1" x14ac:dyDescent="0.25">
      <c r="A235" s="632" t="s">
        <v>453</v>
      </c>
      <c r="B235" s="187"/>
      <c r="C235" s="391" t="str">
        <f>IFERROR(C234/AVERAGE(AQ230,C230)*AR3/C3,"n/a")</f>
        <v>n/a</v>
      </c>
      <c r="D235" s="391">
        <f>IFERROR(D234/AVERAGE(C230,D230)*AR3/D3,"n/a")</f>
        <v>7.8205398737156498E-2</v>
      </c>
      <c r="E235" s="391">
        <f>IFERROR(E234/AVERAGE(D230,E230)*AR3/E3,"n/a")</f>
        <v>6.1616085831113783E-2</v>
      </c>
      <c r="F235" s="391">
        <f>IFERROR(F234/AVERAGE(E230,F230)*AR3/F3,"n/a")</f>
        <v>0.16698413754668487</v>
      </c>
      <c r="G235" s="391">
        <f>IFERROR(G234/AVERAGE(AR230,G230)*AS3/G3,"n/a")</f>
        <v>0.52222920156337238</v>
      </c>
      <c r="H235" s="391">
        <f>IFERROR(H234/AVERAGE(G230,H230)*AS3/H3,"n/a")</f>
        <v>3.006094547850436E-2</v>
      </c>
      <c r="I235" s="391">
        <f>IFERROR(I234/AVERAGE(H230,I230)*AS3/I3,"n/a")</f>
        <v>4.098580924539276E-2</v>
      </c>
      <c r="J235" s="391">
        <f>IFERROR(J234/AVERAGE(I230,J230)*AS3/J3,"n/a")</f>
        <v>5.4269031331535447E-2</v>
      </c>
      <c r="K235" s="391">
        <f>IFERROR(K234/AVERAGE(AS230,K230)*AT3/K3,"n/a")</f>
        <v>2.5844191870694658E-2</v>
      </c>
      <c r="L235" s="391">
        <f>IFERROR(L234/AVERAGE(K230,L230)*AT3/L3,"n/a")</f>
        <v>2.1182059029272265E-2</v>
      </c>
      <c r="M235" s="391">
        <f>IFERROR(M234/AVERAGE(L230,M230)*AT3/M3,"n/a")</f>
        <v>2.2371332390408415E-2</v>
      </c>
      <c r="N235" s="391">
        <f>IFERROR(N234/AVERAGE(M230,N230)*AT3/N3,"n/a")</f>
        <v>2.4627298973403607E-2</v>
      </c>
      <c r="O235" s="391">
        <f>IFERROR(O234/AVERAGE(AT230,O230)*AU3/O3,"n/a")</f>
        <v>1.7482052237354682E-2</v>
      </c>
      <c r="P235" s="391">
        <f>IFERROR(P234/AVERAGE(O230,P230)*AU3/P3,"n/a")</f>
        <v>2.522916094232339E-2</v>
      </c>
      <c r="Q235" s="392">
        <f>IFERROR(Q234/AVERAGE(P230,Q230)*AU3/Q3,"n/a")</f>
        <v>2.4358329066194954E-2</v>
      </c>
      <c r="R235" s="391">
        <f>IFERROR(R234/AVERAGE(Q230,R230)*AU3/R3,"n/a")</f>
        <v>4.0671185687298592E-2</v>
      </c>
      <c r="S235" s="391">
        <f>IFERROR(S234/AVERAGE(AU230,S230)*AV3/S3,"n/a")</f>
        <v>3.0050554178684911E-2</v>
      </c>
      <c r="T235" s="391">
        <f>IFERROR(T234/AVERAGE(S230,T230)*AV3/T3,"n/a")</f>
        <v>3.5994154066281252E-2</v>
      </c>
      <c r="U235" s="392">
        <f>IFERROR(U234/AVERAGE(T230,U230)*AV3/U3,"n/a")</f>
        <v>3.4658591090132224E-2</v>
      </c>
      <c r="V235" s="394">
        <f>IFERROR(V234/AVERAGE(U230,V230)*AV3/V3,"n/a")</f>
        <v>0.10534819505111938</v>
      </c>
      <c r="W235" s="391">
        <f>IFERROR(W234/AVERAGE(AV230,W230)*AW3/W3,"n/a")</f>
        <v>4.1399846893812764E-2</v>
      </c>
      <c r="X235" s="391">
        <f>IFERROR(X234/AVERAGE(W230,X230)*AW3/X3,"n/a")</f>
        <v>-7.0562584856341355E-3</v>
      </c>
      <c r="Y235" s="392">
        <f>IFERROR(Y234/AVERAGE(X230,Y230)*AW3/Y3,"n/a")</f>
        <v>4.1798779779963817E-2</v>
      </c>
      <c r="Z235" s="394">
        <f>IFERROR(Z234/AVERAGE(Y230,Z230)*AW3/Z3,"n/a")</f>
        <v>4.6850529997780603E-2</v>
      </c>
      <c r="AA235" s="391">
        <f>IFERROR(AA234/AVERAGE(AW230,AA230)*AX3/AA3,"n/a")</f>
        <v>5.5603459164913778E-2</v>
      </c>
      <c r="AB235" s="391">
        <f>IFERROR(AB234/AVERAGE(AA230,AB230)*AX3/AB3,"n/a")</f>
        <v>5.7009532411319445E-2</v>
      </c>
      <c r="AC235" s="392">
        <f>IFERROR(AC234/AVERAGE(AB230,AC230)*AX3/AC3,"n/a")</f>
        <v>5.3682485432541456E-2</v>
      </c>
      <c r="AD235" s="394">
        <f>IFERROR(AD234/AVERAGE(AC230,AD230)*AX3/AD3,"n/a")</f>
        <v>4.8818221743122905E-2</v>
      </c>
      <c r="AE235" s="391">
        <f>IFERROR(AE234/AVERAGE(AX230,AE230)*AY3/AE3,"n/a")</f>
        <v>4.9883575307304119E-2</v>
      </c>
      <c r="AF235" s="645">
        <f>IFERROR(AF234/AVERAGE(AE230,AF230)*AY3/AF3,"n/a")</f>
        <v>3.6854040914816692E-2</v>
      </c>
      <c r="AG235" s="884">
        <f>Drivers!AG59</f>
        <v>4.9000000000000002E-2</v>
      </c>
      <c r="AH235" s="884">
        <f>Drivers!AH59</f>
        <v>4.9000000000000002E-2</v>
      </c>
      <c r="AI235" s="884">
        <f>Drivers!AI59</f>
        <v>4.9000000000000002E-2</v>
      </c>
      <c r="AJ235" s="884">
        <f>Drivers!AJ59</f>
        <v>4.9000000000000002E-2</v>
      </c>
      <c r="AK235" s="884">
        <f>Drivers!AK59</f>
        <v>4.9000000000000002E-2</v>
      </c>
      <c r="AL235" s="884">
        <f>Drivers!AL59</f>
        <v>4.9000000000000002E-2</v>
      </c>
      <c r="AM235" s="884"/>
      <c r="AN235" s="390"/>
      <c r="AO235" s="390" t="str">
        <f>IFERROR(AO234/AVERAGE(AN230,AO230),"n/a")</f>
        <v>n/a</v>
      </c>
      <c r="AP235" s="390" t="str">
        <f>IFERROR(AP234/AVERAGE(AO230,AP230),"n/a")</f>
        <v>n/a</v>
      </c>
      <c r="AQ235" s="390" t="str">
        <f>IFERROR(AQ234/AVERAGE(AP230,AQ230),"n/a")</f>
        <v>n/a</v>
      </c>
      <c r="AR235" s="390">
        <f>IFERROR(AR234/AVERAGE(C230,D230,E230,F230),"n/a")</f>
        <v>0.12203050762690673</v>
      </c>
      <c r="AS235" s="390">
        <f>IFERROR(AS234/AVERAGE(G230,H230,I230,J230),"n/a")</f>
        <v>3.9664777867720588E-2</v>
      </c>
      <c r="AT235" s="390">
        <f>IFERROR(AT234/AVERAGE(K230,L230,M230,N230),"n/a")</f>
        <v>2.3496484459738239E-2</v>
      </c>
      <c r="AU235" s="390">
        <f>IFERROR(AU234/AVERAGE(O230,P230,Q230,R230),"n/a")</f>
        <v>2.7098842509580945E-2</v>
      </c>
      <c r="AV235" s="393">
        <f>IFERROR(AV234/AVERAGE(S230,T230,U230,V230),"n/a")</f>
        <v>5.1510192669829862E-2</v>
      </c>
      <c r="AW235" s="393">
        <f>IFERROR(AW234/AVERAGE(W230,X230,Y230,Z230),"n/a")</f>
        <v>2.9968987948803403E-2</v>
      </c>
      <c r="AX235" s="929">
        <f>IFERROR(AX234/AVERAGE(AA230,AB230,AC230,AD230),"n/a")</f>
        <v>5.6056648861725226E-2</v>
      </c>
      <c r="AY235" s="120">
        <f>IFERROR(AY234/AVERAGE(AE230,AF230,AG230,AH230),"n/a")</f>
        <v>4.8511716424169252E-2</v>
      </c>
      <c r="AZ235" s="120">
        <f>IFERROR(AZ234/AVERAGE(AI230,AJ230,AK230,AL230),"n/a")</f>
        <v>4.8999999999999995E-2</v>
      </c>
      <c r="BA235" s="884">
        <f>Drivers!BA59</f>
        <v>4.9000000000000002E-2</v>
      </c>
      <c r="BB235" s="884">
        <f>Drivers!BB59</f>
        <v>4.9000000000000002E-2</v>
      </c>
      <c r="BC235" s="884">
        <f>Drivers!BC59</f>
        <v>4.9000000000000002E-2</v>
      </c>
      <c r="BD235" s="631"/>
    </row>
    <row r="236" spans="1:56" s="39" customFormat="1" x14ac:dyDescent="0.25">
      <c r="A236" s="630" t="s">
        <v>454</v>
      </c>
      <c r="B236" s="225"/>
      <c r="C236" s="790"/>
      <c r="D236" s="790"/>
      <c r="E236" s="790"/>
      <c r="F236" s="790"/>
      <c r="G236" s="790"/>
      <c r="H236" s="790"/>
      <c r="I236" s="790"/>
      <c r="J236" s="790"/>
      <c r="K236" s="790"/>
      <c r="L236" s="790"/>
      <c r="M236" s="790"/>
      <c r="N236" s="790"/>
      <c r="O236" s="790"/>
      <c r="P236" s="790"/>
      <c r="Q236" s="790"/>
      <c r="R236" s="790"/>
      <c r="S236" s="790"/>
      <c r="T236" s="790"/>
      <c r="U236" s="790"/>
      <c r="V236" s="790"/>
      <c r="W236" s="790"/>
      <c r="X236" s="790"/>
      <c r="Y236" s="790"/>
      <c r="Z236" s="790"/>
      <c r="AA236" s="790"/>
      <c r="AB236" s="790"/>
      <c r="AC236" s="790"/>
      <c r="AD236" s="790"/>
      <c r="AE236" s="790"/>
      <c r="AF236" s="794"/>
      <c r="AG236" s="792">
        <f>MAX(0,AG237*AF227*AG3/AY3)</f>
        <v>9.1223278688524582E-3</v>
      </c>
      <c r="AH236" s="792">
        <f ca="1">MAX(0,AH237*AG227*AH3/AY3)</f>
        <v>8.2177631529472654E-3</v>
      </c>
      <c r="AI236" s="792">
        <f ca="1">MAX(0,AI237*AY227*AI3/AZ3)</f>
        <v>1.4514508970996329E-2</v>
      </c>
      <c r="AJ236" s="792">
        <f ca="1">MAX(0,AJ237*AI227*AJ3/AZ3)</f>
        <v>1.0679235158546822E-2</v>
      </c>
      <c r="AK236" s="792">
        <f ca="1">MAX(0,AK237*AJ227*AK3/AZ3)</f>
        <v>2.1859464594944214E-2</v>
      </c>
      <c r="AL236" s="792">
        <f ca="1">MAX(0,AL237*AK227*AL3/AZ3)</f>
        <v>1.9626114761022585E-2</v>
      </c>
      <c r="AM236" s="792"/>
      <c r="AN236" s="791">
        <f t="shared" ref="AN236:AX236" si="191">AN155</f>
        <v>6.3E-2</v>
      </c>
      <c r="AO236" s="791">
        <f t="shared" si="191"/>
        <v>0.105</v>
      </c>
      <c r="AP236" s="791">
        <f t="shared" si="191"/>
        <v>5.7000000000000002E-2</v>
      </c>
      <c r="AQ236" s="791">
        <f t="shared" si="191"/>
        <v>2.9000000000000001E-2</v>
      </c>
      <c r="AR236" s="791">
        <f t="shared" si="191"/>
        <v>5.6000000000000001E-2</v>
      </c>
      <c r="AS236" s="791">
        <f t="shared" si="191"/>
        <v>0.112</v>
      </c>
      <c r="AT236" s="791">
        <f t="shared" si="191"/>
        <v>0.14899999999999999</v>
      </c>
      <c r="AU236" s="791">
        <f t="shared" si="191"/>
        <v>9.4E-2</v>
      </c>
      <c r="AV236" s="791">
        <f t="shared" si="191"/>
        <v>4.2999999999999997E-2</v>
      </c>
      <c r="AW236" s="791">
        <f t="shared" si="191"/>
        <v>8.0000000000000002E-3</v>
      </c>
      <c r="AX236" s="952">
        <f t="shared" si="191"/>
        <v>0.05</v>
      </c>
      <c r="AY236" s="793" t="str">
        <f ca="1">IF(OR(ISBLANK(AE236),ISBLANK(AF236),ISBLANK(AG236),ISBLANK(AH236)),"n/a",SUM(AE236,AF236,AG236,AH236))</f>
        <v>n/a</v>
      </c>
      <c r="AZ236" s="793">
        <f ca="1">IF(OR(ISBLANK(AI236),ISBLANK(AJ236),ISBLANK(AK236),ISBLANK(AL236)),"n/a",SUM(AI236,AJ236,AK236,AL236))</f>
        <v>6.667932348550995E-2</v>
      </c>
      <c r="BA236" s="793">
        <f ca="1">BA237*AZ227</f>
        <v>8.3801811830332348E-2</v>
      </c>
      <c r="BB236" s="793">
        <f ca="1">BB237*BA227</f>
        <v>0.13019474042059778</v>
      </c>
      <c r="BC236" s="793">
        <f ca="1">BC237*BB227</f>
        <v>0.19263493239717508</v>
      </c>
      <c r="BD236" s="631"/>
    </row>
    <row r="237" spans="1:56" s="39" customFormat="1" x14ac:dyDescent="0.25">
      <c r="A237" s="633" t="s">
        <v>455</v>
      </c>
      <c r="B237" s="504"/>
      <c r="C237" s="394"/>
      <c r="D237" s="394"/>
      <c r="E237" s="394"/>
      <c r="F237" s="394"/>
      <c r="G237" s="394"/>
      <c r="H237" s="394"/>
      <c r="I237" s="394"/>
      <c r="J237" s="394"/>
      <c r="K237" s="394"/>
      <c r="L237" s="394"/>
      <c r="M237" s="394"/>
      <c r="N237" s="394"/>
      <c r="O237" s="394"/>
      <c r="P237" s="394"/>
      <c r="Q237" s="394"/>
      <c r="R237" s="394"/>
      <c r="S237" s="394"/>
      <c r="T237" s="394"/>
      <c r="U237" s="394"/>
      <c r="V237" s="394"/>
      <c r="W237" s="394"/>
      <c r="X237" s="394"/>
      <c r="Y237" s="394"/>
      <c r="Z237" s="394"/>
      <c r="AA237" s="394"/>
      <c r="AB237" s="394"/>
      <c r="AC237" s="394"/>
      <c r="AD237" s="394"/>
      <c r="AE237" s="394"/>
      <c r="AF237" s="648"/>
      <c r="AG237" s="884">
        <f>Drivers!AG60</f>
        <v>3.0000000000000001E-3</v>
      </c>
      <c r="AH237" s="884">
        <f>Drivers!AH60</f>
        <v>3.0000000000000001E-3</v>
      </c>
      <c r="AI237" s="884">
        <f>Drivers!AI60</f>
        <v>3.0000000000000001E-3</v>
      </c>
      <c r="AJ237" s="884">
        <f>Drivers!AJ60</f>
        <v>3.0000000000000001E-3</v>
      </c>
      <c r="AK237" s="884">
        <f>Drivers!AK60</f>
        <v>3.0000000000000001E-3</v>
      </c>
      <c r="AL237" s="884">
        <f>Drivers!AL60</f>
        <v>3.0000000000000001E-3</v>
      </c>
      <c r="AM237" s="884"/>
      <c r="AN237" s="393"/>
      <c r="AO237" s="393">
        <f>IFERROR(AO236/AVERAGE(AN227,AO227),"n/a")</f>
        <v>5.2890064223649414E-3</v>
      </c>
      <c r="AP237" s="393">
        <f>IFERROR(AP236/AVERAGE(AO227,AP227),"n/a")</f>
        <v>3.4490061416512876E-3</v>
      </c>
      <c r="AQ237" s="393">
        <f>IFERROR(AQ236/AVERAGE(AP227,AQ227),"n/a")</f>
        <v>4.8690396239086638E-3</v>
      </c>
      <c r="AR237" s="393">
        <f>IFERROR(AR236/AVERAGE(C227,D227,E227,F227),"n/a")</f>
        <v>8.5304086218058565E-3</v>
      </c>
      <c r="AS237" s="393">
        <f>IFERROR(AS236/AVERAGE(G227,H227,I227,J227),"n/a")</f>
        <v>1.2832263978001831E-2</v>
      </c>
      <c r="AT237" s="393">
        <f>IFERROR(AT236/AVERAGE(K227,L227,M227,N227),"n/a")</f>
        <v>1.0078463203463202E-2</v>
      </c>
      <c r="AU237" s="393">
        <f>IFERROR(AU236/AVERAGE(O227,P227,Q227,R227),"n/a")</f>
        <v>5.933313345221001E-3</v>
      </c>
      <c r="AV237" s="393">
        <f>IFERROR(AV236/AVERAGE(S227,T227,U227,V227),"n/a")</f>
        <v>2.1287655635040472E-3</v>
      </c>
      <c r="AW237" s="393">
        <f>IFERROR(AW236/AVERAGE(W227,X227,Y227,Z227),"n/a")</f>
        <v>5.8373921450591943E-4</v>
      </c>
      <c r="AX237" s="929">
        <f>IFERROR(AX236/AVERAGE(AA227,AB227,AC227,AD227),"n/a")</f>
        <v>6.5711657247995801E-3</v>
      </c>
      <c r="AY237" s="120" t="str">
        <f ca="1">IFERROR(AY236/AVERAGE(AE227,AF227,AG227,AH227),"n/a")</f>
        <v>n/a</v>
      </c>
      <c r="AZ237" s="120">
        <f ca="1">IFERROR(AZ236/AVERAGE(AI227,AJ227,AK227,AL227),"n/a")</f>
        <v>2.5761753278953975E-3</v>
      </c>
      <c r="BA237" s="884">
        <f>Drivers!BA60</f>
        <v>2.4367365807640429E-3</v>
      </c>
      <c r="BB237" s="884">
        <f>Drivers!BB60</f>
        <v>2.4367365807640429E-3</v>
      </c>
      <c r="BC237" s="884">
        <f>Drivers!BC60</f>
        <v>2.4367365807640429E-3</v>
      </c>
      <c r="BD237" s="631"/>
    </row>
    <row r="238" spans="1:56" s="39" customFormat="1" hidden="1" outlineLevel="1" x14ac:dyDescent="0.25">
      <c r="A238" s="630" t="s">
        <v>456</v>
      </c>
      <c r="B238" s="225"/>
      <c r="C238" s="790"/>
      <c r="D238" s="790"/>
      <c r="E238" s="790"/>
      <c r="F238" s="790"/>
      <c r="G238" s="790"/>
      <c r="H238" s="790"/>
      <c r="I238" s="790"/>
      <c r="J238" s="790"/>
      <c r="K238" s="790"/>
      <c r="L238" s="790"/>
      <c r="M238" s="790"/>
      <c r="N238" s="790"/>
      <c r="O238" s="790"/>
      <c r="P238" s="790"/>
      <c r="Q238" s="790"/>
      <c r="R238" s="790"/>
      <c r="S238" s="790"/>
      <c r="T238" s="790"/>
      <c r="U238" s="790"/>
      <c r="V238" s="790"/>
      <c r="W238" s="790"/>
      <c r="X238" s="790"/>
      <c r="Y238" s="790"/>
      <c r="Z238" s="790"/>
      <c r="AA238" s="790"/>
      <c r="AB238" s="790"/>
      <c r="AC238" s="790"/>
      <c r="AD238" s="790"/>
      <c r="AE238" s="790"/>
      <c r="AF238" s="794"/>
      <c r="AG238" s="792">
        <f t="shared" ref="AG238:AL238" si="192">IFERROR(AG234-AG236,"n/a")</f>
        <v>0.70094925683060116</v>
      </c>
      <c r="AH238" s="792">
        <f t="shared" ca="1" si="192"/>
        <v>0.70185382154650633</v>
      </c>
      <c r="AI238" s="792">
        <f t="shared" ca="1" si="192"/>
        <v>0.68202384719338716</v>
      </c>
      <c r="AJ238" s="792">
        <f t="shared" ca="1" si="192"/>
        <v>0.69359843607432992</v>
      </c>
      <c r="AK238" s="792">
        <f t="shared" ca="1" si="192"/>
        <v>0.69015752170642564</v>
      </c>
      <c r="AL238" s="792">
        <f t="shared" ca="1" si="192"/>
        <v>0.69239087154034729</v>
      </c>
      <c r="AM238" s="792"/>
      <c r="AN238" s="791">
        <f t="shared" ref="AN238:AX238" si="193">IFERROR(AN234-AN236,"n/a")</f>
        <v>0.154</v>
      </c>
      <c r="AO238" s="791">
        <f t="shared" si="193"/>
        <v>0.13100000000000001</v>
      </c>
      <c r="AP238" s="791">
        <f t="shared" si="193"/>
        <v>0.152</v>
      </c>
      <c r="AQ238" s="791">
        <f t="shared" si="193"/>
        <v>0.24000000000000002</v>
      </c>
      <c r="AR238" s="791">
        <f t="shared" si="193"/>
        <v>0.31</v>
      </c>
      <c r="AS238" s="791">
        <f t="shared" si="193"/>
        <v>0.72099999999999997</v>
      </c>
      <c r="AT238" s="791">
        <f t="shared" si="193"/>
        <v>1.232</v>
      </c>
      <c r="AU238" s="791">
        <f t="shared" si="193"/>
        <v>1.474</v>
      </c>
      <c r="AV238" s="791">
        <f t="shared" si="193"/>
        <v>3.089</v>
      </c>
      <c r="AW238" s="791">
        <f t="shared" si="193"/>
        <v>2.9369999999999998</v>
      </c>
      <c r="AX238" s="952">
        <f t="shared" si="193"/>
        <v>6.008</v>
      </c>
      <c r="AY238" s="793">
        <f ca="1">SUM(AE238,AF238,AG238,AH238)</f>
        <v>1.4028030783771075</v>
      </c>
      <c r="AZ238" s="793">
        <f ca="1">SUM(AI238,AJ238,AK238,AL238)</f>
        <v>2.7581706765144904</v>
      </c>
      <c r="BA238" s="793">
        <f ca="1">IFERROR(BA234-BA236,"n/a")</f>
        <v>2.7410481881696676</v>
      </c>
      <c r="BB238" s="793">
        <f ca="1">IFERROR(BB234-BB236,"n/a")</f>
        <v>2.6946552595794024</v>
      </c>
      <c r="BC238" s="793">
        <f ca="1">IFERROR(BC234-BC236,"n/a")</f>
        <v>2.6322150676028251</v>
      </c>
      <c r="BD238" s="631"/>
    </row>
    <row r="239" spans="1:56" s="39" customFormat="1" hidden="1" outlineLevel="1" x14ac:dyDescent="0.25">
      <c r="A239" s="633" t="s">
        <v>457</v>
      </c>
      <c r="B239" s="504"/>
      <c r="C239" s="394"/>
      <c r="D239" s="394"/>
      <c r="E239" s="394"/>
      <c r="F239" s="394"/>
      <c r="G239" s="394"/>
      <c r="H239" s="394"/>
      <c r="I239" s="394"/>
      <c r="J239" s="394"/>
      <c r="K239" s="394"/>
      <c r="L239" s="394"/>
      <c r="M239" s="394"/>
      <c r="N239" s="394"/>
      <c r="O239" s="394"/>
      <c r="P239" s="394"/>
      <c r="Q239" s="394"/>
      <c r="R239" s="394"/>
      <c r="S239" s="394"/>
      <c r="T239" s="394"/>
      <c r="U239" s="394"/>
      <c r="V239" s="394"/>
      <c r="W239" s="394"/>
      <c r="X239" s="394"/>
      <c r="Y239" s="394"/>
      <c r="Z239" s="394"/>
      <c r="AA239" s="394"/>
      <c r="AB239" s="394"/>
      <c r="AC239" s="394"/>
      <c r="AD239" s="394"/>
      <c r="AE239" s="394"/>
      <c r="AF239" s="648"/>
      <c r="AG239" s="119">
        <f>IFERROR(IF(AG238/AVERAGE(AF230,AG230)&lt;0,"n/a",AG238/AVERAGE(AF230,AG230)*AY3/AG3),"n/a")</f>
        <v>4.8370494362532532E-2</v>
      </c>
      <c r="AH239" s="119">
        <f ca="1">IFERROR(IF(AH238/AVERAGE(AG230,AH230)&lt;0,"n/a",AH238/AVERAGE(AG230,AH230)*AY3/AH3),"n/a")</f>
        <v>4.8432915774731577E-2</v>
      </c>
      <c r="AI239" s="119">
        <f ca="1">IFERROR(IF(AI238/AVERAGE(AY230,AI230)&lt;0,"n/a",AI238/AVERAGE(AY230,AI230)*AZ3/AI3),"n/a")</f>
        <v>4.7978934995776497E-2</v>
      </c>
      <c r="AJ239" s="119">
        <f ca="1">IFERROR(IF(AJ238/AVERAGE(AI230,AJ230)&lt;0,"n/a",AJ238/AVERAGE(AI230,AJ230)*AZ3/AJ3),"n/a")</f>
        <v>4.8256994017923702E-2</v>
      </c>
      <c r="AK239" s="119">
        <f ca="1">IFERROR(IF(AK238/AVERAGE(AJ230,AK230)&lt;0,"n/a",AK238/AVERAGE(AJ230,AK230)*AZ3/AK3),"n/a")</f>
        <v>4.7495662623561474E-2</v>
      </c>
      <c r="AL239" s="119">
        <f ca="1">IFERROR(IF(AL238/AVERAGE(AK230,AL230)&lt;0,"n/a",AL238/AVERAGE(AK230,AL230)*AZ3/AL3),"n/a")</f>
        <v>4.7649358594258222E-2</v>
      </c>
      <c r="AM239" s="119"/>
      <c r="AN239" s="393"/>
      <c r="AO239" s="393" t="str">
        <f>IFERROR(IF(AO238/AVERAGE(AN230,AO230)&lt;0,"n/a",AO238/AVERAGE(AN230,AO230)),"n/a")</f>
        <v>n/a</v>
      </c>
      <c r="AP239" s="393" t="str">
        <f>IFERROR(IF(AP238/AVERAGE(AO230,AP230)&lt;0,"n/a",AP238/AVERAGE(AO230,AP230)),"n/a")</f>
        <v>n/a</v>
      </c>
      <c r="AQ239" s="393" t="str">
        <f>IFERROR(IF(AQ238/AVERAGE(AP230,AQ230)&lt;0,"n/a",AQ238/AVERAGE(AP230,AQ230)),"n/a")</f>
        <v>n/a</v>
      </c>
      <c r="AR239" s="393">
        <f>IFERROR(IF(AR238/AVERAGE(C230,D230,E230,F230)&lt;0,"n/a",AR238/AVERAGE(C230,D230,E230,F230)),"n/a")</f>
        <v>0.10335917312661498</v>
      </c>
      <c r="AS239" s="393">
        <f>IFERROR(IF(AS238/AVERAGE(G230,H230,I230,J230)&lt;0,"n/a",AS238/AVERAGE(G230,H230,I230,J230)),"n/a")</f>
        <v>3.4331698490548075E-2</v>
      </c>
      <c r="AT239" s="393">
        <f>IFERROR(IF(AT238/AVERAGE(K230,L230,M230,N230)&lt;0,"n/a",AT238/AVERAGE(K230,L230,M230,N230)),"n/a")</f>
        <v>2.0961382226211085E-2</v>
      </c>
      <c r="AU239" s="393">
        <f>IFERROR(IF(AU238/AVERAGE(O230,P230,Q230,R230)&lt;0,"n/a",AU238/AVERAGE(O230,P230,Q230,R230)),"n/a")</f>
        <v>2.5474294553011676E-2</v>
      </c>
      <c r="AV239" s="393">
        <f>IFERROR(IF(AV238/AVERAGE(S230,T230,U230,V230)&lt;0,"n/a",AV238/AVERAGE(S230,T230,U230,V230)),"n/a")</f>
        <v>5.0802996538028236E-2</v>
      </c>
      <c r="AW239" s="393">
        <f>IFERROR(IF(AW238/AVERAGE(W230,X230,Y230,Z230)&lt;0,"n/a",AW238/AVERAGE(W230,X230,Y230,Z230)),"n/a")</f>
        <v>2.988757813434146E-2</v>
      </c>
      <c r="AX239" s="929">
        <f>IFERROR(IF(AX238/AVERAGE(AA230,AB230,AC230,AD230)&lt;0,"n/a",AX238/AVERAGE(AA230,AB230,AC230,AD230)),"n/a")</f>
        <v>5.559398256210716E-2</v>
      </c>
      <c r="AY239" s="120">
        <f ca="1">IFERROR(IF(AY238/AVERAGE(AE230,AF230,AG230,AH230)&lt;0,"n/a",AY238/AVERAGE(AE230,AF230,AG230,AH230)),"n/a")</f>
        <v>2.2645305498304711E-2</v>
      </c>
      <c r="AZ239" s="120">
        <f ca="1">IFERROR(IF(AZ238/AVERAGE(AI230,AJ230,AK230,AL230)&lt;0,"n/a",AZ238/AVERAGE(AI230,AJ230,AK230,AL230)),"n/a")</f>
        <v>4.7843376869288648E-2</v>
      </c>
      <c r="BA239" s="120">
        <f ca="1">IFERROR(IF(BA238/AVERAGE(AZ230,BA230)&lt;0,"n/a",BA238/AVERAGE(AZ230,BA230)),"n/a")</f>
        <v>4.7546369265735779E-2</v>
      </c>
      <c r="BB239" s="120">
        <f ca="1">IFERROR(IF(BB238/AVERAGE(BA230,BB230)&lt;0,"n/a",BB238/AVERAGE(BA230,BB230)),"n/a")</f>
        <v>4.6741635031732912E-2</v>
      </c>
      <c r="BC239" s="120">
        <f ca="1">IFERROR(IF(BC238/AVERAGE(BB230,BC230)&lt;0,"n/a",BC238/AVERAGE(BB230,BC230)),"n/a")</f>
        <v>4.5658544104125329E-2</v>
      </c>
      <c r="BD239" s="631"/>
    </row>
    <row r="240" spans="1:56" s="39" customFormat="1" collapsed="1" x14ac:dyDescent="0.25">
      <c r="A240" s="633"/>
      <c r="B240" s="504"/>
      <c r="C240" s="394"/>
      <c r="D240" s="394"/>
      <c r="E240" s="394"/>
      <c r="F240" s="394"/>
      <c r="G240" s="394"/>
      <c r="H240" s="394"/>
      <c r="I240" s="394"/>
      <c r="J240" s="394"/>
      <c r="K240" s="394"/>
      <c r="L240" s="394"/>
      <c r="M240" s="394"/>
      <c r="N240" s="394"/>
      <c r="O240" s="394"/>
      <c r="P240" s="394"/>
      <c r="Q240" s="394"/>
      <c r="R240" s="394"/>
      <c r="S240" s="394"/>
      <c r="T240" s="394"/>
      <c r="U240" s="394"/>
      <c r="V240" s="394"/>
      <c r="W240" s="394"/>
      <c r="X240" s="394"/>
      <c r="Y240" s="394"/>
      <c r="Z240" s="394"/>
      <c r="AA240" s="394"/>
      <c r="AB240" s="394"/>
      <c r="AC240" s="394"/>
      <c r="AD240" s="394"/>
      <c r="AE240" s="394"/>
      <c r="AF240" s="648"/>
      <c r="AG240" s="119"/>
      <c r="AH240" s="119"/>
      <c r="AI240" s="119"/>
      <c r="AJ240" s="119"/>
      <c r="AK240" s="119"/>
      <c r="AL240" s="119"/>
      <c r="AM240" s="119"/>
      <c r="AN240" s="393"/>
      <c r="AO240" s="393"/>
      <c r="AP240" s="393"/>
      <c r="AQ240" s="393"/>
      <c r="AR240" s="393"/>
      <c r="AS240" s="393"/>
      <c r="AT240" s="393"/>
      <c r="AU240" s="393"/>
      <c r="AV240" s="393"/>
      <c r="AW240" s="393"/>
      <c r="AX240" s="929"/>
      <c r="AY240" s="120"/>
      <c r="AZ240" s="120"/>
      <c r="BA240" s="120"/>
      <c r="BB240" s="120"/>
      <c r="BC240" s="120"/>
      <c r="BD240" s="631"/>
    </row>
    <row r="241" spans="1:56" s="39" customFormat="1" x14ac:dyDescent="0.25">
      <c r="A241" s="633" t="s">
        <v>458</v>
      </c>
      <c r="B241" s="504"/>
      <c r="C241" s="605"/>
      <c r="D241" s="605"/>
      <c r="E241" s="605"/>
      <c r="F241" s="605"/>
      <c r="G241" s="605"/>
      <c r="H241" s="605"/>
      <c r="I241" s="605"/>
      <c r="J241" s="605"/>
      <c r="K241" s="605"/>
      <c r="L241" s="605"/>
      <c r="M241" s="605"/>
      <c r="N241" s="605"/>
      <c r="O241" s="605"/>
      <c r="P241" s="605"/>
      <c r="Q241" s="605"/>
      <c r="R241" s="605"/>
      <c r="S241" s="605"/>
      <c r="T241" s="605"/>
      <c r="U241" s="605"/>
      <c r="V241" s="605"/>
      <c r="W241" s="605"/>
      <c r="X241" s="605"/>
      <c r="Y241" s="605"/>
      <c r="Z241" s="605"/>
      <c r="AA241" s="605"/>
      <c r="AB241" s="605"/>
      <c r="AC241" s="605"/>
      <c r="AD241" s="605"/>
      <c r="AE241" s="605"/>
      <c r="AF241" s="663"/>
      <c r="AG241" s="606">
        <f t="shared" ref="AG241:AL241" si="194">IFERROR(IF(OR(AG168&lt;0,AG238&lt;0),"n/a",AG168/AG238),"n/a")</f>
        <v>8.4599561840081989</v>
      </c>
      <c r="AH241" s="606">
        <f t="shared" ca="1" si="194"/>
        <v>10.978069454722538</v>
      </c>
      <c r="AI241" s="606">
        <f t="shared" ca="1" si="194"/>
        <v>8.773214433224009</v>
      </c>
      <c r="AJ241" s="606">
        <f t="shared" ca="1" si="194"/>
        <v>9.5012603939807168</v>
      </c>
      <c r="AK241" s="606">
        <f t="shared" ca="1" si="194"/>
        <v>10.217812279382356</v>
      </c>
      <c r="AL241" s="606">
        <f t="shared" ca="1" si="194"/>
        <v>14.925167885316073</v>
      </c>
      <c r="AM241" s="606"/>
      <c r="AN241" s="421">
        <f t="shared" ref="AN241:BC241" si="195">IFERROR(IF(OR(AN168&lt;0,AN238&lt;0),"n/a",AN168/AN238),"n/a")</f>
        <v>122.03246753246758</v>
      </c>
      <c r="AO241" s="421">
        <f t="shared" si="195"/>
        <v>208.62595419847324</v>
      </c>
      <c r="AP241" s="421">
        <f t="shared" si="195"/>
        <v>249.25657894736815</v>
      </c>
      <c r="AQ241" s="421">
        <f t="shared" si="195"/>
        <v>198.57083333333333</v>
      </c>
      <c r="AR241" s="421">
        <f t="shared" si="195"/>
        <v>164.98064516129048</v>
      </c>
      <c r="AS241" s="421">
        <f t="shared" si="195"/>
        <v>80.77253814147025</v>
      </c>
      <c r="AT241" s="421">
        <f t="shared" si="195"/>
        <v>36.467532467532429</v>
      </c>
      <c r="AU241" s="421">
        <f t="shared" si="195"/>
        <v>25.823609226594325</v>
      </c>
      <c r="AV241" s="421">
        <f t="shared" si="195"/>
        <v>15.948850760764003</v>
      </c>
      <c r="AW241" s="421">
        <f t="shared" si="195"/>
        <v>12.910112359550563</v>
      </c>
      <c r="AX241" s="953">
        <f t="shared" si="195"/>
        <v>6.8114181091877448</v>
      </c>
      <c r="AY241" s="215">
        <f t="shared" ca="1" si="195"/>
        <v>16.42639680165107</v>
      </c>
      <c r="AZ241" s="215">
        <f t="shared" ca="1" si="195"/>
        <v>10.862109101913875</v>
      </c>
      <c r="BA241" s="215">
        <f t="shared" ca="1" si="195"/>
        <v>14.59407181991646</v>
      </c>
      <c r="BB241" s="215">
        <f t="shared" ca="1" si="195"/>
        <v>18.472672562860478</v>
      </c>
      <c r="BC241" s="215">
        <f t="shared" ca="1" si="195"/>
        <v>19.696854991874492</v>
      </c>
      <c r="BD241" s="631"/>
    </row>
    <row r="242" spans="1:56" s="51" customFormat="1" x14ac:dyDescent="0.25">
      <c r="A242" s="172" t="s">
        <v>144</v>
      </c>
      <c r="B242" s="192"/>
      <c r="C242" s="418"/>
      <c r="D242" s="418"/>
      <c r="E242" s="418"/>
      <c r="F242" s="418"/>
      <c r="G242" s="418"/>
      <c r="H242" s="418"/>
      <c r="I242" s="418"/>
      <c r="J242" s="418"/>
      <c r="K242" s="418"/>
      <c r="L242" s="418"/>
      <c r="M242" s="418"/>
      <c r="N242" s="418"/>
      <c r="O242" s="418"/>
      <c r="P242" s="418"/>
      <c r="Q242" s="419"/>
      <c r="R242" s="418"/>
      <c r="S242" s="418"/>
      <c r="T242" s="418"/>
      <c r="U242" s="419"/>
      <c r="V242" s="420"/>
      <c r="W242" s="418"/>
      <c r="X242" s="418"/>
      <c r="Y242" s="419"/>
      <c r="Z242" s="420"/>
      <c r="AA242" s="418"/>
      <c r="AB242" s="418"/>
      <c r="AC242" s="419"/>
      <c r="AD242" s="420"/>
      <c r="AE242" s="418"/>
      <c r="AF242" s="664"/>
      <c r="AG242" s="205"/>
      <c r="AH242" s="205"/>
      <c r="AI242" s="205"/>
      <c r="AJ242" s="205"/>
      <c r="AK242" s="205"/>
      <c r="AL242" s="205"/>
      <c r="AM242" s="205"/>
      <c r="AN242" s="417" t="str">
        <f t="shared" ref="AN242:BC242" si="196">IF(AN232&lt;0,"n/a",AN232/AN168)</f>
        <v>n/a</v>
      </c>
      <c r="AO242" s="417" t="str">
        <f t="shared" si="196"/>
        <v>n/a</v>
      </c>
      <c r="AP242" s="417" t="str">
        <f t="shared" si="196"/>
        <v>n/a</v>
      </c>
      <c r="AQ242" s="417" t="str">
        <f t="shared" si="196"/>
        <v>n/a</v>
      </c>
      <c r="AR242" s="417" t="str">
        <f t="shared" si="196"/>
        <v>n/a</v>
      </c>
      <c r="AS242" s="417">
        <f t="shared" si="196"/>
        <v>0.75613441626457345</v>
      </c>
      <c r="AT242" s="417">
        <f t="shared" si="196"/>
        <v>0.83462428774928865</v>
      </c>
      <c r="AU242" s="417">
        <f t="shared" si="196"/>
        <v>1.0862757461118107</v>
      </c>
      <c r="AV242" s="421">
        <f t="shared" si="196"/>
        <v>0.85421994884910479</v>
      </c>
      <c r="AW242" s="421">
        <f t="shared" si="196"/>
        <v>2.7186486272648152</v>
      </c>
      <c r="AX242" s="953">
        <f t="shared" si="196"/>
        <v>2.5594653373408613</v>
      </c>
      <c r="AY242" s="215">
        <f t="shared" ca="1" si="196"/>
        <v>2.801698310499428</v>
      </c>
      <c r="AZ242" s="215">
        <f t="shared" ca="1" si="196"/>
        <v>1.6619073710706855</v>
      </c>
      <c r="BA242" s="215">
        <f t="shared" ca="1" si="196"/>
        <v>0.76871728171314502</v>
      </c>
      <c r="BB242" s="215">
        <f t="shared" ca="1" si="196"/>
        <v>0.10298882203686141</v>
      </c>
      <c r="BC242" s="215" t="str">
        <f t="shared" ca="1" si="196"/>
        <v>n/a</v>
      </c>
      <c r="BD242" s="205"/>
    </row>
    <row r="243" spans="1:56" s="51" customFormat="1" x14ac:dyDescent="0.25">
      <c r="A243" s="172" t="s">
        <v>145</v>
      </c>
      <c r="B243" s="192"/>
      <c r="C243" s="418"/>
      <c r="D243" s="418"/>
      <c r="E243" s="418"/>
      <c r="F243" s="418"/>
      <c r="G243" s="418"/>
      <c r="H243" s="418"/>
      <c r="I243" s="418"/>
      <c r="J243" s="418"/>
      <c r="K243" s="418"/>
      <c r="L243" s="418"/>
      <c r="M243" s="418"/>
      <c r="N243" s="418"/>
      <c r="O243" s="418"/>
      <c r="P243" s="418"/>
      <c r="Q243" s="419"/>
      <c r="R243" s="418"/>
      <c r="S243" s="418"/>
      <c r="T243" s="418"/>
      <c r="U243" s="419"/>
      <c r="V243" s="420"/>
      <c r="W243" s="418"/>
      <c r="X243" s="418"/>
      <c r="Y243" s="419"/>
      <c r="Z243" s="420"/>
      <c r="AA243" s="418"/>
      <c r="AB243" s="418"/>
      <c r="AC243" s="419"/>
      <c r="AD243" s="420"/>
      <c r="AE243" s="418"/>
      <c r="AF243" s="664"/>
      <c r="AG243" s="205"/>
      <c r="AH243" s="205"/>
      <c r="AI243" s="205"/>
      <c r="AJ243" s="205"/>
      <c r="AK243" s="205"/>
      <c r="AL243" s="205"/>
      <c r="AM243" s="205"/>
      <c r="AN243" s="417" t="str">
        <f t="shared" ref="AN243:BC243" si="197">IF(AN232&lt;0,"n/a",AN232/AN207)</f>
        <v>n/a</v>
      </c>
      <c r="AO243" s="417" t="str">
        <f t="shared" si="197"/>
        <v>n/a</v>
      </c>
      <c r="AP243" s="417" t="str">
        <f t="shared" si="197"/>
        <v>n/a</v>
      </c>
      <c r="AQ243" s="417" t="str">
        <f t="shared" si="197"/>
        <v>n/a</v>
      </c>
      <c r="AR243" s="417" t="str">
        <f t="shared" si="197"/>
        <v>n/a</v>
      </c>
      <c r="AS243" s="417">
        <f t="shared" si="197"/>
        <v>1.0961069348334742</v>
      </c>
      <c r="AT243" s="417">
        <f t="shared" si="197"/>
        <v>1.1722520945354511</v>
      </c>
      <c r="AU243" s="417">
        <f t="shared" si="197"/>
        <v>1.3295604360268818</v>
      </c>
      <c r="AV243" s="421">
        <f t="shared" si="197"/>
        <v>1.7357089829250185</v>
      </c>
      <c r="AW243" s="421">
        <f t="shared" si="197"/>
        <v>5.5705485004052946</v>
      </c>
      <c r="AX243" s="953">
        <f t="shared" si="197"/>
        <v>6.3956158026500569</v>
      </c>
      <c r="AY243" s="215">
        <f t="shared" ca="1" si="197"/>
        <v>4.4058192583276217</v>
      </c>
      <c r="AZ243" s="215">
        <f t="shared" ca="1" si="197"/>
        <v>2.0525979973408575</v>
      </c>
      <c r="BA243" s="215">
        <f t="shared" ca="1" si="197"/>
        <v>0.96085753210794844</v>
      </c>
      <c r="BB243" s="215">
        <f t="shared" ca="1" si="197"/>
        <v>0.12956966055767333</v>
      </c>
      <c r="BC243" s="215" t="str">
        <f t="shared" ca="1" si="197"/>
        <v>n/a</v>
      </c>
      <c r="BD243" s="205"/>
    </row>
    <row r="244" spans="1:56" s="27" customFormat="1" x14ac:dyDescent="0.25">
      <c r="A244" s="173"/>
      <c r="B244" s="173"/>
      <c r="C244" s="423"/>
      <c r="D244" s="423"/>
      <c r="E244" s="423"/>
      <c r="F244" s="423"/>
      <c r="G244" s="423"/>
      <c r="H244" s="423"/>
      <c r="I244" s="423"/>
      <c r="J244" s="423"/>
      <c r="K244" s="423"/>
      <c r="L244" s="423"/>
      <c r="M244" s="423"/>
      <c r="N244" s="423"/>
      <c r="O244" s="423"/>
      <c r="P244" s="423"/>
      <c r="Q244" s="424"/>
      <c r="R244" s="423"/>
      <c r="S244" s="423"/>
      <c r="T244" s="423"/>
      <c r="U244" s="424"/>
      <c r="V244" s="423"/>
      <c r="W244" s="423"/>
      <c r="X244" s="423"/>
      <c r="Y244" s="424"/>
      <c r="Z244" s="423"/>
      <c r="AA244" s="423"/>
      <c r="AB244" s="423"/>
      <c r="AC244" s="424"/>
      <c r="AD244" s="423"/>
      <c r="AE244" s="423"/>
      <c r="AF244" s="665"/>
      <c r="AG244" s="373"/>
      <c r="AH244" s="373"/>
      <c r="AI244" s="373"/>
      <c r="AJ244" s="373"/>
      <c r="AK244" s="373"/>
      <c r="AL244" s="373"/>
      <c r="AM244" s="373"/>
      <c r="AN244" s="422"/>
      <c r="AO244" s="422"/>
      <c r="AP244" s="422"/>
      <c r="AQ244" s="422"/>
      <c r="AR244" s="422"/>
      <c r="AS244" s="422"/>
      <c r="AT244" s="422"/>
      <c r="AU244" s="422"/>
      <c r="AV244" s="422"/>
      <c r="AW244" s="422"/>
      <c r="AX244" s="954"/>
      <c r="AY244" s="372"/>
      <c r="AZ244" s="372"/>
      <c r="BA244" s="372"/>
      <c r="BB244" s="372"/>
      <c r="BC244" s="372"/>
      <c r="BD244" s="76"/>
    </row>
    <row r="245" spans="1:56" s="38" customFormat="1" x14ac:dyDescent="0.25">
      <c r="A245" s="626" t="s">
        <v>146</v>
      </c>
      <c r="B245" s="626"/>
      <c r="C245" s="719"/>
      <c r="D245" s="719"/>
      <c r="E245" s="719"/>
      <c r="F245" s="719"/>
      <c r="G245" s="719"/>
      <c r="H245" s="719"/>
      <c r="I245" s="719"/>
      <c r="J245" s="719"/>
      <c r="K245" s="719"/>
      <c r="L245" s="719"/>
      <c r="M245" s="719"/>
      <c r="N245" s="719"/>
      <c r="O245" s="719"/>
      <c r="P245" s="719"/>
      <c r="Q245" s="719"/>
      <c r="R245" s="719"/>
      <c r="S245" s="719"/>
      <c r="T245" s="719"/>
      <c r="U245" s="719"/>
      <c r="V245" s="719"/>
      <c r="W245" s="719"/>
      <c r="X245" s="719"/>
      <c r="Y245" s="719"/>
      <c r="Z245" s="719"/>
      <c r="AA245" s="719"/>
      <c r="AB245" s="719"/>
      <c r="AC245" s="719"/>
      <c r="AD245" s="719"/>
      <c r="AE245" s="719"/>
      <c r="AF245" s="720"/>
      <c r="AG245" s="721"/>
      <c r="AH245" s="721"/>
      <c r="AI245" s="721"/>
      <c r="AJ245" s="721"/>
      <c r="AK245" s="721"/>
      <c r="AL245" s="721"/>
      <c r="AM245" s="721"/>
      <c r="AN245" s="719"/>
      <c r="AO245" s="719"/>
      <c r="AP245" s="719"/>
      <c r="AQ245" s="719"/>
      <c r="AR245" s="719"/>
      <c r="AS245" s="719"/>
      <c r="AT245" s="719"/>
      <c r="AU245" s="719"/>
      <c r="AV245" s="719"/>
      <c r="AW245" s="719"/>
      <c r="AX245" s="720"/>
      <c r="AY245" s="721"/>
      <c r="AZ245" s="721"/>
      <c r="BA245" s="721"/>
      <c r="BB245" s="721"/>
      <c r="BC245" s="721"/>
      <c r="BD245" s="632"/>
    </row>
    <row r="246" spans="1:56" s="368" customFormat="1" x14ac:dyDescent="0.25">
      <c r="A246" s="174" t="s">
        <v>380</v>
      </c>
      <c r="B246" s="364" t="s">
        <v>147</v>
      </c>
      <c r="C246" s="426">
        <f t="shared" ref="C246:AL246" ca="1" si="198">INDEX(MO_VA_StockPrice_TradingCurrency,1,COLUMN())/INDEX(MO_VA_FX_Average,1,COLUMN())</f>
        <v>22.085000000000001</v>
      </c>
      <c r="D246" s="426">
        <f t="shared" ca="1" si="198"/>
        <v>23.125</v>
      </c>
      <c r="E246" s="426">
        <f t="shared" ca="1" si="198"/>
        <v>25.465</v>
      </c>
      <c r="F246" s="426">
        <f t="shared" ca="1" si="198"/>
        <v>27.745000000000001</v>
      </c>
      <c r="G246" s="426">
        <f t="shared" ca="1" si="198"/>
        <v>28.07</v>
      </c>
      <c r="H246" s="426">
        <f t="shared" ca="1" si="198"/>
        <v>25.83</v>
      </c>
      <c r="I246" s="426">
        <f t="shared" ca="1" si="198"/>
        <v>26.21</v>
      </c>
      <c r="J246" s="426">
        <f t="shared" ca="1" si="198"/>
        <v>30.87</v>
      </c>
      <c r="K246" s="426">
        <f t="shared" ca="1" si="198"/>
        <v>29.43</v>
      </c>
      <c r="L246" s="426">
        <f t="shared" ca="1" si="198"/>
        <v>33.615000000000002</v>
      </c>
      <c r="M246" s="426">
        <f t="shared" ca="1" si="198"/>
        <v>28.73</v>
      </c>
      <c r="N246" s="426">
        <f t="shared" ca="1" si="198"/>
        <v>25.58</v>
      </c>
      <c r="O246" s="426">
        <f t="shared" ca="1" si="198"/>
        <v>24.875</v>
      </c>
      <c r="P246" s="426">
        <f t="shared" ca="1" si="198"/>
        <v>23.71</v>
      </c>
      <c r="Q246" s="427">
        <f t="shared" ca="1" si="198"/>
        <v>22.545000000000002</v>
      </c>
      <c r="R246" s="426">
        <f t="shared" ca="1" si="198"/>
        <v>26.875</v>
      </c>
      <c r="S246" s="426">
        <f t="shared" ca="1" si="198"/>
        <v>26.175000000000001</v>
      </c>
      <c r="T246" s="426">
        <f t="shared" ca="1" si="198"/>
        <v>25.675000000000001</v>
      </c>
      <c r="U246" s="427">
        <f t="shared" ca="1" si="198"/>
        <v>28.5</v>
      </c>
      <c r="V246" s="426">
        <f t="shared" ca="1" si="198"/>
        <v>26.774999999999999</v>
      </c>
      <c r="W246" s="426">
        <f t="shared" ca="1" si="198"/>
        <v>23.4155737704918</v>
      </c>
      <c r="X246" s="426">
        <f t="shared" ca="1" si="198"/>
        <v>20.366250000000001</v>
      </c>
      <c r="Y246" s="427">
        <f t="shared" ca="1" si="198"/>
        <v>18.4206349206349</v>
      </c>
      <c r="Z246" s="426">
        <f t="shared" ca="1" si="198"/>
        <v>14.2795238095238</v>
      </c>
      <c r="AA246" s="426">
        <f t="shared" ca="1" si="198"/>
        <v>14.5911475409836</v>
      </c>
      <c r="AB246" s="426">
        <f t="shared" ca="1" si="198"/>
        <v>13.7668253968254</v>
      </c>
      <c r="AC246" s="426">
        <f t="shared" ca="1" si="198"/>
        <v>14.08984375</v>
      </c>
      <c r="AD246" s="426">
        <f t="shared" ca="1" si="198"/>
        <v>12.4028125</v>
      </c>
      <c r="AE246" s="426">
        <f t="shared" ca="1" si="198"/>
        <v>11.657096774193599</v>
      </c>
      <c r="AF246" s="666">
        <f t="shared" ca="1" si="198"/>
        <v>7.1984126984127004</v>
      </c>
      <c r="AG246" s="365">
        <f t="shared" ca="1" si="198"/>
        <v>8.1999999999999993</v>
      </c>
      <c r="AH246" s="365">
        <f t="shared" ca="1" si="198"/>
        <v>8.1999999999999993</v>
      </c>
      <c r="AI246" s="365">
        <f t="shared" ca="1" si="198"/>
        <v>8.1999999999999993</v>
      </c>
      <c r="AJ246" s="365">
        <f t="shared" ca="1" si="198"/>
        <v>8.1999999999999993</v>
      </c>
      <c r="AK246" s="365">
        <f t="shared" ca="1" si="198"/>
        <v>8.1999999999999993</v>
      </c>
      <c r="AL246" s="365">
        <f t="shared" ca="1" si="198"/>
        <v>8.1999999999999993</v>
      </c>
      <c r="AM246" s="365"/>
      <c r="AN246" s="425">
        <f t="shared" ref="AN246:BC246" ca="1" si="199">INDEX(MO_VA_StockPrice_TradingCurrency,1,COLUMN())/INDEX(MO_VA_FX_Average,1,COLUMN())</f>
        <v>5.65625</v>
      </c>
      <c r="AO246" s="425">
        <f t="shared" ca="1" si="199"/>
        <v>8.2650000000000006</v>
      </c>
      <c r="AP246" s="425">
        <f t="shared" ca="1" si="199"/>
        <v>12.03</v>
      </c>
      <c r="AQ246" s="425">
        <f t="shared" ca="1" si="199"/>
        <v>17.61375</v>
      </c>
      <c r="AR246" s="425">
        <f t="shared" ca="1" si="199"/>
        <v>24.605</v>
      </c>
      <c r="AS246" s="425">
        <f t="shared" ca="1" si="199"/>
        <v>27.745000000000001</v>
      </c>
      <c r="AT246" s="425">
        <f t="shared" ca="1" si="199"/>
        <v>29.338750000000001</v>
      </c>
      <c r="AU246" s="425">
        <f t="shared" ca="1" si="199"/>
        <v>24.501249999999999</v>
      </c>
      <c r="AV246" s="428">
        <f t="shared" ca="1" si="199"/>
        <v>26.78125</v>
      </c>
      <c r="AW246" s="428">
        <f t="shared" ca="1" si="199"/>
        <v>19.091235059761001</v>
      </c>
      <c r="AX246" s="950">
        <f t="shared" ca="1" si="199"/>
        <v>13.701984126984099</v>
      </c>
      <c r="AY246" s="366">
        <f t="shared" ca="1" si="199"/>
        <v>8.1999999999999993</v>
      </c>
      <c r="AZ246" s="366">
        <f t="shared" ca="1" si="199"/>
        <v>8.1999999999999993</v>
      </c>
      <c r="BA246" s="366">
        <f t="shared" ca="1" si="199"/>
        <v>8.1999999999999993</v>
      </c>
      <c r="BB246" s="366">
        <f t="shared" ca="1" si="199"/>
        <v>8.1999999999999993</v>
      </c>
      <c r="BC246" s="366">
        <f t="shared" ca="1" si="199"/>
        <v>8.1999999999999993</v>
      </c>
      <c r="BD246" s="367"/>
    </row>
    <row r="247" spans="1:56" s="39" customFormat="1" x14ac:dyDescent="0.25">
      <c r="A247" s="631" t="str">
        <f>"Market Cap - "&amp;MO.ValuationToggle</f>
        <v>Market Cap - Avg</v>
      </c>
      <c r="B247" s="171"/>
      <c r="C247" s="723">
        <f t="shared" ref="C247:AL247" ca="1" si="200">C204*C246</f>
        <v>426.15215999999998</v>
      </c>
      <c r="D247" s="723">
        <f t="shared" ca="1" si="200"/>
        <v>447.09875</v>
      </c>
      <c r="E247" s="723">
        <f t="shared" ca="1" si="200"/>
        <v>494.12286</v>
      </c>
      <c r="F247" s="723">
        <f t="shared" ca="1" si="200"/>
        <v>538.69691999999998</v>
      </c>
      <c r="G247" s="723">
        <f t="shared" ca="1" si="200"/>
        <v>545.17554000000007</v>
      </c>
      <c r="H247" s="723">
        <f t="shared" ca="1" si="200"/>
        <v>501.48944999999992</v>
      </c>
      <c r="I247" s="723">
        <f t="shared" ca="1" si="200"/>
        <v>508.23810999999995</v>
      </c>
      <c r="J247" s="723">
        <f t="shared" ca="1" si="200"/>
        <v>535.16232000000002</v>
      </c>
      <c r="K247" s="723">
        <f t="shared" ca="1" si="200"/>
        <v>509.52158999999995</v>
      </c>
      <c r="L247" s="723">
        <f t="shared" ca="1" si="200"/>
        <v>583.35470999999995</v>
      </c>
      <c r="M247" s="723">
        <f t="shared" ca="1" si="200"/>
        <v>496.22455999999994</v>
      </c>
      <c r="N247" s="723">
        <f t="shared" ca="1" si="200"/>
        <v>437.90401999999995</v>
      </c>
      <c r="O247" s="723">
        <f t="shared" ca="1" si="200"/>
        <v>418.67112499999996</v>
      </c>
      <c r="P247" s="723">
        <f t="shared" ca="1" si="200"/>
        <v>399.06301000000002</v>
      </c>
      <c r="Q247" s="724">
        <f t="shared" ca="1" si="200"/>
        <v>377.56111500000003</v>
      </c>
      <c r="R247" s="723">
        <f t="shared" ca="1" si="200"/>
        <v>452.03750000000002</v>
      </c>
      <c r="S247" s="723">
        <f t="shared" ca="1" si="200"/>
        <v>440.81317500000006</v>
      </c>
      <c r="T247" s="723">
        <f t="shared" ca="1" si="200"/>
        <v>432.18727499999994</v>
      </c>
      <c r="U247" s="724">
        <f t="shared" ca="1" si="200"/>
        <v>481.536</v>
      </c>
      <c r="V247" s="723">
        <f t="shared" ca="1" si="200"/>
        <v>452.952675</v>
      </c>
      <c r="W247" s="723">
        <f t="shared" ca="1" si="200"/>
        <v>391.34448442622949</v>
      </c>
      <c r="X247" s="723">
        <f t="shared" ca="1" si="200"/>
        <v>338.10011624999999</v>
      </c>
      <c r="Y247" s="724">
        <f t="shared" ca="1" si="200"/>
        <v>306.29831746031709</v>
      </c>
      <c r="Z247" s="723">
        <f t="shared" ca="1" si="200"/>
        <v>237.78263047619035</v>
      </c>
      <c r="AA247" s="723">
        <f t="shared" ca="1" si="200"/>
        <v>243.71593737704907</v>
      </c>
      <c r="AB247" s="723">
        <f t="shared" ca="1" si="200"/>
        <v>231.00733015873024</v>
      </c>
      <c r="AC247" s="723">
        <f t="shared" ca="1" si="200"/>
        <v>238.66786328124999</v>
      </c>
      <c r="AD247" s="723">
        <f t="shared" ca="1" si="200"/>
        <v>211.09586874999999</v>
      </c>
      <c r="AE247" s="723">
        <f t="shared" ca="1" si="200"/>
        <v>199.53452548387185</v>
      </c>
      <c r="AF247" s="727">
        <f t="shared" ca="1" si="200"/>
        <v>123.86308730158734</v>
      </c>
      <c r="AG247" s="737">
        <f t="shared" ca="1" si="200"/>
        <v>141.09739999999999</v>
      </c>
      <c r="AH247" s="737">
        <f t="shared" ca="1" si="200"/>
        <v>141.09739999999999</v>
      </c>
      <c r="AI247" s="737">
        <f t="shared" ca="1" si="200"/>
        <v>141.09739999999999</v>
      </c>
      <c r="AJ247" s="737">
        <f t="shared" ca="1" si="200"/>
        <v>141.09739999999999</v>
      </c>
      <c r="AK247" s="737">
        <f t="shared" ca="1" si="200"/>
        <v>141.09739999999999</v>
      </c>
      <c r="AL247" s="737">
        <f t="shared" ca="1" si="200"/>
        <v>141.09739999999999</v>
      </c>
      <c r="AM247" s="737"/>
      <c r="AN247" s="722">
        <f t="shared" ref="AN247:BC247" ca="1" si="201">AN204*AN246</f>
        <v>89.996593750000002</v>
      </c>
      <c r="AO247" s="722">
        <f t="shared" ca="1" si="201"/>
        <v>154.795185</v>
      </c>
      <c r="AP247" s="722">
        <f t="shared" ca="1" si="201"/>
        <v>228.69030000000001</v>
      </c>
      <c r="AQ247" s="722">
        <f t="shared" ca="1" si="201"/>
        <v>339.50503124999994</v>
      </c>
      <c r="AR247" s="722">
        <f t="shared" ca="1" si="201"/>
        <v>476.40200999999996</v>
      </c>
      <c r="AS247" s="722">
        <f t="shared" ca="1" si="201"/>
        <v>524.01981499999999</v>
      </c>
      <c r="AT247" s="722">
        <f t="shared" ca="1" si="201"/>
        <v>506.50418000000002</v>
      </c>
      <c r="AU247" s="722">
        <f t="shared" ca="1" si="201"/>
        <v>411.40048874999997</v>
      </c>
      <c r="AV247" s="726">
        <f t="shared" ca="1" si="201"/>
        <v>451.88003125</v>
      </c>
      <c r="AW247" s="726">
        <f t="shared" ca="1" si="201"/>
        <v>318.74726055776972</v>
      </c>
      <c r="AX247" s="925">
        <f t="shared" ca="1" si="201"/>
        <v>231.02915436507891</v>
      </c>
      <c r="AY247" s="729">
        <f t="shared" ca="1" si="201"/>
        <v>140.91289999999998</v>
      </c>
      <c r="AZ247" s="729">
        <f t="shared" ca="1" si="201"/>
        <v>141.09739999999999</v>
      </c>
      <c r="BA247" s="729">
        <f t="shared" ca="1" si="201"/>
        <v>141.09739999999999</v>
      </c>
      <c r="BB247" s="729">
        <f t="shared" ca="1" si="201"/>
        <v>141.09739999999999</v>
      </c>
      <c r="BC247" s="729">
        <f t="shared" ca="1" si="201"/>
        <v>141.09739999999999</v>
      </c>
      <c r="BD247" s="631"/>
    </row>
    <row r="248" spans="1:56" s="39" customFormat="1" x14ac:dyDescent="0.25">
      <c r="A248" s="631" t="str">
        <f>"Enterprise Value - "&amp;MO.ValuationToggle</f>
        <v>Enterprise Value - Avg</v>
      </c>
      <c r="B248" s="171"/>
      <c r="C248" s="723">
        <f t="shared" ref="C248:AL248" ca="1" si="202">C232+C247+C263+C264+C265</f>
        <v>415.10515999999996</v>
      </c>
      <c r="D248" s="723">
        <f t="shared" ca="1" si="202"/>
        <v>448.67674999999997</v>
      </c>
      <c r="E248" s="723">
        <f t="shared" ca="1" si="202"/>
        <v>494.56986000000001</v>
      </c>
      <c r="F248" s="723">
        <f t="shared" ca="1" si="202"/>
        <v>533.45691999999997</v>
      </c>
      <c r="G248" s="723">
        <f t="shared" ca="1" si="202"/>
        <v>542.72554000000002</v>
      </c>
      <c r="H248" s="723">
        <f t="shared" ca="1" si="202"/>
        <v>513.23444999999992</v>
      </c>
      <c r="I248" s="723">
        <f t="shared" ca="1" si="202"/>
        <v>504.00010999999995</v>
      </c>
      <c r="J248" s="723">
        <f t="shared" ca="1" si="202"/>
        <v>579.19731999999999</v>
      </c>
      <c r="K248" s="723">
        <f t="shared" ca="1" si="202"/>
        <v>553.36458999999991</v>
      </c>
      <c r="L248" s="723">
        <f t="shared" ca="1" si="202"/>
        <v>630.92370999999991</v>
      </c>
      <c r="M248" s="723">
        <f t="shared" ca="1" si="202"/>
        <v>543.27755999999999</v>
      </c>
      <c r="N248" s="723">
        <f t="shared" ca="1" si="202"/>
        <v>475.40201999999994</v>
      </c>
      <c r="O248" s="723">
        <f t="shared" ca="1" si="202"/>
        <v>456.40412499999996</v>
      </c>
      <c r="P248" s="723">
        <f t="shared" ca="1" si="202"/>
        <v>444.46201000000002</v>
      </c>
      <c r="Q248" s="724">
        <f t="shared" ca="1" si="202"/>
        <v>421.15911500000004</v>
      </c>
      <c r="R248" s="723">
        <f t="shared" ca="1" si="202"/>
        <v>493.38550000000004</v>
      </c>
      <c r="S248" s="723">
        <f t="shared" ca="1" si="202"/>
        <v>485.89017500000006</v>
      </c>
      <c r="T248" s="723">
        <f t="shared" ca="1" si="202"/>
        <v>466.95627499999995</v>
      </c>
      <c r="U248" s="724">
        <f t="shared" ca="1" si="202"/>
        <v>522.02200000000005</v>
      </c>
      <c r="V248" s="723">
        <f t="shared" ca="1" si="202"/>
        <v>495.036675</v>
      </c>
      <c r="W248" s="723">
        <f t="shared" ca="1" si="202"/>
        <v>443.10548442622951</v>
      </c>
      <c r="X248" s="723">
        <f t="shared" ca="1" si="202"/>
        <v>425.78911625000001</v>
      </c>
      <c r="Y248" s="724">
        <f t="shared" ca="1" si="202"/>
        <v>402.0193174603171</v>
      </c>
      <c r="Z248" s="723">
        <f t="shared" ca="1" si="202"/>
        <v>340.86563047619035</v>
      </c>
      <c r="AA248" s="723">
        <f t="shared" ca="1" si="202"/>
        <v>384.95093737704906</v>
      </c>
      <c r="AB248" s="723">
        <f t="shared" ca="1" si="202"/>
        <v>377.03933015873025</v>
      </c>
      <c r="AC248" s="723">
        <f t="shared" ca="1" si="202"/>
        <v>374.70386328124999</v>
      </c>
      <c r="AD248" s="723">
        <f t="shared" ca="1" si="202"/>
        <v>315.83686875000001</v>
      </c>
      <c r="AE248" s="723">
        <f t="shared" ca="1" si="202"/>
        <v>293.86152548387184</v>
      </c>
      <c r="AF248" s="727">
        <f t="shared" ca="1" si="202"/>
        <v>195.94708730158735</v>
      </c>
      <c r="AG248" s="737">
        <f t="shared" ca="1" si="202"/>
        <v>214.38093147109166</v>
      </c>
      <c r="AH248" s="737">
        <f t="shared" ca="1" si="202"/>
        <v>205.65693416883829</v>
      </c>
      <c r="AI248" s="737">
        <f t="shared" ca="1" si="202"/>
        <v>211.00030171110041</v>
      </c>
      <c r="AJ248" s="737">
        <f t="shared" ca="1" si="202"/>
        <v>196.37005008277305</v>
      </c>
      <c r="AK248" s="737">
        <f t="shared" ca="1" si="202"/>
        <v>199.32357431966216</v>
      </c>
      <c r="AL248" s="737">
        <f t="shared" ca="1" si="202"/>
        <v>190.88739832510572</v>
      </c>
      <c r="AM248" s="737"/>
      <c r="AN248" s="722">
        <f t="shared" ref="AN248:BC248" ca="1" si="203">AN232+AN247+AN263+AN264+AN265</f>
        <v>79.193593750000005</v>
      </c>
      <c r="AO248" s="722">
        <f t="shared" ca="1" si="203"/>
        <v>125.893185</v>
      </c>
      <c r="AP248" s="722">
        <f t="shared" ca="1" si="203"/>
        <v>224.5393</v>
      </c>
      <c r="AQ248" s="722">
        <f t="shared" ca="1" si="203"/>
        <v>331.74403124999992</v>
      </c>
      <c r="AR248" s="722">
        <f t="shared" ca="1" si="203"/>
        <v>471.16200999999995</v>
      </c>
      <c r="AS248" s="722">
        <f t="shared" ca="1" si="203"/>
        <v>568.05481499999996</v>
      </c>
      <c r="AT248" s="722">
        <f t="shared" ca="1" si="203"/>
        <v>544.00218000000007</v>
      </c>
      <c r="AU248" s="722">
        <f t="shared" ca="1" si="203"/>
        <v>452.74848874999998</v>
      </c>
      <c r="AV248" s="726">
        <f t="shared" ca="1" si="203"/>
        <v>493.96403125000001</v>
      </c>
      <c r="AW248" s="726">
        <f t="shared" ca="1" si="203"/>
        <v>421.83026055776975</v>
      </c>
      <c r="AX248" s="925">
        <f t="shared" ca="1" si="203"/>
        <v>335.77015436507889</v>
      </c>
      <c r="AY248" s="729">
        <f t="shared" ca="1" si="203"/>
        <v>205.47243416883828</v>
      </c>
      <c r="AZ248" s="729">
        <f t="shared" ca="1" si="203"/>
        <v>190.88739832510572</v>
      </c>
      <c r="BA248" s="729">
        <f t="shared" ca="1" si="203"/>
        <v>171.84843902335024</v>
      </c>
      <c r="BB248" s="729">
        <f t="shared" ca="1" si="203"/>
        <v>146.22392446995559</v>
      </c>
      <c r="BC248" s="729">
        <f t="shared" ca="1" si="203"/>
        <v>114.12472911741085</v>
      </c>
      <c r="BD248" s="631"/>
    </row>
    <row r="249" spans="1:56" s="52" customFormat="1" x14ac:dyDescent="0.25">
      <c r="A249" s="175"/>
      <c r="B249" s="193"/>
      <c r="C249" s="430"/>
      <c r="D249" s="430"/>
      <c r="E249" s="430"/>
      <c r="F249" s="430"/>
      <c r="G249" s="430"/>
      <c r="H249" s="430"/>
      <c r="I249" s="430"/>
      <c r="J249" s="430"/>
      <c r="K249" s="430"/>
      <c r="L249" s="430"/>
      <c r="M249" s="430"/>
      <c r="N249" s="430"/>
      <c r="O249" s="430"/>
      <c r="P249" s="430"/>
      <c r="Q249" s="431"/>
      <c r="R249" s="430"/>
      <c r="S249" s="430"/>
      <c r="T249" s="430"/>
      <c r="U249" s="431"/>
      <c r="V249" s="432"/>
      <c r="W249" s="430"/>
      <c r="X249" s="430"/>
      <c r="Y249" s="431"/>
      <c r="Z249" s="432"/>
      <c r="AA249" s="432"/>
      <c r="AB249" s="430"/>
      <c r="AC249" s="432"/>
      <c r="AD249" s="432"/>
      <c r="AE249" s="432"/>
      <c r="AF249" s="667"/>
      <c r="AG249" s="206"/>
      <c r="AH249" s="206"/>
      <c r="AI249" s="206"/>
      <c r="AJ249" s="206"/>
      <c r="AK249" s="206"/>
      <c r="AL249" s="206"/>
      <c r="AM249" s="206"/>
      <c r="AN249" s="429"/>
      <c r="AO249" s="429"/>
      <c r="AP249" s="429"/>
      <c r="AQ249" s="429"/>
      <c r="AR249" s="429"/>
      <c r="AS249" s="429"/>
      <c r="AT249" s="429"/>
      <c r="AU249" s="429"/>
      <c r="AV249" s="429"/>
      <c r="AW249" s="429"/>
      <c r="AX249" s="955"/>
      <c r="AY249" s="109"/>
      <c r="AZ249" s="109"/>
      <c r="BA249" s="109"/>
      <c r="BB249" s="109"/>
      <c r="BC249" s="109"/>
      <c r="BD249" s="206"/>
    </row>
    <row r="250" spans="1:56" s="52" customFormat="1" x14ac:dyDescent="0.25">
      <c r="A250" s="176" t="str">
        <f>"P/E - "&amp;MO.ValuationToggle</f>
        <v>P/E - Avg</v>
      </c>
      <c r="B250" s="193"/>
      <c r="C250" s="430"/>
      <c r="D250" s="430"/>
      <c r="E250" s="430"/>
      <c r="F250" s="430"/>
      <c r="G250" s="430"/>
      <c r="H250" s="430"/>
      <c r="I250" s="430"/>
      <c r="J250" s="430"/>
      <c r="K250" s="430"/>
      <c r="L250" s="430"/>
      <c r="M250" s="430"/>
      <c r="N250" s="430"/>
      <c r="O250" s="430"/>
      <c r="P250" s="430"/>
      <c r="Q250" s="431"/>
      <c r="R250" s="430"/>
      <c r="S250" s="430"/>
      <c r="T250" s="430"/>
      <c r="U250" s="431"/>
      <c r="V250" s="432"/>
      <c r="W250" s="430"/>
      <c r="X250" s="430"/>
      <c r="Y250" s="431"/>
      <c r="Z250" s="432"/>
      <c r="AA250" s="432"/>
      <c r="AB250" s="430"/>
      <c r="AC250" s="432"/>
      <c r="AD250" s="432"/>
      <c r="AE250" s="432"/>
      <c r="AF250" s="667"/>
      <c r="AG250" s="206"/>
      <c r="AH250" s="206"/>
      <c r="AI250" s="206"/>
      <c r="AJ250" s="206"/>
      <c r="AK250" s="206"/>
      <c r="AL250" s="206"/>
      <c r="AM250" s="206"/>
      <c r="AN250" s="429">
        <f t="shared" ref="AN250:BC250" ca="1" si="204">AN246/AN199</f>
        <v>-75.62738970588255</v>
      </c>
      <c r="AO250" s="429">
        <f t="shared" ca="1" si="204"/>
        <v>12.157963006597562</v>
      </c>
      <c r="AP250" s="429">
        <f t="shared" ca="1" si="204"/>
        <v>12.804608062709988</v>
      </c>
      <c r="AQ250" s="429">
        <f t="shared" ca="1" si="204"/>
        <v>14.964079304037366</v>
      </c>
      <c r="AR250" s="429">
        <f t="shared" ca="1" si="204"/>
        <v>20.053965734972163</v>
      </c>
      <c r="AS250" s="429">
        <f t="shared" ca="1" si="204"/>
        <v>19.337951693851927</v>
      </c>
      <c r="AT250" s="429">
        <f t="shared" ca="1" si="204"/>
        <v>26.957484698493843</v>
      </c>
      <c r="AU250" s="429">
        <f t="shared" ca="1" si="204"/>
        <v>20.151961911661594</v>
      </c>
      <c r="AV250" s="433">
        <f t="shared" ca="1" si="204"/>
        <v>18.675884942951072</v>
      </c>
      <c r="AW250" s="433">
        <f t="shared" ca="1" si="204"/>
        <v>21.233170564795198</v>
      </c>
      <c r="AX250" s="956">
        <f t="shared" ca="1" si="204"/>
        <v>16.295662963932589</v>
      </c>
      <c r="AY250" s="216">
        <f t="shared" ca="1" si="204"/>
        <v>23.748939580470569</v>
      </c>
      <c r="AZ250" s="216">
        <f t="shared" ca="1" si="204"/>
        <v>13.400773547607109</v>
      </c>
      <c r="BA250" s="216">
        <f t="shared" ca="1" si="204"/>
        <v>7.7632150435289073</v>
      </c>
      <c r="BB250" s="216">
        <f t="shared" ca="1" si="204"/>
        <v>5.503244075691911</v>
      </c>
      <c r="BC250" s="216">
        <f t="shared" ca="1" si="204"/>
        <v>5.1762243373301864</v>
      </c>
      <c r="BD250" s="206"/>
    </row>
    <row r="251" spans="1:56" s="52" customFormat="1" x14ac:dyDescent="0.25">
      <c r="A251" s="176" t="str">
        <f>"EV/EBITDA - "&amp;MO.ValuationToggle</f>
        <v>EV/EBITDA - Avg</v>
      </c>
      <c r="B251" s="193"/>
      <c r="C251" s="430"/>
      <c r="D251" s="430"/>
      <c r="E251" s="430"/>
      <c r="F251" s="430"/>
      <c r="G251" s="430"/>
      <c r="H251" s="430"/>
      <c r="I251" s="430"/>
      <c r="J251" s="430"/>
      <c r="K251" s="430"/>
      <c r="L251" s="430"/>
      <c r="M251" s="430"/>
      <c r="N251" s="430"/>
      <c r="O251" s="430"/>
      <c r="P251" s="430"/>
      <c r="Q251" s="431"/>
      <c r="R251" s="430"/>
      <c r="S251" s="430"/>
      <c r="T251" s="430"/>
      <c r="U251" s="431"/>
      <c r="V251" s="432"/>
      <c r="W251" s="430"/>
      <c r="X251" s="430"/>
      <c r="Y251" s="431"/>
      <c r="Z251" s="432"/>
      <c r="AA251" s="432"/>
      <c r="AB251" s="430"/>
      <c r="AC251" s="432"/>
      <c r="AD251" s="432"/>
      <c r="AE251" s="432"/>
      <c r="AF251" s="667"/>
      <c r="AG251" s="206"/>
      <c r="AH251" s="206"/>
      <c r="AI251" s="206"/>
      <c r="AJ251" s="206"/>
      <c r="AK251" s="206"/>
      <c r="AL251" s="206"/>
      <c r="AM251" s="206"/>
      <c r="AN251" s="429">
        <f t="shared" ref="AN251:BC251" ca="1" si="205">AN248/AN168</f>
        <v>4.2139942398765484</v>
      </c>
      <c r="AO251" s="429">
        <f t="shared" ca="1" si="205"/>
        <v>4.606409989023053</v>
      </c>
      <c r="AP251" s="429">
        <f t="shared" ca="1" si="205"/>
        <v>5.9265526433869207</v>
      </c>
      <c r="AQ251" s="429">
        <f t="shared" ca="1" si="205"/>
        <v>6.9610766781375224</v>
      </c>
      <c r="AR251" s="429">
        <f t="shared" ca="1" si="205"/>
        <v>9.2124591349913878</v>
      </c>
      <c r="AS251" s="429">
        <f t="shared" ca="1" si="205"/>
        <v>9.7541908923879923</v>
      </c>
      <c r="AT251" s="429">
        <f t="shared" ca="1" si="205"/>
        <v>12.108310630341894</v>
      </c>
      <c r="AU251" s="429">
        <f t="shared" ca="1" si="205"/>
        <v>11.894401238703225</v>
      </c>
      <c r="AV251" s="433">
        <f t="shared" ca="1" si="205"/>
        <v>10.026469192749563</v>
      </c>
      <c r="AW251" s="433">
        <f t="shared" ca="1" si="205"/>
        <v>11.125095881999361</v>
      </c>
      <c r="AX251" s="956">
        <f t="shared" ca="1" si="205"/>
        <v>8.2049252099083425</v>
      </c>
      <c r="AY251" s="216">
        <f t="shared" ca="1" si="205"/>
        <v>8.9169133432642607</v>
      </c>
      <c r="AZ251" s="216">
        <f t="shared" ca="1" si="205"/>
        <v>6.3715040167221302</v>
      </c>
      <c r="BA251" s="216">
        <f t="shared" ca="1" si="205"/>
        <v>4.2958829720311904</v>
      </c>
      <c r="BB251" s="216">
        <f t="shared" ca="1" si="205"/>
        <v>2.9375515172169178</v>
      </c>
      <c r="BC251" s="216">
        <f t="shared" ca="1" si="205"/>
        <v>2.2012101222233036</v>
      </c>
      <c r="BD251" s="206"/>
    </row>
    <row r="252" spans="1:56" s="52" customFormat="1" x14ac:dyDescent="0.25">
      <c r="A252" s="176" t="str">
        <f>"P/CF - "&amp;MO.ValuationToggle</f>
        <v>P/CF - Avg</v>
      </c>
      <c r="B252" s="193"/>
      <c r="C252" s="430"/>
      <c r="D252" s="430"/>
      <c r="E252" s="430"/>
      <c r="F252" s="430"/>
      <c r="G252" s="430"/>
      <c r="H252" s="430"/>
      <c r="I252" s="430"/>
      <c r="J252" s="430"/>
      <c r="K252" s="430"/>
      <c r="L252" s="430"/>
      <c r="M252" s="430"/>
      <c r="N252" s="430"/>
      <c r="O252" s="430"/>
      <c r="P252" s="430"/>
      <c r="Q252" s="431"/>
      <c r="R252" s="430"/>
      <c r="S252" s="430"/>
      <c r="T252" s="430"/>
      <c r="U252" s="431"/>
      <c r="V252" s="432"/>
      <c r="W252" s="430"/>
      <c r="X252" s="430"/>
      <c r="Y252" s="431"/>
      <c r="Z252" s="432"/>
      <c r="AA252" s="432"/>
      <c r="AB252" s="430"/>
      <c r="AC252" s="432"/>
      <c r="AD252" s="432"/>
      <c r="AE252" s="432"/>
      <c r="AF252" s="667"/>
      <c r="AG252" s="206"/>
      <c r="AH252" s="206"/>
      <c r="AI252" s="206"/>
      <c r="AJ252" s="206"/>
      <c r="AK252" s="206"/>
      <c r="AL252" s="206"/>
      <c r="AM252" s="206"/>
      <c r="AN252" s="429">
        <f t="shared" ref="AN252:BC252" ca="1" si="206">AN246/AN208</f>
        <v>5.6769440326752028</v>
      </c>
      <c r="AO252" s="429">
        <f t="shared" ca="1" si="206"/>
        <v>8.2667655540720979</v>
      </c>
      <c r="AP252" s="429">
        <f t="shared" ca="1" si="206"/>
        <v>9.2046810223384998</v>
      </c>
      <c r="AQ252" s="429">
        <f t="shared" ca="1" si="206"/>
        <v>9.9337282748632116</v>
      </c>
      <c r="AR252" s="429">
        <f t="shared" ca="1" si="206"/>
        <v>13.976881619480707</v>
      </c>
      <c r="AS252" s="429">
        <f t="shared" ca="1" si="206"/>
        <v>13.043755040573505</v>
      </c>
      <c r="AT252" s="429">
        <f t="shared" ca="1" si="206"/>
        <v>15.83419344754283</v>
      </c>
      <c r="AU252" s="429">
        <f t="shared" ca="1" si="206"/>
        <v>13.228736896684781</v>
      </c>
      <c r="AV252" s="433">
        <f t="shared" ca="1" si="206"/>
        <v>18.637302286975171</v>
      </c>
      <c r="AW252" s="433">
        <f t="shared" ca="1" si="206"/>
        <v>17.224926266293956</v>
      </c>
      <c r="AX252" s="956">
        <f t="shared" ca="1" si="206"/>
        <v>14.106927664717523</v>
      </c>
      <c r="AY252" s="216">
        <f t="shared" ca="1" si="206"/>
        <v>9.6165001275127047</v>
      </c>
      <c r="AZ252" s="216">
        <f t="shared" ca="1" si="206"/>
        <v>5.8167553808486083</v>
      </c>
      <c r="BA252" s="216">
        <f t="shared" ca="1" si="206"/>
        <v>4.4087778448039439</v>
      </c>
      <c r="BB252" s="216">
        <f t="shared" ca="1" si="206"/>
        <v>3.5661474612504098</v>
      </c>
      <c r="BC252" s="216">
        <f t="shared" ca="1" si="206"/>
        <v>3.4241215121820425</v>
      </c>
      <c r="BD252" s="206"/>
    </row>
    <row r="253" spans="1:56" s="32" customFormat="1" x14ac:dyDescent="0.25">
      <c r="A253" s="177" t="str">
        <f>"FCF Yield % to "&amp;MO.ValuationToggle&amp;" Market Cap"</f>
        <v>FCF Yield % to Avg Market Cap</v>
      </c>
      <c r="B253" s="156"/>
      <c r="C253" s="388"/>
      <c r="D253" s="388"/>
      <c r="E253" s="388"/>
      <c r="F253" s="388"/>
      <c r="G253" s="388"/>
      <c r="H253" s="388"/>
      <c r="I253" s="388"/>
      <c r="J253" s="388"/>
      <c r="K253" s="388"/>
      <c r="L253" s="388"/>
      <c r="M253" s="388"/>
      <c r="N253" s="388"/>
      <c r="O253" s="388"/>
      <c r="P253" s="388"/>
      <c r="Q253" s="389"/>
      <c r="R253" s="388"/>
      <c r="S253" s="388"/>
      <c r="T253" s="388"/>
      <c r="U253" s="389"/>
      <c r="V253" s="388"/>
      <c r="W253" s="388"/>
      <c r="X253" s="388"/>
      <c r="Y253" s="389"/>
      <c r="Z253" s="388"/>
      <c r="AA253" s="388"/>
      <c r="AB253" s="388"/>
      <c r="AC253" s="388"/>
      <c r="AD253" s="388"/>
      <c r="AE253" s="388"/>
      <c r="AF253" s="643"/>
      <c r="AG253" s="67"/>
      <c r="AH253" s="67"/>
      <c r="AI253" s="67"/>
      <c r="AJ253" s="67"/>
      <c r="AK253" s="67"/>
      <c r="AL253" s="67"/>
      <c r="AM253" s="67"/>
      <c r="AN253" s="387">
        <f t="shared" ref="AN253:AZ253" ca="1" si="207">AN$221/AN247</f>
        <v>0.16310617311557973</v>
      </c>
      <c r="AO253" s="387">
        <f t="shared" ca="1" si="207"/>
        <v>0.11107580639539917</v>
      </c>
      <c r="AP253" s="387">
        <f t="shared" ca="1" si="207"/>
        <v>9.1258789725668282E-2</v>
      </c>
      <c r="AQ253" s="387">
        <f t="shared" ca="1" si="207"/>
        <v>9.3197440649121471E-2</v>
      </c>
      <c r="AR253" s="387">
        <f t="shared" ca="1" si="207"/>
        <v>5.7453577914165416E-2</v>
      </c>
      <c r="AS253" s="387">
        <f t="shared" ca="1" si="207"/>
        <v>7.1403788423535092E-2</v>
      </c>
      <c r="AT253" s="387">
        <f t="shared" ca="1" si="207"/>
        <v>5.8500997958200456E-2</v>
      </c>
      <c r="AU253" s="387">
        <f t="shared" ca="1" si="207"/>
        <v>7.2185135438782341E-2</v>
      </c>
      <c r="AV253" s="434">
        <f t="shared" ca="1" si="207"/>
        <v>4.7605555705776723E-2</v>
      </c>
      <c r="AW253" s="434">
        <f t="shared" ca="1" si="207"/>
        <v>4.9164344103154393E-2</v>
      </c>
      <c r="AX253" s="957">
        <f t="shared" ca="1" si="207"/>
        <v>6.0866776916729856E-2</v>
      </c>
      <c r="AY253" s="136">
        <f t="shared" ca="1" si="207"/>
        <v>9.0887644989561756E-2</v>
      </c>
      <c r="AZ253" s="136">
        <f t="shared" ca="1" si="207"/>
        <v>0.14923777973785374</v>
      </c>
      <c r="BA253" s="136">
        <f ca="1">BA221/BA247</f>
        <v>0.2041408599131479</v>
      </c>
      <c r="BB253" s="136">
        <f ca="1">BB221/BB247</f>
        <v>0.25773528318540223</v>
      </c>
      <c r="BC253" s="136">
        <f ca="1">BC221/BC247</f>
        <v>0.26936634153659694</v>
      </c>
      <c r="BD253" s="168"/>
    </row>
    <row r="254" spans="1:56" s="32" customFormat="1" x14ac:dyDescent="0.25">
      <c r="A254" s="177" t="str">
        <f>"FCF Yield % to "&amp;MO.ValuationToggle&amp;" Enterprise Value"</f>
        <v>FCF Yield % to Avg Enterprise Value</v>
      </c>
      <c r="B254" s="156"/>
      <c r="C254" s="388"/>
      <c r="D254" s="388"/>
      <c r="E254" s="388"/>
      <c r="F254" s="388"/>
      <c r="G254" s="388"/>
      <c r="H254" s="388"/>
      <c r="I254" s="388"/>
      <c r="J254" s="388"/>
      <c r="K254" s="388"/>
      <c r="L254" s="388"/>
      <c r="M254" s="388"/>
      <c r="N254" s="388"/>
      <c r="O254" s="388"/>
      <c r="P254" s="388"/>
      <c r="Q254" s="389"/>
      <c r="R254" s="388"/>
      <c r="S254" s="388"/>
      <c r="T254" s="388"/>
      <c r="U254" s="389"/>
      <c r="V254" s="388"/>
      <c r="W254" s="388"/>
      <c r="X254" s="388"/>
      <c r="Y254" s="389"/>
      <c r="Z254" s="388"/>
      <c r="AA254" s="388"/>
      <c r="AB254" s="388"/>
      <c r="AC254" s="388"/>
      <c r="AD254" s="388"/>
      <c r="AE254" s="388"/>
      <c r="AF254" s="643"/>
      <c r="AG254" s="67"/>
      <c r="AH254" s="67"/>
      <c r="AI254" s="67"/>
      <c r="AJ254" s="67"/>
      <c r="AK254" s="67"/>
      <c r="AL254" s="67"/>
      <c r="AM254" s="67"/>
      <c r="AN254" s="387">
        <f t="shared" ref="AN254:AZ254" ca="1" si="208">AN$221/AN248</f>
        <v>0.18535590197281585</v>
      </c>
      <c r="AO254" s="387">
        <f t="shared" ca="1" si="208"/>
        <v>0.13657609822167896</v>
      </c>
      <c r="AP254" s="387">
        <f t="shared" ca="1" si="208"/>
        <v>9.2945867382680888E-2</v>
      </c>
      <c r="AQ254" s="387">
        <f t="shared" ca="1" si="208"/>
        <v>9.5377752180733494E-2</v>
      </c>
      <c r="AR254" s="387">
        <f t="shared" ca="1" si="208"/>
        <v>5.8092544430736283E-2</v>
      </c>
      <c r="AS254" s="387">
        <f t="shared" ca="1" si="208"/>
        <v>6.5868643328021087E-2</v>
      </c>
      <c r="AT254" s="387">
        <f t="shared" ca="1" si="208"/>
        <v>5.4468531725369175E-2</v>
      </c>
      <c r="AU254" s="387">
        <f t="shared" ca="1" si="208"/>
        <v>6.559270928102022E-2</v>
      </c>
      <c r="AV254" s="434">
        <f t="shared" ca="1" si="208"/>
        <v>4.3549729614042625E-2</v>
      </c>
      <c r="AW254" s="434">
        <f t="shared" ca="1" si="208"/>
        <v>3.7150013797679779E-2</v>
      </c>
      <c r="AX254" s="957">
        <f t="shared" ca="1" si="208"/>
        <v>4.1879838982682653E-2</v>
      </c>
      <c r="AY254" s="136">
        <f t="shared" ca="1" si="208"/>
        <v>6.2330704755878867E-2</v>
      </c>
      <c r="AZ254" s="136">
        <f t="shared" ca="1" si="208"/>
        <v>0.1103114343196242</v>
      </c>
      <c r="BA254" s="136">
        <f ca="1">BA221/BA248</f>
        <v>0.16761132502108808</v>
      </c>
      <c r="BB254" s="136">
        <f ca="1">BB221/BB248</f>
        <v>0.24869923630859733</v>
      </c>
      <c r="BC254" s="136">
        <f ca="1">BC221/BC248</f>
        <v>0.33302940328756064</v>
      </c>
      <c r="BD254" s="168"/>
    </row>
    <row r="255" spans="1:56" s="32" customFormat="1" hidden="1" outlineLevel="1" x14ac:dyDescent="0.25">
      <c r="A255" s="177"/>
      <c r="B255" s="156"/>
      <c r="C255" s="388"/>
      <c r="D255" s="388"/>
      <c r="E255" s="388"/>
      <c r="F255" s="388"/>
      <c r="G255" s="388"/>
      <c r="H255" s="388"/>
      <c r="I255" s="388"/>
      <c r="J255" s="388"/>
      <c r="K255" s="388"/>
      <c r="L255" s="388"/>
      <c r="M255" s="388"/>
      <c r="N255" s="388"/>
      <c r="O255" s="388"/>
      <c r="P255" s="388"/>
      <c r="Q255" s="389"/>
      <c r="R255" s="388"/>
      <c r="S255" s="388"/>
      <c r="T255" s="388"/>
      <c r="U255" s="389"/>
      <c r="V255" s="388"/>
      <c r="W255" s="388"/>
      <c r="X255" s="388"/>
      <c r="Y255" s="389"/>
      <c r="Z255" s="388"/>
      <c r="AA255" s="388"/>
      <c r="AB255" s="388"/>
      <c r="AC255" s="388"/>
      <c r="AD255" s="388"/>
      <c r="AE255" s="388"/>
      <c r="AF255" s="643"/>
      <c r="AG255" s="67"/>
      <c r="AH255" s="67"/>
      <c r="AI255" s="67"/>
      <c r="AJ255" s="67"/>
      <c r="AK255" s="67"/>
      <c r="AL255" s="67"/>
      <c r="AM255" s="67"/>
      <c r="AN255" s="387"/>
      <c r="AO255" s="387"/>
      <c r="AP255" s="387"/>
      <c r="AQ255" s="387"/>
      <c r="AR255" s="387"/>
      <c r="AS255" s="387"/>
      <c r="AT255" s="387"/>
      <c r="AU255" s="387"/>
      <c r="AV255" s="434"/>
      <c r="AW255" s="434"/>
      <c r="AX255" s="957"/>
      <c r="AY255" s="136"/>
      <c r="AZ255" s="136"/>
      <c r="BA255" s="136"/>
      <c r="BB255" s="136"/>
      <c r="BC255" s="136"/>
      <c r="BD255" s="168"/>
    </row>
    <row r="256" spans="1:56" s="348" customFormat="1" hidden="1" outlineLevel="1" x14ac:dyDescent="0.25">
      <c r="A256" s="356" t="str">
        <f ca="1">"Stock High, "&amp;HP.TradeCurrency</f>
        <v>Stock High, USD</v>
      </c>
      <c r="B256" s="357"/>
      <c r="C256" s="436">
        <f t="shared" ref="C256:AL256" ca="1" si="209">IF(INDEX(MO_SNA_IsHistoricalPeriod,1,COLUMN())=FALSE,0,INDEX(MO_SPT_StockHigh,1,COLUMN()))</f>
        <v>24.3</v>
      </c>
      <c r="D256" s="436">
        <f t="shared" ca="1" si="209"/>
        <v>25.97</v>
      </c>
      <c r="E256" s="436">
        <f t="shared" ca="1" si="209"/>
        <v>27.84</v>
      </c>
      <c r="F256" s="436">
        <f t="shared" ca="1" si="209"/>
        <v>30.61</v>
      </c>
      <c r="G256" s="436">
        <f t="shared" ca="1" si="209"/>
        <v>30.88</v>
      </c>
      <c r="H256" s="436">
        <f t="shared" ca="1" si="209"/>
        <v>28.52</v>
      </c>
      <c r="I256" s="436">
        <f t="shared" ca="1" si="209"/>
        <v>29.36</v>
      </c>
      <c r="J256" s="436">
        <f t="shared" ca="1" si="209"/>
        <v>34.340000000000003</v>
      </c>
      <c r="K256" s="436">
        <f t="shared" ca="1" si="209"/>
        <v>37.85</v>
      </c>
      <c r="L256" s="436">
        <f t="shared" ca="1" si="209"/>
        <v>37.5</v>
      </c>
      <c r="M256" s="436">
        <f t="shared" ca="1" si="209"/>
        <v>35.39</v>
      </c>
      <c r="N256" s="436">
        <f t="shared" ca="1" si="209"/>
        <v>28.59</v>
      </c>
      <c r="O256" s="436">
        <f t="shared" ca="1" si="209"/>
        <v>27.99</v>
      </c>
      <c r="P256" s="436">
        <f t="shared" ca="1" si="209"/>
        <v>27.36</v>
      </c>
      <c r="Q256" s="437">
        <f t="shared" ca="1" si="209"/>
        <v>25.5</v>
      </c>
      <c r="R256" s="436">
        <f t="shared" ca="1" si="209"/>
        <v>30</v>
      </c>
      <c r="S256" s="436">
        <f t="shared" ca="1" si="209"/>
        <v>29.65</v>
      </c>
      <c r="T256" s="436">
        <f t="shared" ca="1" si="209"/>
        <v>28.35</v>
      </c>
      <c r="U256" s="437">
        <f t="shared" ca="1" si="209"/>
        <v>31.05</v>
      </c>
      <c r="V256" s="436">
        <f t="shared" ca="1" si="209"/>
        <v>31.25</v>
      </c>
      <c r="W256" s="436">
        <f t="shared" ca="1" si="209"/>
        <v>26.45</v>
      </c>
      <c r="X256" s="436">
        <f t="shared" ca="1" si="209"/>
        <v>22.9</v>
      </c>
      <c r="Y256" s="437">
        <f t="shared" ca="1" si="209"/>
        <v>19.399999999999999</v>
      </c>
      <c r="Z256" s="436">
        <f t="shared" ca="1" si="209"/>
        <v>18.309999999999999</v>
      </c>
      <c r="AA256" s="436">
        <f t="shared" ca="1" si="209"/>
        <v>16.95</v>
      </c>
      <c r="AB256" s="436">
        <f t="shared" ca="1" si="209"/>
        <v>15.75</v>
      </c>
      <c r="AC256" s="436">
        <f t="shared" ca="1" si="209"/>
        <v>16.309999999999999</v>
      </c>
      <c r="AD256" s="436">
        <f t="shared" ca="1" si="209"/>
        <v>14.33</v>
      </c>
      <c r="AE256" s="436">
        <f t="shared" ca="1" si="209"/>
        <v>14.9</v>
      </c>
      <c r="AF256" s="668">
        <f t="shared" ca="1" si="209"/>
        <v>8.9600000000000009</v>
      </c>
      <c r="AG256" s="358">
        <f t="shared" si="209"/>
        <v>0</v>
      </c>
      <c r="AH256" s="358">
        <f t="shared" si="209"/>
        <v>0</v>
      </c>
      <c r="AI256" s="358">
        <f t="shared" si="209"/>
        <v>0</v>
      </c>
      <c r="AJ256" s="358">
        <f t="shared" si="209"/>
        <v>0</v>
      </c>
      <c r="AK256" s="358">
        <f t="shared" si="209"/>
        <v>0</v>
      </c>
      <c r="AL256" s="358">
        <f t="shared" si="209"/>
        <v>0</v>
      </c>
      <c r="AM256" s="358"/>
      <c r="AN256" s="435">
        <f t="shared" ref="AN256:BC256" ca="1" si="210">IF(INDEX(MO_SNA_IsHistoricalPeriod,1,COLUMN())=FALSE,0,INDEX(MO_SPT_StockHigh,1,COLUMN()))</f>
        <v>8.39</v>
      </c>
      <c r="AO256" s="435">
        <f t="shared" ca="1" si="210"/>
        <v>10.84</v>
      </c>
      <c r="AP256" s="435">
        <f t="shared" ca="1" si="210"/>
        <v>14.34</v>
      </c>
      <c r="AQ256" s="435">
        <f t="shared" ca="1" si="210"/>
        <v>21.44</v>
      </c>
      <c r="AR256" s="435">
        <f t="shared" ca="1" si="210"/>
        <v>30.61</v>
      </c>
      <c r="AS256" s="435">
        <f t="shared" ca="1" si="210"/>
        <v>34.340000000000003</v>
      </c>
      <c r="AT256" s="435">
        <f t="shared" ca="1" si="210"/>
        <v>37.85</v>
      </c>
      <c r="AU256" s="435">
        <f t="shared" ca="1" si="210"/>
        <v>30</v>
      </c>
      <c r="AV256" s="438">
        <f t="shared" ca="1" si="210"/>
        <v>31.25</v>
      </c>
      <c r="AW256" s="438">
        <f t="shared" ca="1" si="210"/>
        <v>26.45</v>
      </c>
      <c r="AX256" s="958">
        <f t="shared" ca="1" si="210"/>
        <v>16.95</v>
      </c>
      <c r="AY256" s="359">
        <f t="shared" si="210"/>
        <v>0</v>
      </c>
      <c r="AZ256" s="359">
        <f t="shared" si="210"/>
        <v>0</v>
      </c>
      <c r="BA256" s="359">
        <f t="shared" si="210"/>
        <v>0</v>
      </c>
      <c r="BB256" s="359">
        <f t="shared" si="210"/>
        <v>0</v>
      </c>
      <c r="BC256" s="359">
        <f t="shared" si="210"/>
        <v>0</v>
      </c>
      <c r="BD256" s="347"/>
    </row>
    <row r="257" spans="1:56" s="348" customFormat="1" hidden="1" outlineLevel="1" x14ac:dyDescent="0.25">
      <c r="A257" s="356" t="str">
        <f ca="1">"Stock Low, "&amp;HP.TradeCurrency</f>
        <v>Stock Low, USD</v>
      </c>
      <c r="B257" s="357"/>
      <c r="C257" s="436">
        <f t="shared" ref="C257:AL257" ca="1" si="211">IF(INDEX(MO_SNA_IsHistoricalPeriod,1,COLUMN())=FALSE,0,INDEX(MO_SPT_StockLow,1,COLUMN()))</f>
        <v>19.87</v>
      </c>
      <c r="D257" s="436">
        <f t="shared" ca="1" si="211"/>
        <v>20.28</v>
      </c>
      <c r="E257" s="436">
        <f t="shared" ca="1" si="211"/>
        <v>23.09</v>
      </c>
      <c r="F257" s="436">
        <f t="shared" ca="1" si="211"/>
        <v>24.88</v>
      </c>
      <c r="G257" s="436">
        <f t="shared" ca="1" si="211"/>
        <v>25.26</v>
      </c>
      <c r="H257" s="436">
        <f t="shared" ca="1" si="211"/>
        <v>23.14</v>
      </c>
      <c r="I257" s="436">
        <f t="shared" ca="1" si="211"/>
        <v>23.06</v>
      </c>
      <c r="J257" s="436">
        <f t="shared" ca="1" si="211"/>
        <v>27.4</v>
      </c>
      <c r="K257" s="436">
        <f t="shared" ca="1" si="211"/>
        <v>21.01</v>
      </c>
      <c r="L257" s="436">
        <f t="shared" ca="1" si="211"/>
        <v>29.73</v>
      </c>
      <c r="M257" s="436">
        <f t="shared" ca="1" si="211"/>
        <v>22.07</v>
      </c>
      <c r="N257" s="436">
        <f t="shared" ca="1" si="211"/>
        <v>22.57</v>
      </c>
      <c r="O257" s="436">
        <f t="shared" ca="1" si="211"/>
        <v>21.76</v>
      </c>
      <c r="P257" s="436">
        <f t="shared" ca="1" si="211"/>
        <v>20.059999999999999</v>
      </c>
      <c r="Q257" s="437">
        <f t="shared" ca="1" si="211"/>
        <v>19.59</v>
      </c>
      <c r="R257" s="436">
        <f t="shared" ca="1" si="211"/>
        <v>23.75</v>
      </c>
      <c r="S257" s="436">
        <f t="shared" ca="1" si="211"/>
        <v>22.7</v>
      </c>
      <c r="T257" s="436">
        <f t="shared" ca="1" si="211"/>
        <v>23</v>
      </c>
      <c r="U257" s="437">
        <f t="shared" ca="1" si="211"/>
        <v>25.95</v>
      </c>
      <c r="V257" s="436">
        <f t="shared" ca="1" si="211"/>
        <v>22.3</v>
      </c>
      <c r="W257" s="436">
        <f t="shared" ca="1" si="211"/>
        <v>20.399999999999999</v>
      </c>
      <c r="X257" s="436">
        <f t="shared" ca="1" si="211"/>
        <v>17.600000000000001</v>
      </c>
      <c r="Y257" s="437">
        <f t="shared" ca="1" si="211"/>
        <v>16.7</v>
      </c>
      <c r="Z257" s="436">
        <f t="shared" ca="1" si="211"/>
        <v>12.09</v>
      </c>
      <c r="AA257" s="436">
        <f t="shared" ca="1" si="211"/>
        <v>12.09</v>
      </c>
      <c r="AB257" s="436">
        <f t="shared" ca="1" si="211"/>
        <v>12.07</v>
      </c>
      <c r="AC257" s="436">
        <f t="shared" ca="1" si="211"/>
        <v>12.52</v>
      </c>
      <c r="AD257" s="436">
        <f t="shared" ca="1" si="211"/>
        <v>11.06</v>
      </c>
      <c r="AE257" s="436">
        <f t="shared" ca="1" si="211"/>
        <v>5.87</v>
      </c>
      <c r="AF257" s="668">
        <f t="shared" ca="1" si="211"/>
        <v>5.43</v>
      </c>
      <c r="AG257" s="358">
        <f t="shared" si="211"/>
        <v>0</v>
      </c>
      <c r="AH257" s="358">
        <f t="shared" si="211"/>
        <v>0</v>
      </c>
      <c r="AI257" s="358">
        <f t="shared" si="211"/>
        <v>0</v>
      </c>
      <c r="AJ257" s="358">
        <f t="shared" si="211"/>
        <v>0</v>
      </c>
      <c r="AK257" s="358">
        <f t="shared" si="211"/>
        <v>0</v>
      </c>
      <c r="AL257" s="358">
        <f t="shared" si="211"/>
        <v>0</v>
      </c>
      <c r="AM257" s="358"/>
      <c r="AN257" s="435">
        <f t="shared" ref="AN257:BC257" ca="1" si="212">IF(INDEX(MO_SNA_IsHistoricalPeriod,1,COLUMN())=FALSE,0,INDEX(MO_SPT_StockLow,1,COLUMN()))</f>
        <v>2.7</v>
      </c>
      <c r="AO257" s="435">
        <f t="shared" ca="1" si="212"/>
        <v>6.72</v>
      </c>
      <c r="AP257" s="435">
        <f t="shared" ca="1" si="212"/>
        <v>9.16</v>
      </c>
      <c r="AQ257" s="435">
        <f t="shared" ca="1" si="212"/>
        <v>12.85</v>
      </c>
      <c r="AR257" s="435">
        <f t="shared" ca="1" si="212"/>
        <v>19.87</v>
      </c>
      <c r="AS257" s="435">
        <f t="shared" ca="1" si="212"/>
        <v>23.06</v>
      </c>
      <c r="AT257" s="435">
        <f t="shared" ca="1" si="212"/>
        <v>21.01</v>
      </c>
      <c r="AU257" s="435">
        <f t="shared" ca="1" si="212"/>
        <v>19.59</v>
      </c>
      <c r="AV257" s="438">
        <f t="shared" ca="1" si="212"/>
        <v>22.3</v>
      </c>
      <c r="AW257" s="438">
        <f t="shared" ca="1" si="212"/>
        <v>12.09</v>
      </c>
      <c r="AX257" s="958">
        <f t="shared" ca="1" si="212"/>
        <v>11.06</v>
      </c>
      <c r="AY257" s="359">
        <f t="shared" si="212"/>
        <v>0</v>
      </c>
      <c r="AZ257" s="359">
        <f t="shared" si="212"/>
        <v>0</v>
      </c>
      <c r="BA257" s="359">
        <f t="shared" si="212"/>
        <v>0</v>
      </c>
      <c r="BB257" s="359">
        <f t="shared" si="212"/>
        <v>0</v>
      </c>
      <c r="BC257" s="359">
        <f t="shared" si="212"/>
        <v>0</v>
      </c>
      <c r="BD257" s="347"/>
    </row>
    <row r="258" spans="1:56" s="348" customFormat="1" hidden="1" outlineLevel="1" x14ac:dyDescent="0.25">
      <c r="A258" s="356" t="str">
        <f ca="1">"Stock Average, "&amp;HP.TradeCurrency</f>
        <v>Stock Average, USD</v>
      </c>
      <c r="B258" s="357"/>
      <c r="C258" s="436">
        <f t="shared" ref="C258:AL258" ca="1" si="213">IF(INDEX(MO_SNA_IsHistoricalPeriod,1,COLUMN())=FALSE,0,INDEX(MO_SPT_StockAverage,1,COLUMN()))</f>
        <v>22.085000000000001</v>
      </c>
      <c r="D258" s="436">
        <f t="shared" ca="1" si="213"/>
        <v>23.125</v>
      </c>
      <c r="E258" s="436">
        <f t="shared" ca="1" si="213"/>
        <v>25.465</v>
      </c>
      <c r="F258" s="436">
        <f t="shared" ca="1" si="213"/>
        <v>27.745000000000001</v>
      </c>
      <c r="G258" s="436">
        <f t="shared" ca="1" si="213"/>
        <v>28.07</v>
      </c>
      <c r="H258" s="436">
        <f t="shared" ca="1" si="213"/>
        <v>25.83</v>
      </c>
      <c r="I258" s="436">
        <f t="shared" ca="1" si="213"/>
        <v>26.21</v>
      </c>
      <c r="J258" s="436">
        <f t="shared" ca="1" si="213"/>
        <v>30.87</v>
      </c>
      <c r="K258" s="436">
        <f t="shared" ca="1" si="213"/>
        <v>29.43</v>
      </c>
      <c r="L258" s="436">
        <f t="shared" ca="1" si="213"/>
        <v>33.615000000000002</v>
      </c>
      <c r="M258" s="436">
        <f t="shared" ca="1" si="213"/>
        <v>28.73</v>
      </c>
      <c r="N258" s="436">
        <f t="shared" ca="1" si="213"/>
        <v>25.58</v>
      </c>
      <c r="O258" s="436">
        <f t="shared" ca="1" si="213"/>
        <v>24.875</v>
      </c>
      <c r="P258" s="436">
        <f t="shared" ca="1" si="213"/>
        <v>23.71</v>
      </c>
      <c r="Q258" s="437">
        <f t="shared" ca="1" si="213"/>
        <v>22.545000000000002</v>
      </c>
      <c r="R258" s="436">
        <f t="shared" ca="1" si="213"/>
        <v>26.875</v>
      </c>
      <c r="S258" s="436">
        <f t="shared" ca="1" si="213"/>
        <v>26.175000000000001</v>
      </c>
      <c r="T258" s="436">
        <f t="shared" ca="1" si="213"/>
        <v>25.675000000000001</v>
      </c>
      <c r="U258" s="437">
        <f t="shared" ca="1" si="213"/>
        <v>28.5</v>
      </c>
      <c r="V258" s="436">
        <f t="shared" ca="1" si="213"/>
        <v>26.774999999999999</v>
      </c>
      <c r="W258" s="436">
        <f t="shared" ca="1" si="213"/>
        <v>23.4155737704918</v>
      </c>
      <c r="X258" s="436">
        <f t="shared" ca="1" si="213"/>
        <v>20.366250000000001</v>
      </c>
      <c r="Y258" s="437">
        <f t="shared" ca="1" si="213"/>
        <v>18.4206349206349</v>
      </c>
      <c r="Z258" s="436">
        <f t="shared" ca="1" si="213"/>
        <v>14.2795238095238</v>
      </c>
      <c r="AA258" s="436">
        <f t="shared" ca="1" si="213"/>
        <v>14.5911475409836</v>
      </c>
      <c r="AB258" s="436">
        <f t="shared" ca="1" si="213"/>
        <v>13.7668253968254</v>
      </c>
      <c r="AC258" s="436">
        <f t="shared" ca="1" si="213"/>
        <v>14.08984375</v>
      </c>
      <c r="AD258" s="436">
        <f t="shared" ca="1" si="213"/>
        <v>12.4028125</v>
      </c>
      <c r="AE258" s="436">
        <f t="shared" ca="1" si="213"/>
        <v>11.657096774193599</v>
      </c>
      <c r="AF258" s="668">
        <f t="shared" ca="1" si="213"/>
        <v>7.1984126984127004</v>
      </c>
      <c r="AG258" s="358">
        <f t="shared" si="213"/>
        <v>0</v>
      </c>
      <c r="AH258" s="358">
        <f t="shared" si="213"/>
        <v>0</v>
      </c>
      <c r="AI258" s="358">
        <f t="shared" si="213"/>
        <v>0</v>
      </c>
      <c r="AJ258" s="358">
        <f t="shared" si="213"/>
        <v>0</v>
      </c>
      <c r="AK258" s="358">
        <f t="shared" si="213"/>
        <v>0</v>
      </c>
      <c r="AL258" s="358">
        <f t="shared" si="213"/>
        <v>0</v>
      </c>
      <c r="AM258" s="358"/>
      <c r="AN258" s="435">
        <f t="shared" ref="AN258:BC258" ca="1" si="214">IF(INDEX(MO_SNA_IsHistoricalPeriod,1,COLUMN())=FALSE,0,INDEX(MO_SPT_StockAverage,1,COLUMN()))</f>
        <v>5.65625</v>
      </c>
      <c r="AO258" s="435">
        <f t="shared" ca="1" si="214"/>
        <v>8.2650000000000006</v>
      </c>
      <c r="AP258" s="435">
        <f t="shared" ca="1" si="214"/>
        <v>12.03</v>
      </c>
      <c r="AQ258" s="435">
        <f t="shared" ca="1" si="214"/>
        <v>17.61375</v>
      </c>
      <c r="AR258" s="435">
        <f t="shared" ca="1" si="214"/>
        <v>24.605</v>
      </c>
      <c r="AS258" s="435">
        <f t="shared" ca="1" si="214"/>
        <v>27.745000000000001</v>
      </c>
      <c r="AT258" s="435">
        <f t="shared" ca="1" si="214"/>
        <v>29.338750000000001</v>
      </c>
      <c r="AU258" s="435">
        <f t="shared" ca="1" si="214"/>
        <v>24.501249999999999</v>
      </c>
      <c r="AV258" s="438">
        <f t="shared" ca="1" si="214"/>
        <v>26.78125</v>
      </c>
      <c r="AW258" s="438">
        <f t="shared" ca="1" si="214"/>
        <v>19.091235059761001</v>
      </c>
      <c r="AX258" s="958">
        <f t="shared" ca="1" si="214"/>
        <v>13.701984126984099</v>
      </c>
      <c r="AY258" s="359">
        <f t="shared" si="214"/>
        <v>0</v>
      </c>
      <c r="AZ258" s="359">
        <f t="shared" si="214"/>
        <v>0</v>
      </c>
      <c r="BA258" s="359">
        <f t="shared" si="214"/>
        <v>0</v>
      </c>
      <c r="BB258" s="359">
        <f t="shared" si="214"/>
        <v>0</v>
      </c>
      <c r="BC258" s="359">
        <f t="shared" si="214"/>
        <v>0</v>
      </c>
      <c r="BD258" s="347"/>
    </row>
    <row r="259" spans="1:56" s="354" customFormat="1" hidden="1" outlineLevel="1" x14ac:dyDescent="0.25">
      <c r="A259" s="360" t="str">
        <f ca="1">"Average FX Rate, "&amp;HP.TradeCurrency&amp;"/"&amp;MO.ReportCurrency</f>
        <v>Average FX Rate, USD/USD</v>
      </c>
      <c r="B259" s="361"/>
      <c r="C259" s="440">
        <f t="shared" ref="C259:AL259" ca="1" si="215">IF(INDEX(MO_SPT_FXAverage,1,COLUMN())=0,1,INDEX(MO_SPT_FXAverage,1,COLUMN()))</f>
        <v>1</v>
      </c>
      <c r="D259" s="440">
        <f t="shared" ca="1" si="215"/>
        <v>1</v>
      </c>
      <c r="E259" s="440">
        <f t="shared" ca="1" si="215"/>
        <v>1</v>
      </c>
      <c r="F259" s="440">
        <f t="shared" ca="1" si="215"/>
        <v>1</v>
      </c>
      <c r="G259" s="440">
        <f t="shared" ca="1" si="215"/>
        <v>1</v>
      </c>
      <c r="H259" s="440">
        <f t="shared" ca="1" si="215"/>
        <v>1</v>
      </c>
      <c r="I259" s="440">
        <f t="shared" ca="1" si="215"/>
        <v>1</v>
      </c>
      <c r="J259" s="440">
        <f t="shared" ca="1" si="215"/>
        <v>1</v>
      </c>
      <c r="K259" s="440">
        <f t="shared" ca="1" si="215"/>
        <v>1</v>
      </c>
      <c r="L259" s="440">
        <f t="shared" ca="1" si="215"/>
        <v>1</v>
      </c>
      <c r="M259" s="440">
        <f t="shared" ca="1" si="215"/>
        <v>1</v>
      </c>
      <c r="N259" s="440">
        <f t="shared" ca="1" si="215"/>
        <v>1</v>
      </c>
      <c r="O259" s="440">
        <f t="shared" ca="1" si="215"/>
        <v>1</v>
      </c>
      <c r="P259" s="440">
        <f t="shared" ca="1" si="215"/>
        <v>1</v>
      </c>
      <c r="Q259" s="441">
        <f t="shared" ca="1" si="215"/>
        <v>1</v>
      </c>
      <c r="R259" s="440">
        <f t="shared" ca="1" si="215"/>
        <v>1</v>
      </c>
      <c r="S259" s="440">
        <f t="shared" ca="1" si="215"/>
        <v>1</v>
      </c>
      <c r="T259" s="440">
        <f t="shared" ca="1" si="215"/>
        <v>1</v>
      </c>
      <c r="U259" s="441">
        <f t="shared" ca="1" si="215"/>
        <v>1</v>
      </c>
      <c r="V259" s="440">
        <f t="shared" ca="1" si="215"/>
        <v>1</v>
      </c>
      <c r="W259" s="440">
        <f t="shared" ca="1" si="215"/>
        <v>1</v>
      </c>
      <c r="X259" s="440">
        <f t="shared" ca="1" si="215"/>
        <v>1</v>
      </c>
      <c r="Y259" s="441">
        <f t="shared" ca="1" si="215"/>
        <v>1</v>
      </c>
      <c r="Z259" s="440">
        <f t="shared" ca="1" si="215"/>
        <v>1</v>
      </c>
      <c r="AA259" s="440">
        <f t="shared" ca="1" si="215"/>
        <v>1</v>
      </c>
      <c r="AB259" s="440">
        <f t="shared" ca="1" si="215"/>
        <v>1</v>
      </c>
      <c r="AC259" s="440">
        <f t="shared" ca="1" si="215"/>
        <v>1</v>
      </c>
      <c r="AD259" s="440">
        <f t="shared" ca="1" si="215"/>
        <v>1</v>
      </c>
      <c r="AE259" s="440">
        <f t="shared" ca="1" si="215"/>
        <v>1</v>
      </c>
      <c r="AF259" s="669">
        <f t="shared" ca="1" si="215"/>
        <v>1</v>
      </c>
      <c r="AG259" s="362">
        <f t="shared" ca="1" si="215"/>
        <v>1</v>
      </c>
      <c r="AH259" s="362">
        <f t="shared" ca="1" si="215"/>
        <v>1</v>
      </c>
      <c r="AI259" s="362">
        <f t="shared" ca="1" si="215"/>
        <v>1</v>
      </c>
      <c r="AJ259" s="362">
        <f t="shared" ca="1" si="215"/>
        <v>1</v>
      </c>
      <c r="AK259" s="362">
        <f t="shared" ca="1" si="215"/>
        <v>1</v>
      </c>
      <c r="AL259" s="362">
        <f t="shared" ca="1" si="215"/>
        <v>1</v>
      </c>
      <c r="AM259" s="362"/>
      <c r="AN259" s="439">
        <f t="shared" ref="AN259:BC259" ca="1" si="216">IF(INDEX(MO_SPT_FXAverage,1,COLUMN())=0,1,INDEX(MO_SPT_FXAverage,1,COLUMN()))</f>
        <v>1</v>
      </c>
      <c r="AO259" s="439">
        <f t="shared" ca="1" si="216"/>
        <v>1</v>
      </c>
      <c r="AP259" s="439">
        <f t="shared" ca="1" si="216"/>
        <v>1</v>
      </c>
      <c r="AQ259" s="439">
        <f t="shared" ca="1" si="216"/>
        <v>1</v>
      </c>
      <c r="AR259" s="439">
        <f t="shared" ca="1" si="216"/>
        <v>1</v>
      </c>
      <c r="AS259" s="439">
        <f t="shared" ca="1" si="216"/>
        <v>1</v>
      </c>
      <c r="AT259" s="439">
        <f t="shared" ca="1" si="216"/>
        <v>1</v>
      </c>
      <c r="AU259" s="439">
        <f t="shared" ca="1" si="216"/>
        <v>1</v>
      </c>
      <c r="AV259" s="442">
        <f t="shared" ca="1" si="216"/>
        <v>1</v>
      </c>
      <c r="AW259" s="442">
        <f t="shared" ca="1" si="216"/>
        <v>1</v>
      </c>
      <c r="AX259" s="959">
        <f t="shared" ca="1" si="216"/>
        <v>1</v>
      </c>
      <c r="AY259" s="363">
        <f t="shared" ca="1" si="216"/>
        <v>1</v>
      </c>
      <c r="AZ259" s="363">
        <f t="shared" ca="1" si="216"/>
        <v>1</v>
      </c>
      <c r="BA259" s="363">
        <f t="shared" ca="1" si="216"/>
        <v>1</v>
      </c>
      <c r="BB259" s="363">
        <f t="shared" ca="1" si="216"/>
        <v>1</v>
      </c>
      <c r="BC259" s="363">
        <f t="shared" ca="1" si="216"/>
        <v>1</v>
      </c>
      <c r="BD259" s="353"/>
    </row>
    <row r="260" spans="1:56" s="348" customFormat="1" hidden="1" outlineLevel="1" x14ac:dyDescent="0.25">
      <c r="A260" s="356" t="str">
        <f ca="1">"Stock Price (Trading Cur.) - "&amp;MO.ValuationToggle&amp;", "&amp;HP.TradeCurrency</f>
        <v>Stock Price (Trading Cur.) - Avg, USD</v>
      </c>
      <c r="B260" s="357"/>
      <c r="C260" s="436">
        <f t="shared" ref="C260:AL260" ca="1" si="217">IF(INDEX(MO_SNA_IsHistoricalPeriod,1,COLUMN())=FALSE,MO.LastPrice,CHOOSE(VLOOKUP(MO.ValuationToggle,tb_ValuationToggle,COLUMNS(tb_ValuationToggle),FALSE),C256,C257,C258))</f>
        <v>22.085000000000001</v>
      </c>
      <c r="D260" s="436">
        <f t="shared" ca="1" si="217"/>
        <v>23.125</v>
      </c>
      <c r="E260" s="436">
        <f t="shared" ca="1" si="217"/>
        <v>25.465</v>
      </c>
      <c r="F260" s="436">
        <f t="shared" ca="1" si="217"/>
        <v>27.745000000000001</v>
      </c>
      <c r="G260" s="436">
        <f t="shared" ca="1" si="217"/>
        <v>28.07</v>
      </c>
      <c r="H260" s="436">
        <f t="shared" ca="1" si="217"/>
        <v>25.83</v>
      </c>
      <c r="I260" s="436">
        <f t="shared" ca="1" si="217"/>
        <v>26.21</v>
      </c>
      <c r="J260" s="436">
        <f t="shared" ca="1" si="217"/>
        <v>30.87</v>
      </c>
      <c r="K260" s="436">
        <f t="shared" ca="1" si="217"/>
        <v>29.43</v>
      </c>
      <c r="L260" s="436">
        <f t="shared" ca="1" si="217"/>
        <v>33.615000000000002</v>
      </c>
      <c r="M260" s="436">
        <f t="shared" ca="1" si="217"/>
        <v>28.73</v>
      </c>
      <c r="N260" s="436">
        <f t="shared" ca="1" si="217"/>
        <v>25.58</v>
      </c>
      <c r="O260" s="436">
        <f t="shared" ca="1" si="217"/>
        <v>24.875</v>
      </c>
      <c r="P260" s="436">
        <f t="shared" ca="1" si="217"/>
        <v>23.71</v>
      </c>
      <c r="Q260" s="437">
        <f t="shared" ca="1" si="217"/>
        <v>22.545000000000002</v>
      </c>
      <c r="R260" s="436">
        <f t="shared" ca="1" si="217"/>
        <v>26.875</v>
      </c>
      <c r="S260" s="436">
        <f t="shared" ca="1" si="217"/>
        <v>26.175000000000001</v>
      </c>
      <c r="T260" s="436">
        <f t="shared" ca="1" si="217"/>
        <v>25.675000000000001</v>
      </c>
      <c r="U260" s="437">
        <f t="shared" ca="1" si="217"/>
        <v>28.5</v>
      </c>
      <c r="V260" s="436">
        <f t="shared" ca="1" si="217"/>
        <v>26.774999999999999</v>
      </c>
      <c r="W260" s="436">
        <f t="shared" ca="1" si="217"/>
        <v>23.4155737704918</v>
      </c>
      <c r="X260" s="436">
        <f t="shared" ca="1" si="217"/>
        <v>20.366250000000001</v>
      </c>
      <c r="Y260" s="437">
        <f t="shared" ca="1" si="217"/>
        <v>18.4206349206349</v>
      </c>
      <c r="Z260" s="436">
        <f t="shared" ca="1" si="217"/>
        <v>14.2795238095238</v>
      </c>
      <c r="AA260" s="436">
        <f t="shared" ca="1" si="217"/>
        <v>14.5911475409836</v>
      </c>
      <c r="AB260" s="436">
        <f t="shared" ca="1" si="217"/>
        <v>13.7668253968254</v>
      </c>
      <c r="AC260" s="436">
        <f t="shared" ca="1" si="217"/>
        <v>14.08984375</v>
      </c>
      <c r="AD260" s="436">
        <f t="shared" ca="1" si="217"/>
        <v>12.4028125</v>
      </c>
      <c r="AE260" s="436">
        <f t="shared" ca="1" si="217"/>
        <v>11.657096774193599</v>
      </c>
      <c r="AF260" s="668">
        <f t="shared" ca="1" si="217"/>
        <v>7.1984126984127004</v>
      </c>
      <c r="AG260" s="358">
        <f t="shared" ca="1" si="217"/>
        <v>8.1999999999999993</v>
      </c>
      <c r="AH260" s="358">
        <f t="shared" ca="1" si="217"/>
        <v>8.1999999999999993</v>
      </c>
      <c r="AI260" s="358">
        <f t="shared" ca="1" si="217"/>
        <v>8.1999999999999993</v>
      </c>
      <c r="AJ260" s="358">
        <f t="shared" ca="1" si="217"/>
        <v>8.1999999999999993</v>
      </c>
      <c r="AK260" s="358">
        <f t="shared" ca="1" si="217"/>
        <v>8.1999999999999993</v>
      </c>
      <c r="AL260" s="358">
        <f t="shared" ca="1" si="217"/>
        <v>8.1999999999999993</v>
      </c>
      <c r="AM260" s="358"/>
      <c r="AN260" s="435">
        <f t="shared" ref="AN260:BC260" ca="1" si="218">IF(INDEX(MO_SNA_IsHistoricalPeriod,1,COLUMN())=FALSE,MO.LastPrice,CHOOSE(VLOOKUP(MO.ValuationToggle,tb_ValuationToggle,COLUMNS(tb_ValuationToggle),FALSE),AN256,AN257,AN258))</f>
        <v>5.65625</v>
      </c>
      <c r="AO260" s="435">
        <f t="shared" ca="1" si="218"/>
        <v>8.2650000000000006</v>
      </c>
      <c r="AP260" s="435">
        <f t="shared" ca="1" si="218"/>
        <v>12.03</v>
      </c>
      <c r="AQ260" s="435">
        <f t="shared" ca="1" si="218"/>
        <v>17.61375</v>
      </c>
      <c r="AR260" s="435">
        <f t="shared" ca="1" si="218"/>
        <v>24.605</v>
      </c>
      <c r="AS260" s="435">
        <f t="shared" ca="1" si="218"/>
        <v>27.745000000000001</v>
      </c>
      <c r="AT260" s="435">
        <f t="shared" ca="1" si="218"/>
        <v>29.338750000000001</v>
      </c>
      <c r="AU260" s="435">
        <f t="shared" ca="1" si="218"/>
        <v>24.501249999999999</v>
      </c>
      <c r="AV260" s="438">
        <f t="shared" ca="1" si="218"/>
        <v>26.78125</v>
      </c>
      <c r="AW260" s="438">
        <f t="shared" ca="1" si="218"/>
        <v>19.091235059761001</v>
      </c>
      <c r="AX260" s="958">
        <f t="shared" ca="1" si="218"/>
        <v>13.701984126984099</v>
      </c>
      <c r="AY260" s="359">
        <f t="shared" ca="1" si="218"/>
        <v>8.1999999999999993</v>
      </c>
      <c r="AZ260" s="359">
        <f t="shared" ca="1" si="218"/>
        <v>8.1999999999999993</v>
      </c>
      <c r="BA260" s="359">
        <f t="shared" ca="1" si="218"/>
        <v>8.1999999999999993</v>
      </c>
      <c r="BB260" s="359">
        <f t="shared" ca="1" si="218"/>
        <v>8.1999999999999993</v>
      </c>
      <c r="BC260" s="359">
        <f t="shared" ca="1" si="218"/>
        <v>8.1999999999999993</v>
      </c>
      <c r="BD260" s="347"/>
    </row>
    <row r="261" spans="1:56" s="39" customFormat="1" hidden="1" outlineLevel="1" x14ac:dyDescent="0.25">
      <c r="A261" s="75"/>
      <c r="B261" s="171"/>
      <c r="C261" s="723"/>
      <c r="D261" s="723"/>
      <c r="E261" s="723"/>
      <c r="F261" s="723"/>
      <c r="G261" s="723"/>
      <c r="H261" s="723"/>
      <c r="I261" s="723"/>
      <c r="J261" s="723"/>
      <c r="K261" s="723"/>
      <c r="L261" s="723"/>
      <c r="M261" s="723"/>
      <c r="N261" s="723"/>
      <c r="O261" s="723"/>
      <c r="P261" s="723"/>
      <c r="Q261" s="724"/>
      <c r="R261" s="723"/>
      <c r="S261" s="723"/>
      <c r="T261" s="723"/>
      <c r="U261" s="724"/>
      <c r="V261" s="723"/>
      <c r="W261" s="723"/>
      <c r="X261" s="723"/>
      <c r="Y261" s="724"/>
      <c r="Z261" s="723"/>
      <c r="AA261" s="723"/>
      <c r="AB261" s="723"/>
      <c r="AC261" s="723"/>
      <c r="AD261" s="723"/>
      <c r="AE261" s="723"/>
      <c r="AF261" s="727"/>
      <c r="AG261" s="737"/>
      <c r="AH261" s="737"/>
      <c r="AI261" s="737"/>
      <c r="AJ261" s="737"/>
      <c r="AK261" s="737"/>
      <c r="AL261" s="737"/>
      <c r="AM261" s="737"/>
      <c r="AN261" s="722"/>
      <c r="AO261" s="722"/>
      <c r="AP261" s="722"/>
      <c r="AQ261" s="722"/>
      <c r="AR261" s="722"/>
      <c r="AS261" s="722"/>
      <c r="AT261" s="722"/>
      <c r="AU261" s="722"/>
      <c r="AV261" s="722"/>
      <c r="AW261" s="722"/>
      <c r="AX261" s="927"/>
      <c r="AY261" s="738"/>
      <c r="AZ261" s="738"/>
      <c r="BA261" s="738"/>
      <c r="BB261" s="738"/>
      <c r="BC261" s="738"/>
      <c r="BD261" s="631"/>
    </row>
    <row r="262" spans="1:56" s="38" customFormat="1" hidden="1" outlineLevel="1" x14ac:dyDescent="0.25">
      <c r="A262" s="179" t="s">
        <v>148</v>
      </c>
      <c r="B262" s="187"/>
      <c r="C262" s="740"/>
      <c r="D262" s="740"/>
      <c r="E262" s="740"/>
      <c r="F262" s="740"/>
      <c r="G262" s="740"/>
      <c r="H262" s="740"/>
      <c r="I262" s="740"/>
      <c r="J262" s="740"/>
      <c r="K262" s="740"/>
      <c r="L262" s="740"/>
      <c r="M262" s="740"/>
      <c r="N262" s="740"/>
      <c r="O262" s="740"/>
      <c r="P262" s="740"/>
      <c r="Q262" s="754"/>
      <c r="R262" s="740"/>
      <c r="S262" s="740"/>
      <c r="T262" s="740"/>
      <c r="U262" s="754"/>
      <c r="V262" s="740"/>
      <c r="W262" s="740"/>
      <c r="X262" s="740"/>
      <c r="Y262" s="754"/>
      <c r="Z262" s="740"/>
      <c r="AA262" s="740"/>
      <c r="AB262" s="740"/>
      <c r="AC262" s="740"/>
      <c r="AD262" s="740"/>
      <c r="AE262" s="740"/>
      <c r="AF262" s="741"/>
      <c r="AG262" s="742"/>
      <c r="AH262" s="742"/>
      <c r="AI262" s="742"/>
      <c r="AJ262" s="742"/>
      <c r="AK262" s="742"/>
      <c r="AL262" s="742"/>
      <c r="AM262" s="742"/>
      <c r="AN262" s="739"/>
      <c r="AO262" s="739"/>
      <c r="AP262" s="739"/>
      <c r="AQ262" s="739"/>
      <c r="AR262" s="739"/>
      <c r="AS262" s="739"/>
      <c r="AT262" s="739"/>
      <c r="AU262" s="739"/>
      <c r="AV262" s="739"/>
      <c r="AW262" s="739"/>
      <c r="AX262" s="934"/>
      <c r="AY262" s="743"/>
      <c r="AZ262" s="743"/>
      <c r="BA262" s="743"/>
      <c r="BB262" s="743"/>
      <c r="BC262" s="743"/>
      <c r="BD262" s="632"/>
    </row>
    <row r="263" spans="1:56" s="39" customFormat="1" hidden="1" outlineLevel="1" x14ac:dyDescent="0.25">
      <c r="A263" s="180" t="s">
        <v>149</v>
      </c>
      <c r="B263" s="171"/>
      <c r="C263" s="723">
        <f t="shared" ref="C263:AL263" si="219">C442</f>
        <v>0</v>
      </c>
      <c r="D263" s="723">
        <f t="shared" si="219"/>
        <v>0</v>
      </c>
      <c r="E263" s="723">
        <f t="shared" si="219"/>
        <v>0</v>
      </c>
      <c r="F263" s="723">
        <f t="shared" si="219"/>
        <v>0</v>
      </c>
      <c r="G263" s="723">
        <f t="shared" si="219"/>
        <v>0</v>
      </c>
      <c r="H263" s="723">
        <f t="shared" si="219"/>
        <v>0</v>
      </c>
      <c r="I263" s="723">
        <f t="shared" si="219"/>
        <v>0</v>
      </c>
      <c r="J263" s="723">
        <f t="shared" si="219"/>
        <v>0</v>
      </c>
      <c r="K263" s="723">
        <f t="shared" si="219"/>
        <v>0</v>
      </c>
      <c r="L263" s="723">
        <f t="shared" si="219"/>
        <v>0</v>
      </c>
      <c r="M263" s="723">
        <f t="shared" si="219"/>
        <v>0</v>
      </c>
      <c r="N263" s="723">
        <f t="shared" si="219"/>
        <v>0</v>
      </c>
      <c r="O263" s="723">
        <f t="shared" si="219"/>
        <v>0</v>
      </c>
      <c r="P263" s="723">
        <f t="shared" si="219"/>
        <v>0</v>
      </c>
      <c r="Q263" s="724">
        <f t="shared" si="219"/>
        <v>0</v>
      </c>
      <c r="R263" s="723">
        <f t="shared" si="219"/>
        <v>0</v>
      </c>
      <c r="S263" s="723">
        <f t="shared" si="219"/>
        <v>0</v>
      </c>
      <c r="T263" s="723">
        <f t="shared" si="219"/>
        <v>0</v>
      </c>
      <c r="U263" s="724">
        <f t="shared" si="219"/>
        <v>0</v>
      </c>
      <c r="V263" s="725">
        <f t="shared" si="219"/>
        <v>0</v>
      </c>
      <c r="W263" s="723">
        <f t="shared" si="219"/>
        <v>0</v>
      </c>
      <c r="X263" s="723">
        <f t="shared" si="219"/>
        <v>0</v>
      </c>
      <c r="Y263" s="724">
        <f t="shared" si="219"/>
        <v>0</v>
      </c>
      <c r="Z263" s="725">
        <f t="shared" si="219"/>
        <v>0</v>
      </c>
      <c r="AA263" s="725">
        <f t="shared" si="219"/>
        <v>0</v>
      </c>
      <c r="AB263" s="723">
        <f t="shared" si="219"/>
        <v>0</v>
      </c>
      <c r="AC263" s="725">
        <f t="shared" si="219"/>
        <v>0</v>
      </c>
      <c r="AD263" s="725">
        <f t="shared" si="219"/>
        <v>0</v>
      </c>
      <c r="AE263" s="725">
        <f t="shared" si="219"/>
        <v>0</v>
      </c>
      <c r="AF263" s="771">
        <f t="shared" si="219"/>
        <v>0</v>
      </c>
      <c r="AG263" s="730">
        <f t="shared" si="219"/>
        <v>0</v>
      </c>
      <c r="AH263" s="730">
        <f t="shared" si="219"/>
        <v>0</v>
      </c>
      <c r="AI263" s="730">
        <f t="shared" si="219"/>
        <v>0</v>
      </c>
      <c r="AJ263" s="730">
        <f t="shared" si="219"/>
        <v>0</v>
      </c>
      <c r="AK263" s="730">
        <f t="shared" si="219"/>
        <v>0</v>
      </c>
      <c r="AL263" s="730">
        <f t="shared" si="219"/>
        <v>0</v>
      </c>
      <c r="AM263" s="730"/>
      <c r="AN263" s="722">
        <f t="shared" ref="AN263:BC263" si="220">AN442</f>
        <v>0</v>
      </c>
      <c r="AO263" s="722">
        <f t="shared" si="220"/>
        <v>0</v>
      </c>
      <c r="AP263" s="722">
        <f t="shared" si="220"/>
        <v>0</v>
      </c>
      <c r="AQ263" s="722">
        <f t="shared" si="220"/>
        <v>0</v>
      </c>
      <c r="AR263" s="722">
        <f t="shared" si="220"/>
        <v>0</v>
      </c>
      <c r="AS263" s="722">
        <f t="shared" si="220"/>
        <v>0</v>
      </c>
      <c r="AT263" s="722">
        <f t="shared" si="220"/>
        <v>0</v>
      </c>
      <c r="AU263" s="722">
        <f t="shared" si="220"/>
        <v>0</v>
      </c>
      <c r="AV263" s="726">
        <f t="shared" si="220"/>
        <v>0</v>
      </c>
      <c r="AW263" s="726">
        <f t="shared" si="220"/>
        <v>0</v>
      </c>
      <c r="AX263" s="925">
        <f t="shared" si="220"/>
        <v>0</v>
      </c>
      <c r="AY263" s="729">
        <f t="shared" si="220"/>
        <v>0</v>
      </c>
      <c r="AZ263" s="729">
        <f t="shared" si="220"/>
        <v>0</v>
      </c>
      <c r="BA263" s="729">
        <f t="shared" si="220"/>
        <v>0</v>
      </c>
      <c r="BB263" s="729">
        <f t="shared" si="220"/>
        <v>0</v>
      </c>
      <c r="BC263" s="729">
        <f t="shared" si="220"/>
        <v>0</v>
      </c>
      <c r="BD263" s="631"/>
    </row>
    <row r="264" spans="1:56" s="39" customFormat="1" hidden="1" outlineLevel="1" x14ac:dyDescent="0.25">
      <c r="A264" s="180" t="s">
        <v>150</v>
      </c>
      <c r="B264" s="171"/>
      <c r="C264" s="723">
        <f t="shared" ref="C264:AL264" si="221">C435</f>
        <v>0</v>
      </c>
      <c r="D264" s="723">
        <f t="shared" si="221"/>
        <v>0</v>
      </c>
      <c r="E264" s="723">
        <f t="shared" si="221"/>
        <v>0</v>
      </c>
      <c r="F264" s="723">
        <f t="shared" si="221"/>
        <v>0</v>
      </c>
      <c r="G264" s="723">
        <f t="shared" si="221"/>
        <v>0</v>
      </c>
      <c r="H264" s="723">
        <f t="shared" si="221"/>
        <v>0</v>
      </c>
      <c r="I264" s="723">
        <f t="shared" si="221"/>
        <v>0</v>
      </c>
      <c r="J264" s="723">
        <f t="shared" si="221"/>
        <v>0</v>
      </c>
      <c r="K264" s="723">
        <f t="shared" si="221"/>
        <v>0</v>
      </c>
      <c r="L264" s="723">
        <f t="shared" si="221"/>
        <v>0</v>
      </c>
      <c r="M264" s="723">
        <f t="shared" si="221"/>
        <v>0</v>
      </c>
      <c r="N264" s="723">
        <f t="shared" si="221"/>
        <v>0</v>
      </c>
      <c r="O264" s="723">
        <f t="shared" si="221"/>
        <v>0</v>
      </c>
      <c r="P264" s="723">
        <f t="shared" si="221"/>
        <v>0</v>
      </c>
      <c r="Q264" s="724">
        <f t="shared" si="221"/>
        <v>0</v>
      </c>
      <c r="R264" s="723">
        <f t="shared" si="221"/>
        <v>0</v>
      </c>
      <c r="S264" s="723">
        <f t="shared" si="221"/>
        <v>0</v>
      </c>
      <c r="T264" s="723">
        <f t="shared" si="221"/>
        <v>0</v>
      </c>
      <c r="U264" s="724">
        <f t="shared" si="221"/>
        <v>0</v>
      </c>
      <c r="V264" s="725">
        <f t="shared" si="221"/>
        <v>0</v>
      </c>
      <c r="W264" s="723">
        <f t="shared" si="221"/>
        <v>0</v>
      </c>
      <c r="X264" s="723">
        <f t="shared" si="221"/>
        <v>0</v>
      </c>
      <c r="Y264" s="724">
        <f t="shared" si="221"/>
        <v>0</v>
      </c>
      <c r="Z264" s="725">
        <f t="shared" si="221"/>
        <v>0</v>
      </c>
      <c r="AA264" s="725">
        <f t="shared" si="221"/>
        <v>0</v>
      </c>
      <c r="AB264" s="723">
        <f t="shared" si="221"/>
        <v>0</v>
      </c>
      <c r="AC264" s="725">
        <f t="shared" si="221"/>
        <v>0</v>
      </c>
      <c r="AD264" s="725">
        <f t="shared" si="221"/>
        <v>0</v>
      </c>
      <c r="AE264" s="725">
        <f t="shared" si="221"/>
        <v>0</v>
      </c>
      <c r="AF264" s="771">
        <f t="shared" si="221"/>
        <v>0</v>
      </c>
      <c r="AG264" s="730">
        <f t="shared" si="221"/>
        <v>0</v>
      </c>
      <c r="AH264" s="730">
        <f t="shared" si="221"/>
        <v>0</v>
      </c>
      <c r="AI264" s="730">
        <f t="shared" si="221"/>
        <v>0</v>
      </c>
      <c r="AJ264" s="730">
        <f t="shared" si="221"/>
        <v>0</v>
      </c>
      <c r="AK264" s="730">
        <f t="shared" si="221"/>
        <v>0</v>
      </c>
      <c r="AL264" s="730">
        <f t="shared" si="221"/>
        <v>0</v>
      </c>
      <c r="AM264" s="730"/>
      <c r="AN264" s="722">
        <f t="shared" ref="AN264:BC264" si="222">AN435</f>
        <v>0</v>
      </c>
      <c r="AO264" s="722">
        <f t="shared" si="222"/>
        <v>0</v>
      </c>
      <c r="AP264" s="722">
        <f t="shared" si="222"/>
        <v>0</v>
      </c>
      <c r="AQ264" s="722">
        <f t="shared" si="222"/>
        <v>0</v>
      </c>
      <c r="AR264" s="722">
        <f t="shared" si="222"/>
        <v>0</v>
      </c>
      <c r="AS264" s="722">
        <f t="shared" si="222"/>
        <v>0</v>
      </c>
      <c r="AT264" s="722">
        <f t="shared" si="222"/>
        <v>0</v>
      </c>
      <c r="AU264" s="722">
        <f t="shared" si="222"/>
        <v>0</v>
      </c>
      <c r="AV264" s="726">
        <f t="shared" si="222"/>
        <v>0</v>
      </c>
      <c r="AW264" s="726">
        <f t="shared" si="222"/>
        <v>0</v>
      </c>
      <c r="AX264" s="925">
        <f t="shared" si="222"/>
        <v>0</v>
      </c>
      <c r="AY264" s="729">
        <f t="shared" si="222"/>
        <v>0</v>
      </c>
      <c r="AZ264" s="729">
        <f t="shared" si="222"/>
        <v>0</v>
      </c>
      <c r="BA264" s="729">
        <f t="shared" si="222"/>
        <v>0</v>
      </c>
      <c r="BB264" s="729">
        <f t="shared" si="222"/>
        <v>0</v>
      </c>
      <c r="BC264" s="729">
        <f t="shared" si="222"/>
        <v>0</v>
      </c>
      <c r="BD264" s="631"/>
    </row>
    <row r="265" spans="1:56" s="39" customFormat="1" hidden="1" outlineLevel="1" x14ac:dyDescent="0.25">
      <c r="A265" s="180" t="s">
        <v>151</v>
      </c>
      <c r="B265" s="171"/>
      <c r="C265" s="723"/>
      <c r="D265" s="723"/>
      <c r="E265" s="723"/>
      <c r="F265" s="723"/>
      <c r="G265" s="723"/>
      <c r="H265" s="723"/>
      <c r="I265" s="723"/>
      <c r="J265" s="723"/>
      <c r="K265" s="723"/>
      <c r="L265" s="723"/>
      <c r="M265" s="723"/>
      <c r="N265" s="723"/>
      <c r="O265" s="723"/>
      <c r="P265" s="723"/>
      <c r="Q265" s="724"/>
      <c r="R265" s="723"/>
      <c r="S265" s="723"/>
      <c r="T265" s="723"/>
      <c r="U265" s="724"/>
      <c r="V265" s="723"/>
      <c r="W265" s="723"/>
      <c r="X265" s="723"/>
      <c r="Y265" s="724"/>
      <c r="Z265" s="723"/>
      <c r="AA265" s="723"/>
      <c r="AB265" s="723"/>
      <c r="AC265" s="723"/>
      <c r="AD265" s="723"/>
      <c r="AE265" s="723"/>
      <c r="AF265" s="727"/>
      <c r="AG265" s="737"/>
      <c r="AH265" s="737"/>
      <c r="AI265" s="737"/>
      <c r="AJ265" s="737"/>
      <c r="AK265" s="737"/>
      <c r="AL265" s="737"/>
      <c r="AM265" s="737"/>
      <c r="AN265" s="722"/>
      <c r="AO265" s="722"/>
      <c r="AP265" s="722"/>
      <c r="AQ265" s="722"/>
      <c r="AR265" s="722"/>
      <c r="AS265" s="722"/>
      <c r="AT265" s="722"/>
      <c r="AU265" s="722"/>
      <c r="AV265" s="722"/>
      <c r="AW265" s="722"/>
      <c r="AX265" s="927"/>
      <c r="AY265" s="738"/>
      <c r="AZ265" s="738"/>
      <c r="BA265" s="738"/>
      <c r="BB265" s="738"/>
      <c r="BC265" s="738"/>
      <c r="BD265" s="631"/>
    </row>
    <row r="266" spans="1:56" s="39" customFormat="1" collapsed="1" x14ac:dyDescent="0.25">
      <c r="A266" s="180"/>
      <c r="B266" s="171"/>
      <c r="C266" s="723"/>
      <c r="D266" s="723"/>
      <c r="E266" s="723"/>
      <c r="F266" s="723"/>
      <c r="G266" s="723"/>
      <c r="H266" s="723"/>
      <c r="I266" s="723"/>
      <c r="J266" s="723"/>
      <c r="K266" s="723"/>
      <c r="L266" s="723"/>
      <c r="M266" s="723"/>
      <c r="N266" s="723"/>
      <c r="O266" s="723"/>
      <c r="P266" s="723"/>
      <c r="Q266" s="724"/>
      <c r="R266" s="723"/>
      <c r="S266" s="723"/>
      <c r="T266" s="723"/>
      <c r="U266" s="724"/>
      <c r="V266" s="723"/>
      <c r="W266" s="723"/>
      <c r="X266" s="723"/>
      <c r="Y266" s="724"/>
      <c r="Z266" s="723"/>
      <c r="AA266" s="723"/>
      <c r="AB266" s="723"/>
      <c r="AC266" s="723"/>
      <c r="AD266" s="723"/>
      <c r="AE266" s="723"/>
      <c r="AF266" s="727"/>
      <c r="AG266" s="737"/>
      <c r="AH266" s="737"/>
      <c r="AI266" s="737"/>
      <c r="AJ266" s="737"/>
      <c r="AK266" s="737"/>
      <c r="AL266" s="737"/>
      <c r="AM266" s="737"/>
      <c r="AN266" s="722"/>
      <c r="AO266" s="722"/>
      <c r="AP266" s="722"/>
      <c r="AQ266" s="722"/>
      <c r="AR266" s="722"/>
      <c r="AS266" s="722"/>
      <c r="AT266" s="722"/>
      <c r="AU266" s="722"/>
      <c r="AV266" s="722"/>
      <c r="AW266" s="722"/>
      <c r="AX266" s="927"/>
      <c r="AY266" s="738"/>
      <c r="AZ266" s="738"/>
      <c r="BA266" s="738"/>
      <c r="BB266" s="738"/>
      <c r="BC266" s="738"/>
      <c r="BD266" s="631"/>
    </row>
    <row r="267" spans="1:56" s="38" customFormat="1" x14ac:dyDescent="0.25">
      <c r="A267" s="626" t="s">
        <v>152</v>
      </c>
      <c r="B267" s="626"/>
      <c r="C267" s="719"/>
      <c r="D267" s="719"/>
      <c r="E267" s="719"/>
      <c r="F267" s="719"/>
      <c r="G267" s="719"/>
      <c r="H267" s="719"/>
      <c r="I267" s="719"/>
      <c r="J267" s="719"/>
      <c r="K267" s="719"/>
      <c r="L267" s="719"/>
      <c r="M267" s="719"/>
      <c r="N267" s="719"/>
      <c r="O267" s="719"/>
      <c r="P267" s="719"/>
      <c r="Q267" s="719"/>
      <c r="R267" s="719"/>
      <c r="S267" s="719"/>
      <c r="T267" s="719"/>
      <c r="U267" s="719"/>
      <c r="V267" s="719"/>
      <c r="W267" s="719"/>
      <c r="X267" s="719"/>
      <c r="Y267" s="719"/>
      <c r="Z267" s="719"/>
      <c r="AA267" s="719"/>
      <c r="AB267" s="719"/>
      <c r="AC267" s="719"/>
      <c r="AD267" s="719"/>
      <c r="AE267" s="719"/>
      <c r="AF267" s="720"/>
      <c r="AG267" s="721"/>
      <c r="AH267" s="721"/>
      <c r="AI267" s="721"/>
      <c r="AJ267" s="721"/>
      <c r="AK267" s="721"/>
      <c r="AL267" s="721"/>
      <c r="AM267" s="721"/>
      <c r="AN267" s="719"/>
      <c r="AO267" s="719"/>
      <c r="AP267" s="719"/>
      <c r="AQ267" s="719"/>
      <c r="AR267" s="719"/>
      <c r="AS267" s="719"/>
      <c r="AT267" s="719"/>
      <c r="AU267" s="719"/>
      <c r="AV267" s="719"/>
      <c r="AW267" s="719"/>
      <c r="AX267" s="720"/>
      <c r="AY267" s="721"/>
      <c r="AZ267" s="721"/>
      <c r="BA267" s="721"/>
      <c r="BB267" s="721"/>
      <c r="BC267" s="721"/>
      <c r="BD267" s="632"/>
    </row>
    <row r="268" spans="1:56" s="38" customFormat="1" hidden="1" outlineLevel="1" x14ac:dyDescent="0.25">
      <c r="A268" s="162" t="s">
        <v>153</v>
      </c>
      <c r="B268" s="187"/>
      <c r="C268" s="740"/>
      <c r="D268" s="740"/>
      <c r="E268" s="740"/>
      <c r="F268" s="740"/>
      <c r="G268" s="740"/>
      <c r="H268" s="740"/>
      <c r="I268" s="740"/>
      <c r="J268" s="740"/>
      <c r="K268" s="740"/>
      <c r="L268" s="740"/>
      <c r="M268" s="740"/>
      <c r="N268" s="740"/>
      <c r="O268" s="740"/>
      <c r="P268" s="740"/>
      <c r="Q268" s="754"/>
      <c r="R268" s="740"/>
      <c r="S268" s="740"/>
      <c r="T268" s="740"/>
      <c r="U268" s="754"/>
      <c r="V268" s="740"/>
      <c r="W268" s="740"/>
      <c r="X268" s="740"/>
      <c r="Y268" s="754"/>
      <c r="Z268" s="740"/>
      <c r="AA268" s="740"/>
      <c r="AB268" s="740"/>
      <c r="AC268" s="740"/>
      <c r="AD268" s="740"/>
      <c r="AE268" s="740"/>
      <c r="AF268" s="741"/>
      <c r="AG268" s="742"/>
      <c r="AH268" s="742"/>
      <c r="AI268" s="742"/>
      <c r="AJ268" s="742"/>
      <c r="AK268" s="742"/>
      <c r="AL268" s="742"/>
      <c r="AM268" s="742"/>
      <c r="AN268" s="739"/>
      <c r="AO268" s="739"/>
      <c r="AP268" s="739"/>
      <c r="AQ268" s="739"/>
      <c r="AR268" s="739"/>
      <c r="AS268" s="739"/>
      <c r="AT268" s="739"/>
      <c r="AU268" s="739"/>
      <c r="AV268" s="739"/>
      <c r="AW268" s="739"/>
      <c r="AX268" s="934"/>
      <c r="AY268" s="743"/>
      <c r="AZ268" s="743"/>
      <c r="BA268" s="743"/>
      <c r="BB268" s="743"/>
      <c r="BC268" s="743"/>
      <c r="BD268" s="632"/>
    </row>
    <row r="269" spans="1:56" s="39" customFormat="1" hidden="1" outlineLevel="1" x14ac:dyDescent="0.25">
      <c r="A269" s="75" t="s">
        <v>76</v>
      </c>
      <c r="B269" s="171"/>
      <c r="C269" s="723">
        <v>4.9249999999999998</v>
      </c>
      <c r="D269" s="723">
        <v>10.172000000000001</v>
      </c>
      <c r="E269" s="723">
        <v>16.315000000000001</v>
      </c>
      <c r="F269" s="723">
        <f>AR269</f>
        <v>23.756</v>
      </c>
      <c r="G269" s="723">
        <v>4.3170000000000002</v>
      </c>
      <c r="H269" s="723">
        <v>12.43</v>
      </c>
      <c r="I269" s="723">
        <v>19.673999999999999</v>
      </c>
      <c r="J269" s="723">
        <f>AS269</f>
        <v>27.097999999999999</v>
      </c>
      <c r="K269" s="723">
        <v>4.1070000000000002</v>
      </c>
      <c r="L269" s="723">
        <v>8.8209999999999997</v>
      </c>
      <c r="M269" s="723">
        <v>12.537000000000001</v>
      </c>
      <c r="N269" s="723">
        <f>AT269</f>
        <v>18.789000000000001</v>
      </c>
      <c r="O269" s="723">
        <v>3.8</v>
      </c>
      <c r="P269" s="723">
        <v>8.7129999999999992</v>
      </c>
      <c r="Q269" s="723">
        <v>13.515000000000001</v>
      </c>
      <c r="R269" s="723">
        <f>AU269</f>
        <v>20.247</v>
      </c>
      <c r="S269" s="723">
        <v>4.0860000000000003</v>
      </c>
      <c r="T269" s="723">
        <v>9.9489999999999998</v>
      </c>
      <c r="U269" s="723">
        <v>13.23</v>
      </c>
      <c r="V269" s="723">
        <f>AV269</f>
        <v>12.891</v>
      </c>
      <c r="W269" s="723">
        <v>2.6320000000000001</v>
      </c>
      <c r="X269" s="723">
        <v>6.2069999999999999</v>
      </c>
      <c r="Y269" s="723">
        <v>9.4510000000000005</v>
      </c>
      <c r="Z269" s="723">
        <f>AW269</f>
        <v>9.8360000000000003</v>
      </c>
      <c r="AA269" s="723">
        <v>0.33400000000000002</v>
      </c>
      <c r="AB269" s="723">
        <v>3.5529999999999999</v>
      </c>
      <c r="AC269" s="723">
        <v>5.694</v>
      </c>
      <c r="AD269" s="725">
        <f t="shared" ref="AD269:AD277" si="223">AX269</f>
        <v>15.189</v>
      </c>
      <c r="AE269" s="723">
        <v>-1.294</v>
      </c>
      <c r="AF269" s="727"/>
      <c r="AG269" s="737"/>
      <c r="AH269" s="730">
        <f t="shared" ref="AH269:AH277" si="224">AY269</f>
        <v>0</v>
      </c>
      <c r="AI269" s="737"/>
      <c r="AJ269" s="737"/>
      <c r="AK269" s="737"/>
      <c r="AL269" s="730">
        <f t="shared" ref="AL269:AL277" si="225">AZ269</f>
        <v>0</v>
      </c>
      <c r="AM269" s="730"/>
      <c r="AN269" s="722">
        <v>-1.19</v>
      </c>
      <c r="AO269" s="722">
        <v>12.731999999999999</v>
      </c>
      <c r="AP269" s="722">
        <v>17.86</v>
      </c>
      <c r="AQ269" s="722">
        <v>22.687999999999999</v>
      </c>
      <c r="AR269" s="722">
        <v>23.756</v>
      </c>
      <c r="AS269" s="722">
        <v>27.097999999999999</v>
      </c>
      <c r="AT269" s="722">
        <v>18.789000000000001</v>
      </c>
      <c r="AU269" s="722">
        <v>20.247</v>
      </c>
      <c r="AV269" s="722">
        <v>12.891</v>
      </c>
      <c r="AW269" s="722">
        <v>9.8360000000000003</v>
      </c>
      <c r="AX269" s="927">
        <v>15.189</v>
      </c>
      <c r="AY269" s="738"/>
      <c r="AZ269" s="738"/>
      <c r="BA269" s="738"/>
      <c r="BB269" s="738"/>
      <c r="BC269" s="738"/>
      <c r="BD269" s="631"/>
    </row>
    <row r="270" spans="1:56" s="39" customFormat="1" hidden="1" outlineLevel="1" x14ac:dyDescent="0.25">
      <c r="A270" s="75" t="s">
        <v>70</v>
      </c>
      <c r="B270" s="171"/>
      <c r="C270" s="723"/>
      <c r="D270" s="723"/>
      <c r="E270" s="723"/>
      <c r="F270" s="723"/>
      <c r="G270" s="723"/>
      <c r="H270" s="723"/>
      <c r="I270" s="723"/>
      <c r="J270" s="723"/>
      <c r="K270" s="723"/>
      <c r="L270" s="723"/>
      <c r="M270" s="723"/>
      <c r="N270" s="723"/>
      <c r="O270" s="723"/>
      <c r="P270" s="723"/>
      <c r="Q270" s="723"/>
      <c r="R270" s="723"/>
      <c r="S270" s="723"/>
      <c r="T270" s="723"/>
      <c r="U270" s="723"/>
      <c r="V270" s="723">
        <f>AV270</f>
        <v>0</v>
      </c>
      <c r="W270" s="723"/>
      <c r="X270" s="723"/>
      <c r="Y270" s="723"/>
      <c r="Z270" s="723">
        <f>AW270</f>
        <v>0</v>
      </c>
      <c r="AA270" s="723"/>
      <c r="AB270" s="723"/>
      <c r="AC270" s="723"/>
      <c r="AD270" s="725">
        <f t="shared" si="223"/>
        <v>0</v>
      </c>
      <c r="AE270" s="723"/>
      <c r="AF270" s="727"/>
      <c r="AG270" s="737"/>
      <c r="AH270" s="730">
        <f t="shared" si="224"/>
        <v>0</v>
      </c>
      <c r="AI270" s="737"/>
      <c r="AJ270" s="737"/>
      <c r="AK270" s="737"/>
      <c r="AL270" s="730">
        <f t="shared" si="225"/>
        <v>0</v>
      </c>
      <c r="AM270" s="730"/>
      <c r="AN270" s="722">
        <v>10.163</v>
      </c>
      <c r="AO270" s="722"/>
      <c r="AP270" s="722"/>
      <c r="AQ270" s="722"/>
      <c r="AR270" s="722"/>
      <c r="AS270" s="722"/>
      <c r="AT270" s="722"/>
      <c r="AU270" s="722"/>
      <c r="AV270" s="722"/>
      <c r="AW270" s="722"/>
      <c r="AX270" s="927"/>
      <c r="AY270" s="738"/>
      <c r="AZ270" s="738"/>
      <c r="BA270" s="738"/>
      <c r="BB270" s="738"/>
      <c r="BC270" s="738"/>
      <c r="BD270" s="631"/>
    </row>
    <row r="271" spans="1:56" s="39" customFormat="1" hidden="1" outlineLevel="1" x14ac:dyDescent="0.25">
      <c r="A271" s="75" t="s">
        <v>67</v>
      </c>
      <c r="B271" s="171"/>
      <c r="C271" s="723"/>
      <c r="D271" s="723"/>
      <c r="E271" s="723"/>
      <c r="F271" s="723">
        <f>AR271</f>
        <v>0</v>
      </c>
      <c r="G271" s="723"/>
      <c r="H271" s="723"/>
      <c r="I271" s="723"/>
      <c r="J271" s="723">
        <f>AS271</f>
        <v>0</v>
      </c>
      <c r="K271" s="723"/>
      <c r="L271" s="723"/>
      <c r="M271" s="723"/>
      <c r="N271" s="723">
        <f>AT271</f>
        <v>0</v>
      </c>
      <c r="O271" s="723"/>
      <c r="P271" s="723"/>
      <c r="Q271" s="723"/>
      <c r="R271" s="723">
        <f>AU271</f>
        <v>0</v>
      </c>
      <c r="S271" s="723"/>
      <c r="T271" s="723"/>
      <c r="U271" s="723"/>
      <c r="V271" s="723">
        <f>AV271</f>
        <v>0</v>
      </c>
      <c r="W271" s="723"/>
      <c r="X271" s="723"/>
      <c r="Y271" s="723"/>
      <c r="Z271" s="723">
        <f>AW271</f>
        <v>0</v>
      </c>
      <c r="AA271" s="723"/>
      <c r="AB271" s="723"/>
      <c r="AC271" s="723"/>
      <c r="AD271" s="725">
        <f t="shared" si="223"/>
        <v>0</v>
      </c>
      <c r="AE271" s="723"/>
      <c r="AF271" s="727"/>
      <c r="AG271" s="737"/>
      <c r="AH271" s="730">
        <f t="shared" si="224"/>
        <v>0</v>
      </c>
      <c r="AI271" s="737"/>
      <c r="AJ271" s="737"/>
      <c r="AK271" s="737"/>
      <c r="AL271" s="730">
        <f t="shared" si="225"/>
        <v>0</v>
      </c>
      <c r="AM271" s="730"/>
      <c r="AN271" s="722"/>
      <c r="AO271" s="722">
        <v>0</v>
      </c>
      <c r="AP271" s="722">
        <v>-1.0409999999999999</v>
      </c>
      <c r="AQ271" s="722">
        <v>0</v>
      </c>
      <c r="AR271" s="722"/>
      <c r="AS271" s="722"/>
      <c r="AT271" s="722"/>
      <c r="AU271" s="722"/>
      <c r="AV271" s="722"/>
      <c r="AW271" s="722"/>
      <c r="AX271" s="927"/>
      <c r="AY271" s="738"/>
      <c r="AZ271" s="738"/>
      <c r="BA271" s="738"/>
      <c r="BB271" s="738"/>
      <c r="BC271" s="738"/>
      <c r="BD271" s="631"/>
    </row>
    <row r="272" spans="1:56" s="39" customFormat="1" hidden="1" outlineLevel="1" x14ac:dyDescent="0.25">
      <c r="A272" s="75" t="s">
        <v>154</v>
      </c>
      <c r="B272" s="171"/>
      <c r="C272" s="723"/>
      <c r="D272" s="723"/>
      <c r="E272" s="723"/>
      <c r="F272" s="723">
        <f>AR272</f>
        <v>0</v>
      </c>
      <c r="G272" s="723"/>
      <c r="H272" s="723"/>
      <c r="I272" s="723"/>
      <c r="J272" s="723">
        <f>AS272</f>
        <v>0</v>
      </c>
      <c r="K272" s="723"/>
      <c r="L272" s="723"/>
      <c r="M272" s="723"/>
      <c r="N272" s="723">
        <f>AT272</f>
        <v>0</v>
      </c>
      <c r="O272" s="723"/>
      <c r="P272" s="723"/>
      <c r="Q272" s="723"/>
      <c r="R272" s="723">
        <f>AU272</f>
        <v>0</v>
      </c>
      <c r="S272" s="723"/>
      <c r="T272" s="723"/>
      <c r="U272" s="723"/>
      <c r="V272" s="723">
        <f>AV272</f>
        <v>0</v>
      </c>
      <c r="W272" s="723"/>
      <c r="X272" s="723"/>
      <c r="Y272" s="723"/>
      <c r="Z272" s="723">
        <f>AW272</f>
        <v>0</v>
      </c>
      <c r="AA272" s="723"/>
      <c r="AB272" s="723"/>
      <c r="AC272" s="723"/>
      <c r="AD272" s="725">
        <f t="shared" si="223"/>
        <v>0</v>
      </c>
      <c r="AE272" s="723"/>
      <c r="AF272" s="727"/>
      <c r="AG272" s="737"/>
      <c r="AH272" s="730">
        <f t="shared" si="224"/>
        <v>0</v>
      </c>
      <c r="AI272" s="737"/>
      <c r="AJ272" s="737"/>
      <c r="AK272" s="737"/>
      <c r="AL272" s="730">
        <f t="shared" si="225"/>
        <v>0</v>
      </c>
      <c r="AM272" s="730"/>
      <c r="AN272" s="722"/>
      <c r="AO272" s="722">
        <v>0</v>
      </c>
      <c r="AP272" s="722">
        <v>-0.89100000000000001</v>
      </c>
      <c r="AQ272" s="722">
        <v>-1.6020000000000001</v>
      </c>
      <c r="AR272" s="722">
        <v>0</v>
      </c>
      <c r="AS272" s="722"/>
      <c r="AT272" s="722"/>
      <c r="AU272" s="722"/>
      <c r="AV272" s="722"/>
      <c r="AW272" s="722"/>
      <c r="AX272" s="927"/>
      <c r="AY272" s="738"/>
      <c r="AZ272" s="738"/>
      <c r="BA272" s="738"/>
      <c r="BB272" s="738"/>
      <c r="BC272" s="738"/>
      <c r="BD272" s="631"/>
    </row>
    <row r="273" spans="1:56" s="39" customFormat="1" hidden="1" outlineLevel="1" x14ac:dyDescent="0.25">
      <c r="A273" s="75" t="s">
        <v>69</v>
      </c>
      <c r="B273" s="171"/>
      <c r="C273" s="723">
        <v>-0.247</v>
      </c>
      <c r="D273" s="723">
        <v>-0.29199999999999998</v>
      </c>
      <c r="E273" s="723">
        <v>-0.42699999999999999</v>
      </c>
      <c r="F273" s="723">
        <f>AR273</f>
        <v>-1.6759999999999999</v>
      </c>
      <c r="G273" s="723">
        <v>-0.377</v>
      </c>
      <c r="H273" s="723">
        <v>-0.85799999999999998</v>
      </c>
      <c r="I273" s="723">
        <v>-1.5129999999999999</v>
      </c>
      <c r="J273" s="723">
        <f>AS273</f>
        <v>-1.3919999999999999</v>
      </c>
      <c r="K273" s="723">
        <v>0.20300000000000001</v>
      </c>
      <c r="L273" s="723">
        <v>0.25800000000000001</v>
      </c>
      <c r="M273" s="723">
        <v>0.314</v>
      </c>
      <c r="N273" s="723">
        <f>AT273</f>
        <v>0.371</v>
      </c>
      <c r="O273" s="723">
        <v>0.159</v>
      </c>
      <c r="P273" s="723">
        <v>7.0999999999999994E-2</v>
      </c>
      <c r="Q273" s="723">
        <v>7.3999999999999996E-2</v>
      </c>
      <c r="R273" s="723">
        <f>AU273</f>
        <v>0.13600000000000001</v>
      </c>
      <c r="S273" s="723">
        <v>-0.19700000000000001</v>
      </c>
      <c r="T273" s="723">
        <v>-0.10100000000000001</v>
      </c>
      <c r="U273" s="723">
        <v>-0.36899999999999999</v>
      </c>
      <c r="V273" s="723">
        <f>AV273</f>
        <v>-1.62</v>
      </c>
      <c r="W273" s="723">
        <v>-2.552</v>
      </c>
      <c r="X273" s="723">
        <v>-3.4460000000000002</v>
      </c>
      <c r="Y273" s="723">
        <v>-3.972</v>
      </c>
      <c r="Z273" s="723">
        <f>AW273</f>
        <v>-4.4379999999999997</v>
      </c>
      <c r="AA273" s="723">
        <v>-0.05</v>
      </c>
      <c r="AB273" s="723">
        <v>-0.67700000000000005</v>
      </c>
      <c r="AC273" s="723">
        <v>-0.67700000000000005</v>
      </c>
      <c r="AD273" s="725">
        <f t="shared" si="223"/>
        <v>-0.67700000000000005</v>
      </c>
      <c r="AE273" s="723"/>
      <c r="AF273" s="727"/>
      <c r="AG273" s="737"/>
      <c r="AH273" s="730">
        <f t="shared" si="224"/>
        <v>0</v>
      </c>
      <c r="AI273" s="737"/>
      <c r="AJ273" s="737"/>
      <c r="AK273" s="737"/>
      <c r="AL273" s="730">
        <f t="shared" si="225"/>
        <v>0</v>
      </c>
      <c r="AM273" s="730"/>
      <c r="AN273" s="722"/>
      <c r="AO273" s="722">
        <v>-1.3129999999999999</v>
      </c>
      <c r="AP273" s="722">
        <v>-0.51700000000000002</v>
      </c>
      <c r="AQ273" s="722">
        <v>0.78900000000000003</v>
      </c>
      <c r="AR273" s="722">
        <v>-1.6759999999999999</v>
      </c>
      <c r="AS273" s="722">
        <v>-1.3919999999999999</v>
      </c>
      <c r="AT273" s="722">
        <v>0.371</v>
      </c>
      <c r="AU273" s="722">
        <v>0.13600000000000001</v>
      </c>
      <c r="AV273" s="722">
        <v>-1.62</v>
      </c>
      <c r="AW273" s="722">
        <v>-4.4379999999999997</v>
      </c>
      <c r="AX273" s="927">
        <v>-0.67700000000000005</v>
      </c>
      <c r="AY273" s="738"/>
      <c r="AZ273" s="738"/>
      <c r="BA273" s="738"/>
      <c r="BB273" s="738"/>
      <c r="BC273" s="738"/>
      <c r="BD273" s="631"/>
    </row>
    <row r="274" spans="1:56" s="39" customFormat="1" hidden="1" outlineLevel="1" x14ac:dyDescent="0.25">
      <c r="A274" s="75" t="s">
        <v>437</v>
      </c>
      <c r="B274" s="171"/>
      <c r="C274" s="723"/>
      <c r="D274" s="723"/>
      <c r="E274" s="723"/>
      <c r="F274" s="723"/>
      <c r="G274" s="723"/>
      <c r="H274" s="723"/>
      <c r="I274" s="723"/>
      <c r="J274" s="723"/>
      <c r="K274" s="723"/>
      <c r="L274" s="723"/>
      <c r="M274" s="723"/>
      <c r="N274" s="723"/>
      <c r="O274" s="723"/>
      <c r="P274" s="723"/>
      <c r="Q274" s="723"/>
      <c r="R274" s="723"/>
      <c r="S274" s="723"/>
      <c r="T274" s="723"/>
      <c r="U274" s="723"/>
      <c r="V274" s="723"/>
      <c r="W274" s="723"/>
      <c r="X274" s="723"/>
      <c r="Y274" s="723"/>
      <c r="Z274" s="723"/>
      <c r="AA274" s="723"/>
      <c r="AB274" s="723"/>
      <c r="AC274" s="723"/>
      <c r="AD274" s="725">
        <f t="shared" si="223"/>
        <v>-12.125999999999999</v>
      </c>
      <c r="AE274" s="723">
        <v>-1.0640000000000001</v>
      </c>
      <c r="AF274" s="727"/>
      <c r="AG274" s="737"/>
      <c r="AH274" s="730">
        <f t="shared" si="224"/>
        <v>0</v>
      </c>
      <c r="AI274" s="737"/>
      <c r="AJ274" s="737"/>
      <c r="AK274" s="737"/>
      <c r="AL274" s="730">
        <f t="shared" si="225"/>
        <v>0</v>
      </c>
      <c r="AM274" s="730"/>
      <c r="AN274" s="722"/>
      <c r="AO274" s="722"/>
      <c r="AP274" s="722"/>
      <c r="AQ274" s="722"/>
      <c r="AR274" s="722"/>
      <c r="AS274" s="722"/>
      <c r="AT274" s="722"/>
      <c r="AU274" s="722"/>
      <c r="AV274" s="722"/>
      <c r="AW274" s="722"/>
      <c r="AX274" s="927">
        <v>-12.125999999999999</v>
      </c>
      <c r="AY274" s="738"/>
      <c r="AZ274" s="738"/>
      <c r="BA274" s="738"/>
      <c r="BB274" s="738"/>
      <c r="BC274" s="738"/>
      <c r="BD274" s="631"/>
    </row>
    <row r="275" spans="1:56" s="39" customFormat="1" hidden="1" outlineLevel="1" x14ac:dyDescent="0.25">
      <c r="A275" s="75" t="s">
        <v>79</v>
      </c>
      <c r="B275" s="171"/>
      <c r="C275" s="723">
        <v>1.958</v>
      </c>
      <c r="D275" s="723">
        <v>3.95</v>
      </c>
      <c r="E275" s="723">
        <v>6.2549999999999999</v>
      </c>
      <c r="F275" s="723">
        <f>AR275</f>
        <v>8.6170000000000009</v>
      </c>
      <c r="G275" s="723">
        <v>2.4079999999999999</v>
      </c>
      <c r="H275" s="723">
        <v>4.9509999999999996</v>
      </c>
      <c r="I275" s="723">
        <v>7.4770000000000003</v>
      </c>
      <c r="J275" s="723">
        <f>AS275</f>
        <v>9.7579999999999991</v>
      </c>
      <c r="K275" s="723">
        <v>2.0680000000000001</v>
      </c>
      <c r="L275" s="723">
        <v>4.0519999999999996</v>
      </c>
      <c r="M275" s="723">
        <v>6.0140000000000002</v>
      </c>
      <c r="N275" s="723">
        <f>AT275</f>
        <v>7.8650000000000002</v>
      </c>
      <c r="O275" s="723">
        <v>1.7649999999999999</v>
      </c>
      <c r="P275" s="723">
        <v>3.4750000000000001</v>
      </c>
      <c r="Q275" s="723">
        <v>4.9690000000000003</v>
      </c>
      <c r="R275" s="723">
        <f>AU275</f>
        <v>6.4619999999999997</v>
      </c>
      <c r="S275" s="723">
        <v>1.4430000000000001</v>
      </c>
      <c r="T275" s="723">
        <v>3.206</v>
      </c>
      <c r="U275" s="723">
        <v>5.1529999999999996</v>
      </c>
      <c r="V275" s="723">
        <f>AV275</f>
        <v>6.9740000000000002</v>
      </c>
      <c r="W275" s="723">
        <v>1.8420000000000001</v>
      </c>
      <c r="X275" s="723">
        <v>3.7610000000000001</v>
      </c>
      <c r="Y275" s="723">
        <v>5.67</v>
      </c>
      <c r="Z275" s="723">
        <f>AW275</f>
        <v>7.9210000000000003</v>
      </c>
      <c r="AA275" s="723">
        <v>2.3410000000000002</v>
      </c>
      <c r="AB275" s="723">
        <v>4.657</v>
      </c>
      <c r="AC275" s="723">
        <v>6.992</v>
      </c>
      <c r="AD275" s="725">
        <f t="shared" si="223"/>
        <v>9.4819999999999993</v>
      </c>
      <c r="AE275" s="723">
        <v>2.177</v>
      </c>
      <c r="AF275" s="727"/>
      <c r="AG275" s="737"/>
      <c r="AH275" s="730">
        <f t="shared" si="224"/>
        <v>0</v>
      </c>
      <c r="AI275" s="737"/>
      <c r="AJ275" s="737"/>
      <c r="AK275" s="737"/>
      <c r="AL275" s="730">
        <f t="shared" si="225"/>
        <v>0</v>
      </c>
      <c r="AM275" s="730"/>
      <c r="AN275" s="722">
        <v>3.38</v>
      </c>
      <c r="AO275" s="722">
        <v>4.2300000000000004</v>
      </c>
      <c r="AP275" s="722">
        <v>6.1870000000000003</v>
      </c>
      <c r="AQ275" s="722">
        <v>7.9710000000000001</v>
      </c>
      <c r="AR275" s="722">
        <v>8.6170000000000009</v>
      </c>
      <c r="AS275" s="722">
        <v>9.7579999999999991</v>
      </c>
      <c r="AT275" s="722">
        <v>7.8650000000000002</v>
      </c>
      <c r="AU275" s="722">
        <v>6.4619999999999997</v>
      </c>
      <c r="AV275" s="722">
        <v>6.9740000000000002</v>
      </c>
      <c r="AW275" s="722">
        <v>7.9210000000000003</v>
      </c>
      <c r="AX275" s="927">
        <v>9.4819999999999993</v>
      </c>
      <c r="AY275" s="738"/>
      <c r="AZ275" s="738"/>
      <c r="BA275" s="738"/>
      <c r="BB275" s="738"/>
      <c r="BC275" s="738"/>
      <c r="BD275" s="631"/>
    </row>
    <row r="276" spans="1:56" s="39" customFormat="1" hidden="1" outlineLevel="1" x14ac:dyDescent="0.25">
      <c r="A276" s="75" t="s">
        <v>155</v>
      </c>
      <c r="B276" s="171"/>
      <c r="C276" s="723">
        <v>0.95299999999999996</v>
      </c>
      <c r="D276" s="723">
        <v>1.909</v>
      </c>
      <c r="E276" s="723">
        <v>2.867</v>
      </c>
      <c r="F276" s="723">
        <f>AR276</f>
        <v>3.673</v>
      </c>
      <c r="G276" s="723">
        <v>1.1120000000000001</v>
      </c>
      <c r="H276" s="723">
        <v>2.3159999999999998</v>
      </c>
      <c r="I276" s="723">
        <v>3.51</v>
      </c>
      <c r="J276" s="723">
        <f>AS276</f>
        <v>4.8230000000000004</v>
      </c>
      <c r="K276" s="723">
        <v>1.3380000000000001</v>
      </c>
      <c r="L276" s="723">
        <v>2.92</v>
      </c>
      <c r="M276" s="723">
        <v>4.4729999999999999</v>
      </c>
      <c r="N276" s="723">
        <f>AT276</f>
        <v>6.0590000000000002</v>
      </c>
      <c r="O276" s="723">
        <v>1.496</v>
      </c>
      <c r="P276" s="723">
        <v>2.8879999999999999</v>
      </c>
      <c r="Q276" s="723">
        <v>4.4560000000000004</v>
      </c>
      <c r="R276" s="723">
        <f>AU276</f>
        <v>6.0149999999999997</v>
      </c>
      <c r="S276" s="723">
        <v>1.458</v>
      </c>
      <c r="T276" s="723">
        <v>3.1920000000000002</v>
      </c>
      <c r="U276" s="723">
        <v>4.8760000000000003</v>
      </c>
      <c r="V276" s="723">
        <f>AV276</f>
        <v>6.3140000000000001</v>
      </c>
      <c r="W276" s="723">
        <v>1.409</v>
      </c>
      <c r="X276" s="723">
        <v>2.5339999999999998</v>
      </c>
      <c r="Y276" s="723">
        <v>3.5009999999999999</v>
      </c>
      <c r="Z276" s="723">
        <f>AW276</f>
        <v>4.3099999999999996</v>
      </c>
      <c r="AA276" s="723">
        <v>1.089</v>
      </c>
      <c r="AB276" s="723">
        <v>2.419</v>
      </c>
      <c r="AC276" s="723">
        <v>3.9390000000000001</v>
      </c>
      <c r="AD276" s="725">
        <f t="shared" si="223"/>
        <v>5.5949999999999998</v>
      </c>
      <c r="AE276" s="723">
        <v>1.256</v>
      </c>
      <c r="AF276" s="727"/>
      <c r="AG276" s="737"/>
      <c r="AH276" s="730">
        <f t="shared" si="224"/>
        <v>0</v>
      </c>
      <c r="AI276" s="737"/>
      <c r="AJ276" s="737"/>
      <c r="AK276" s="737"/>
      <c r="AL276" s="730">
        <f t="shared" si="225"/>
        <v>0</v>
      </c>
      <c r="AM276" s="730"/>
      <c r="AN276" s="722">
        <v>1.6379999999999999</v>
      </c>
      <c r="AO276" s="722">
        <v>2.012</v>
      </c>
      <c r="AP276" s="722">
        <v>3.1</v>
      </c>
      <c r="AQ276" s="722">
        <v>3.6150000000000002</v>
      </c>
      <c r="AR276" s="722">
        <v>3.673</v>
      </c>
      <c r="AS276" s="722">
        <v>4.8230000000000004</v>
      </c>
      <c r="AT276" s="722">
        <v>6.0590000000000002</v>
      </c>
      <c r="AU276" s="722">
        <v>6.0149999999999997</v>
      </c>
      <c r="AV276" s="722">
        <v>6.3140000000000001</v>
      </c>
      <c r="AW276" s="722">
        <v>4.3099999999999996</v>
      </c>
      <c r="AX276" s="927">
        <v>5.5949999999999998</v>
      </c>
      <c r="AY276" s="738"/>
      <c r="AZ276" s="738"/>
      <c r="BA276" s="738"/>
      <c r="BB276" s="738"/>
      <c r="BC276" s="738"/>
      <c r="BD276" s="631"/>
    </row>
    <row r="277" spans="1:56" s="39" customFormat="1" hidden="1" outlineLevel="1" x14ac:dyDescent="0.25">
      <c r="A277" s="75" t="s">
        <v>156</v>
      </c>
      <c r="B277" s="171"/>
      <c r="C277" s="723">
        <v>-0.27400000000000002</v>
      </c>
      <c r="D277" s="723">
        <v>-0.27300000000000002</v>
      </c>
      <c r="E277" s="723">
        <v>-0.216</v>
      </c>
      <c r="F277" s="723">
        <f>AR277</f>
        <v>-0.28499999999999998</v>
      </c>
      <c r="G277" s="723"/>
      <c r="H277" s="723"/>
      <c r="I277" s="723">
        <v>0.36599999999999999</v>
      </c>
      <c r="J277" s="723">
        <f>AS277</f>
        <v>-0.113</v>
      </c>
      <c r="K277" s="723"/>
      <c r="L277" s="723"/>
      <c r="M277" s="723">
        <v>0</v>
      </c>
      <c r="N277" s="723">
        <f>AT277</f>
        <v>-1.0960000000000001</v>
      </c>
      <c r="O277" s="723"/>
      <c r="P277" s="723">
        <v>0</v>
      </c>
      <c r="Q277" s="723">
        <v>-1.5960000000000001</v>
      </c>
      <c r="R277" s="723">
        <f>AU277</f>
        <v>-1.7609999999999999</v>
      </c>
      <c r="S277" s="723">
        <v>0.11799999999999999</v>
      </c>
      <c r="T277" s="723">
        <v>-0.433</v>
      </c>
      <c r="U277" s="723">
        <v>-0.42099999999999999</v>
      </c>
      <c r="V277" s="723">
        <f>AV277</f>
        <v>-0.313</v>
      </c>
      <c r="W277" s="723">
        <v>-0.108</v>
      </c>
      <c r="X277" s="723">
        <v>-0.16900000000000001</v>
      </c>
      <c r="Y277" s="723">
        <v>-0.61</v>
      </c>
      <c r="Z277" s="723">
        <f>AW277</f>
        <v>0.876</v>
      </c>
      <c r="AA277" s="723">
        <v>-0.10199999999999999</v>
      </c>
      <c r="AB277" s="723">
        <v>-0.55600000000000005</v>
      </c>
      <c r="AC277" s="723">
        <v>-0.25800000000000001</v>
      </c>
      <c r="AD277" s="725">
        <f t="shared" si="223"/>
        <v>-1.0860000000000001</v>
      </c>
      <c r="AE277" s="723">
        <v>-0.41399999999999998</v>
      </c>
      <c r="AF277" s="727"/>
      <c r="AG277" s="737"/>
      <c r="AH277" s="730">
        <f t="shared" si="224"/>
        <v>0</v>
      </c>
      <c r="AI277" s="737"/>
      <c r="AJ277" s="737"/>
      <c r="AK277" s="737"/>
      <c r="AL277" s="730">
        <f t="shared" si="225"/>
        <v>0</v>
      </c>
      <c r="AM277" s="730"/>
      <c r="AN277" s="722">
        <v>1.8620000000000001</v>
      </c>
      <c r="AO277" s="722">
        <v>1.0640000000000001</v>
      </c>
      <c r="AP277" s="722">
        <v>0.14699999999999999</v>
      </c>
      <c r="AQ277" s="722">
        <v>0.71599999999999997</v>
      </c>
      <c r="AR277" s="722">
        <v>-0.28499999999999998</v>
      </c>
      <c r="AS277" s="722">
        <v>-0.113</v>
      </c>
      <c r="AT277" s="722">
        <v>-1.0960000000000001</v>
      </c>
      <c r="AU277" s="722">
        <v>-1.7609999999999999</v>
      </c>
      <c r="AV277" s="722">
        <v>-0.313</v>
      </c>
      <c r="AW277" s="722">
        <v>0.876</v>
      </c>
      <c r="AX277" s="927">
        <v>-1.0860000000000001</v>
      </c>
      <c r="AY277" s="738"/>
      <c r="AZ277" s="738"/>
      <c r="BA277" s="738"/>
      <c r="BB277" s="738"/>
      <c r="BC277" s="738"/>
      <c r="BD277" s="631"/>
    </row>
    <row r="278" spans="1:56" s="38" customFormat="1" hidden="1" outlineLevel="1" x14ac:dyDescent="0.25">
      <c r="A278" s="40" t="s">
        <v>157</v>
      </c>
      <c r="B278" s="117"/>
      <c r="C278" s="745">
        <f t="shared" ref="C278:AL278" si="226">SUM(C269:C277)</f>
        <v>7.3150000000000004</v>
      </c>
      <c r="D278" s="745">
        <f t="shared" si="226"/>
        <v>15.466000000000003</v>
      </c>
      <c r="E278" s="745">
        <f t="shared" si="226"/>
        <v>24.794</v>
      </c>
      <c r="F278" s="745">
        <f t="shared" si="226"/>
        <v>34.085000000000008</v>
      </c>
      <c r="G278" s="745">
        <f t="shared" si="226"/>
        <v>7.4600000000000009</v>
      </c>
      <c r="H278" s="745">
        <f t="shared" si="226"/>
        <v>18.838999999999999</v>
      </c>
      <c r="I278" s="745">
        <f t="shared" si="226"/>
        <v>29.514000000000003</v>
      </c>
      <c r="J278" s="745">
        <f t="shared" si="226"/>
        <v>40.173999999999999</v>
      </c>
      <c r="K278" s="745">
        <f t="shared" si="226"/>
        <v>7.7160000000000002</v>
      </c>
      <c r="L278" s="745">
        <f t="shared" si="226"/>
        <v>16.051000000000002</v>
      </c>
      <c r="M278" s="745">
        <f t="shared" si="226"/>
        <v>23.338000000000001</v>
      </c>
      <c r="N278" s="745">
        <f t="shared" si="226"/>
        <v>31.987999999999996</v>
      </c>
      <c r="O278" s="745">
        <f t="shared" si="226"/>
        <v>7.2199999999999989</v>
      </c>
      <c r="P278" s="745">
        <f t="shared" si="226"/>
        <v>15.146999999999998</v>
      </c>
      <c r="Q278" s="745">
        <f t="shared" si="226"/>
        <v>21.417999999999999</v>
      </c>
      <c r="R278" s="745">
        <f t="shared" si="226"/>
        <v>31.099</v>
      </c>
      <c r="S278" s="745">
        <f t="shared" si="226"/>
        <v>6.9080000000000013</v>
      </c>
      <c r="T278" s="745">
        <f t="shared" si="226"/>
        <v>15.812999999999999</v>
      </c>
      <c r="U278" s="745">
        <f t="shared" si="226"/>
        <v>22.469000000000001</v>
      </c>
      <c r="V278" s="745">
        <f t="shared" si="226"/>
        <v>24.246000000000002</v>
      </c>
      <c r="W278" s="745">
        <f t="shared" si="226"/>
        <v>3.2230000000000003</v>
      </c>
      <c r="X278" s="745">
        <f t="shared" si="226"/>
        <v>8.8870000000000005</v>
      </c>
      <c r="Y278" s="745">
        <f t="shared" si="226"/>
        <v>14.040000000000001</v>
      </c>
      <c r="Z278" s="745">
        <f t="shared" si="226"/>
        <v>18.505000000000003</v>
      </c>
      <c r="AA278" s="747">
        <f t="shared" si="226"/>
        <v>3.6120000000000001</v>
      </c>
      <c r="AB278" s="745">
        <f t="shared" si="226"/>
        <v>9.3960000000000008</v>
      </c>
      <c r="AC278" s="747">
        <f t="shared" si="226"/>
        <v>15.690000000000001</v>
      </c>
      <c r="AD278" s="747">
        <f t="shared" si="226"/>
        <v>16.377000000000002</v>
      </c>
      <c r="AE278" s="747">
        <f t="shared" si="226"/>
        <v>0.66100000000000003</v>
      </c>
      <c r="AF278" s="772">
        <f t="shared" si="226"/>
        <v>0</v>
      </c>
      <c r="AG278" s="747">
        <f t="shared" si="226"/>
        <v>0</v>
      </c>
      <c r="AH278" s="747">
        <f t="shared" si="226"/>
        <v>0</v>
      </c>
      <c r="AI278" s="747">
        <f t="shared" si="226"/>
        <v>0</v>
      </c>
      <c r="AJ278" s="747">
        <f t="shared" si="226"/>
        <v>0</v>
      </c>
      <c r="AK278" s="747">
        <f t="shared" si="226"/>
        <v>0</v>
      </c>
      <c r="AL278" s="747">
        <f t="shared" si="226"/>
        <v>0</v>
      </c>
      <c r="AM278" s="747"/>
      <c r="AN278" s="744">
        <f t="shared" ref="AN278:BC278" si="227">SUM(AN269:AN277)</f>
        <v>15.853000000000002</v>
      </c>
      <c r="AO278" s="744">
        <f t="shared" si="227"/>
        <v>18.724999999999998</v>
      </c>
      <c r="AP278" s="744">
        <f t="shared" si="227"/>
        <v>24.844999999999999</v>
      </c>
      <c r="AQ278" s="744">
        <f t="shared" si="227"/>
        <v>34.177</v>
      </c>
      <c r="AR278" s="744">
        <f t="shared" si="227"/>
        <v>34.085000000000008</v>
      </c>
      <c r="AS278" s="744">
        <f t="shared" si="227"/>
        <v>40.173999999999999</v>
      </c>
      <c r="AT278" s="744">
        <f t="shared" si="227"/>
        <v>31.987999999999996</v>
      </c>
      <c r="AU278" s="744">
        <f t="shared" si="227"/>
        <v>31.099</v>
      </c>
      <c r="AV278" s="744">
        <f t="shared" si="227"/>
        <v>24.246000000000002</v>
      </c>
      <c r="AW278" s="744">
        <f t="shared" si="227"/>
        <v>18.505000000000003</v>
      </c>
      <c r="AX278" s="960">
        <f t="shared" si="227"/>
        <v>16.377000000000002</v>
      </c>
      <c r="AY278" s="748">
        <f t="shared" si="227"/>
        <v>0</v>
      </c>
      <c r="AZ278" s="748">
        <f t="shared" si="227"/>
        <v>0</v>
      </c>
      <c r="BA278" s="748">
        <f t="shared" si="227"/>
        <v>0</v>
      </c>
      <c r="BB278" s="748">
        <f t="shared" si="227"/>
        <v>0</v>
      </c>
      <c r="BC278" s="748">
        <f t="shared" si="227"/>
        <v>0</v>
      </c>
      <c r="BD278" s="632"/>
    </row>
    <row r="279" spans="1:56" s="39" customFormat="1" hidden="1" outlineLevel="1" x14ac:dyDescent="0.25">
      <c r="A279" s="75" t="s">
        <v>158</v>
      </c>
      <c r="B279" s="171"/>
      <c r="C279" s="723">
        <v>12.507999999999999</v>
      </c>
      <c r="D279" s="723">
        <v>5.7859999999999996</v>
      </c>
      <c r="E279" s="723">
        <v>0.91700000000000004</v>
      </c>
      <c r="F279" s="723">
        <f>AR279</f>
        <v>-9.1579999999999995</v>
      </c>
      <c r="G279" s="723">
        <v>-0.54200000000000004</v>
      </c>
      <c r="H279" s="723">
        <v>-16.059000000000001</v>
      </c>
      <c r="I279" s="723">
        <v>6.1639999999999997</v>
      </c>
      <c r="J279" s="723">
        <f>AS279</f>
        <v>-6.024</v>
      </c>
      <c r="K279" s="723">
        <v>11.43</v>
      </c>
      <c r="L279" s="723">
        <v>2.504</v>
      </c>
      <c r="M279" s="723">
        <v>-1.4179999999999999</v>
      </c>
      <c r="N279" s="723">
        <f>AT279</f>
        <v>6.4969999999999999</v>
      </c>
      <c r="O279" s="723">
        <v>4.6440000000000001</v>
      </c>
      <c r="P279" s="723">
        <v>0.80500000000000005</v>
      </c>
      <c r="Q279" s="723">
        <v>-1.054</v>
      </c>
      <c r="R279" s="723">
        <f>AU279</f>
        <v>-17.965</v>
      </c>
      <c r="S279" s="723">
        <v>5.7530000000000001</v>
      </c>
      <c r="T279" s="723">
        <v>7.4349999999999996</v>
      </c>
      <c r="U279" s="723">
        <v>11.805</v>
      </c>
      <c r="V279" s="723">
        <f t="shared" ref="V279:V287" si="228">AV279</f>
        <v>-10.977</v>
      </c>
      <c r="W279" s="723">
        <v>12.817</v>
      </c>
      <c r="X279" s="723">
        <v>10.568</v>
      </c>
      <c r="Y279" s="723">
        <v>-4.6440000000000001</v>
      </c>
      <c r="Z279" s="723">
        <f t="shared" ref="Z279:Z287" si="229">AW279</f>
        <v>23.091999999999999</v>
      </c>
      <c r="AA279" s="723">
        <v>6.1040000000000001</v>
      </c>
      <c r="AB279" s="723">
        <v>-10.528</v>
      </c>
      <c r="AC279" s="723">
        <v>-10.997</v>
      </c>
      <c r="AD279" s="725">
        <f t="shared" ref="AD279:AD287" si="230">AX279</f>
        <v>-23.803000000000001</v>
      </c>
      <c r="AE279" s="723">
        <v>25.29</v>
      </c>
      <c r="AF279" s="727"/>
      <c r="AG279" s="737"/>
      <c r="AH279" s="730">
        <f t="shared" ref="AH279:AH287" si="231">AY279</f>
        <v>0</v>
      </c>
      <c r="AI279" s="737"/>
      <c r="AJ279" s="737"/>
      <c r="AK279" s="737"/>
      <c r="AL279" s="730">
        <f t="shared" ref="AL279:AL287" si="232">AZ279</f>
        <v>0</v>
      </c>
      <c r="AM279" s="730"/>
      <c r="AN279" s="722">
        <v>2.3290000000000002</v>
      </c>
      <c r="AO279" s="722">
        <v>-1.2999999999999999E-2</v>
      </c>
      <c r="AP279" s="722">
        <v>-4.9550000000000001</v>
      </c>
      <c r="AQ279" s="722">
        <v>-11.262</v>
      </c>
      <c r="AR279" s="722">
        <v>-9.1579999999999995</v>
      </c>
      <c r="AS279" s="722">
        <v>-6.024</v>
      </c>
      <c r="AT279" s="722">
        <v>6.4969999999999999</v>
      </c>
      <c r="AU279" s="722">
        <v>-17.965</v>
      </c>
      <c r="AV279" s="722">
        <v>-10.977</v>
      </c>
      <c r="AW279" s="722">
        <v>23.091999999999999</v>
      </c>
      <c r="AX279" s="927">
        <v>-23.803000000000001</v>
      </c>
      <c r="AY279" s="738"/>
      <c r="AZ279" s="738"/>
      <c r="BA279" s="738"/>
      <c r="BB279" s="738"/>
      <c r="BC279" s="738"/>
      <c r="BD279" s="631"/>
    </row>
    <row r="280" spans="1:56" s="39" customFormat="1" hidden="1" outlineLevel="1" x14ac:dyDescent="0.25">
      <c r="A280" s="75" t="s">
        <v>159</v>
      </c>
      <c r="B280" s="171"/>
      <c r="C280" s="723"/>
      <c r="D280" s="723"/>
      <c r="E280" s="723"/>
      <c r="F280" s="723"/>
      <c r="G280" s="723"/>
      <c r="H280" s="723"/>
      <c r="I280" s="723"/>
      <c r="J280" s="723"/>
      <c r="K280" s="723"/>
      <c r="L280" s="723"/>
      <c r="M280" s="723"/>
      <c r="N280" s="723"/>
      <c r="O280" s="723"/>
      <c r="P280" s="723">
        <v>0</v>
      </c>
      <c r="Q280" s="723"/>
      <c r="R280" s="723"/>
      <c r="S280" s="723"/>
      <c r="T280" s="723"/>
      <c r="U280" s="723"/>
      <c r="V280" s="723">
        <f t="shared" si="228"/>
        <v>0</v>
      </c>
      <c r="W280" s="723"/>
      <c r="X280" s="723"/>
      <c r="Y280" s="723"/>
      <c r="Z280" s="723">
        <f t="shared" si="229"/>
        <v>0</v>
      </c>
      <c r="AA280" s="723"/>
      <c r="AB280" s="723"/>
      <c r="AC280" s="723"/>
      <c r="AD280" s="725">
        <f t="shared" si="230"/>
        <v>0</v>
      </c>
      <c r="AE280" s="723"/>
      <c r="AF280" s="727"/>
      <c r="AG280" s="737"/>
      <c r="AH280" s="730">
        <f t="shared" si="231"/>
        <v>0</v>
      </c>
      <c r="AI280" s="737"/>
      <c r="AJ280" s="737"/>
      <c r="AK280" s="737"/>
      <c r="AL280" s="730">
        <f t="shared" si="232"/>
        <v>0</v>
      </c>
      <c r="AM280" s="730"/>
      <c r="AN280" s="722">
        <v>-0.02</v>
      </c>
      <c r="AO280" s="722"/>
      <c r="AP280" s="722"/>
      <c r="AQ280" s="722"/>
      <c r="AR280" s="722"/>
      <c r="AS280" s="722"/>
      <c r="AT280" s="722"/>
      <c r="AU280" s="722"/>
      <c r="AV280" s="722"/>
      <c r="AW280" s="722"/>
      <c r="AX280" s="927"/>
      <c r="AY280" s="738"/>
      <c r="AZ280" s="738"/>
      <c r="BA280" s="738"/>
      <c r="BB280" s="738"/>
      <c r="BC280" s="738"/>
      <c r="BD280" s="631"/>
    </row>
    <row r="281" spans="1:56" s="39" customFormat="1" hidden="1" outlineLevel="1" x14ac:dyDescent="0.25">
      <c r="A281" s="75" t="s">
        <v>160</v>
      </c>
      <c r="B281" s="171"/>
      <c r="C281" s="723">
        <v>-3.887</v>
      </c>
      <c r="D281" s="723">
        <v>-4.2009999999999996</v>
      </c>
      <c r="E281" s="723">
        <v>-9.2690000000000001</v>
      </c>
      <c r="F281" s="723">
        <f t="shared" ref="F281:F287" si="233">AR281</f>
        <v>-4.9409999999999998</v>
      </c>
      <c r="G281" s="723">
        <v>-10.337999999999999</v>
      </c>
      <c r="H281" s="723">
        <v>-11.473000000000001</v>
      </c>
      <c r="I281" s="723">
        <v>-15.936999999999999</v>
      </c>
      <c r="J281" s="723">
        <f t="shared" ref="J281:J287" si="234">AS281</f>
        <v>-8.2910000000000004</v>
      </c>
      <c r="K281" s="723">
        <v>-6.7329999999999997</v>
      </c>
      <c r="L281" s="723">
        <v>-11.805999999999999</v>
      </c>
      <c r="M281" s="723">
        <v>-9.9139999999999997</v>
      </c>
      <c r="N281" s="723">
        <f t="shared" ref="N281:N287" si="235">AT281</f>
        <v>-16.942</v>
      </c>
      <c r="O281" s="723">
        <v>3.9140000000000001</v>
      </c>
      <c r="P281" s="723">
        <v>-0.55700000000000005</v>
      </c>
      <c r="Q281" s="723">
        <v>-8.6549999999999994</v>
      </c>
      <c r="R281" s="723">
        <f t="shared" ref="R281:R287" si="236">AU281</f>
        <v>4.234</v>
      </c>
      <c r="S281" s="723">
        <v>-7.57</v>
      </c>
      <c r="T281" s="723">
        <v>-5.1529999999999996</v>
      </c>
      <c r="U281" s="723">
        <v>-11.67</v>
      </c>
      <c r="V281" s="723">
        <f t="shared" si="228"/>
        <v>-1.893</v>
      </c>
      <c r="W281" s="723">
        <v>0.22700000000000001</v>
      </c>
      <c r="X281" s="723">
        <v>-2.7530000000000001</v>
      </c>
      <c r="Y281" s="723">
        <v>6.3440000000000003</v>
      </c>
      <c r="Z281" s="723">
        <f t="shared" si="229"/>
        <v>-36.868000000000002</v>
      </c>
      <c r="AA281" s="723">
        <v>-2.5529999999999999</v>
      </c>
      <c r="AB281" s="723">
        <v>8.266</v>
      </c>
      <c r="AC281" s="723">
        <v>19.295999999999999</v>
      </c>
      <c r="AD281" s="725">
        <f t="shared" si="230"/>
        <v>23.472999999999999</v>
      </c>
      <c r="AE281" s="723">
        <v>-5.2519999999999998</v>
      </c>
      <c r="AF281" s="727"/>
      <c r="AG281" s="737"/>
      <c r="AH281" s="730">
        <f t="shared" si="231"/>
        <v>0</v>
      </c>
      <c r="AI281" s="737"/>
      <c r="AJ281" s="737"/>
      <c r="AK281" s="737"/>
      <c r="AL281" s="730">
        <f t="shared" si="232"/>
        <v>0</v>
      </c>
      <c r="AM281" s="730"/>
      <c r="AN281" s="722">
        <v>-1.163</v>
      </c>
      <c r="AO281" s="722">
        <v>-1.7709999999999999</v>
      </c>
      <c r="AP281" s="722">
        <v>-0.70099999999999996</v>
      </c>
      <c r="AQ281" s="722">
        <v>-1.256</v>
      </c>
      <c r="AR281" s="722">
        <v>-4.9409999999999998</v>
      </c>
      <c r="AS281" s="722">
        <v>-8.2910000000000004</v>
      </c>
      <c r="AT281" s="722">
        <v>-16.942</v>
      </c>
      <c r="AU281" s="722">
        <v>4.234</v>
      </c>
      <c r="AV281" s="722">
        <v>-1.893</v>
      </c>
      <c r="AW281" s="722">
        <v>-36.868000000000002</v>
      </c>
      <c r="AX281" s="927">
        <v>23.472999999999999</v>
      </c>
      <c r="AY281" s="738"/>
      <c r="AZ281" s="738"/>
      <c r="BA281" s="738"/>
      <c r="BB281" s="738"/>
      <c r="BC281" s="738"/>
      <c r="BD281" s="631"/>
    </row>
    <row r="282" spans="1:56" s="39" customFormat="1" hidden="1" outlineLevel="1" x14ac:dyDescent="0.25">
      <c r="A282" s="75" t="s">
        <v>161</v>
      </c>
      <c r="B282" s="171"/>
      <c r="C282" s="723">
        <v>-0.13600000000000001</v>
      </c>
      <c r="D282" s="723">
        <v>-1.7669999999999999</v>
      </c>
      <c r="E282" s="723">
        <v>-2.5859999999999999</v>
      </c>
      <c r="F282" s="723">
        <f t="shared" si="233"/>
        <v>-2.8069999999999999</v>
      </c>
      <c r="G282" s="723">
        <v>-1.383</v>
      </c>
      <c r="H282" s="723">
        <v>0.34699999999999998</v>
      </c>
      <c r="I282" s="723">
        <v>-2.7250000000000001</v>
      </c>
      <c r="J282" s="723">
        <f t="shared" si="234"/>
        <v>-1.9670000000000001</v>
      </c>
      <c r="K282" s="723">
        <v>-3.8660000000000001</v>
      </c>
      <c r="L282" s="723">
        <v>-0.44700000000000001</v>
      </c>
      <c r="M282" s="723">
        <v>0.22</v>
      </c>
      <c r="N282" s="723">
        <f t="shared" si="235"/>
        <v>5.1109999999999998</v>
      </c>
      <c r="O282" s="723">
        <v>-2.641</v>
      </c>
      <c r="P282" s="723">
        <v>-1.484</v>
      </c>
      <c r="Q282" s="723">
        <v>-4.7930000000000001</v>
      </c>
      <c r="R282" s="723">
        <f t="shared" si="236"/>
        <v>-2.4900000000000002</v>
      </c>
      <c r="S282" s="723">
        <v>-0.33</v>
      </c>
      <c r="T282" s="723">
        <v>-1.8149999999999999</v>
      </c>
      <c r="U282" s="723">
        <v>-6.2320000000000002</v>
      </c>
      <c r="V282" s="723">
        <f t="shared" si="228"/>
        <v>-2.2970000000000002</v>
      </c>
      <c r="W282" s="723">
        <v>-6.024</v>
      </c>
      <c r="X282" s="723">
        <v>-1.7549999999999999</v>
      </c>
      <c r="Y282" s="723">
        <v>-5.1310000000000002</v>
      </c>
      <c r="Z282" s="723">
        <f t="shared" si="229"/>
        <v>0.70499999999999996</v>
      </c>
      <c r="AA282" s="723">
        <v>-5.6</v>
      </c>
      <c r="AB282" s="723">
        <v>-2.4489999999999998</v>
      </c>
      <c r="AC282" s="723">
        <v>-6.6280000000000001</v>
      </c>
      <c r="AD282" s="725">
        <f t="shared" si="230"/>
        <v>0.42099999999999999</v>
      </c>
      <c r="AE282" s="723">
        <v>-3.6019999999999999</v>
      </c>
      <c r="AF282" s="727"/>
      <c r="AG282" s="737"/>
      <c r="AH282" s="730">
        <f t="shared" si="231"/>
        <v>0</v>
      </c>
      <c r="AI282" s="737"/>
      <c r="AJ282" s="737"/>
      <c r="AK282" s="737"/>
      <c r="AL282" s="730">
        <f t="shared" si="232"/>
        <v>0</v>
      </c>
      <c r="AM282" s="730"/>
      <c r="AN282" s="722">
        <v>0.63700000000000001</v>
      </c>
      <c r="AO282" s="722">
        <v>1.754</v>
      </c>
      <c r="AP282" s="722">
        <v>-1.599</v>
      </c>
      <c r="AQ282" s="722">
        <v>-1.2270000000000001</v>
      </c>
      <c r="AR282" s="722">
        <v>-2.8069999999999999</v>
      </c>
      <c r="AS282" s="722">
        <v>-1.9670000000000001</v>
      </c>
      <c r="AT282" s="722">
        <v>5.1109999999999998</v>
      </c>
      <c r="AU282" s="722">
        <v>-2.4900000000000002</v>
      </c>
      <c r="AV282" s="722">
        <v>-2.2970000000000002</v>
      </c>
      <c r="AW282" s="722">
        <v>0.70499999999999996</v>
      </c>
      <c r="AX282" s="927">
        <v>0.42099999999999999</v>
      </c>
      <c r="AY282" s="738"/>
      <c r="AZ282" s="738"/>
      <c r="BA282" s="738"/>
      <c r="BB282" s="738"/>
      <c r="BC282" s="738"/>
      <c r="BD282" s="631"/>
    </row>
    <row r="283" spans="1:56" s="39" customFormat="1" hidden="1" outlineLevel="1" x14ac:dyDescent="0.25">
      <c r="A283" s="75" t="s">
        <v>162</v>
      </c>
      <c r="B283" s="171"/>
      <c r="C283" s="723">
        <v>-6.0419999999999998</v>
      </c>
      <c r="D283" s="723">
        <v>-3.5659999999999998</v>
      </c>
      <c r="E283" s="723">
        <v>-7.0999999999999994E-2</v>
      </c>
      <c r="F283" s="723">
        <f t="shared" si="233"/>
        <v>1.1739999999999999</v>
      </c>
      <c r="G283" s="723">
        <v>1.9379999999999999</v>
      </c>
      <c r="H283" s="723">
        <v>7.1760000000000002</v>
      </c>
      <c r="I283" s="723">
        <v>6.1289999999999996</v>
      </c>
      <c r="J283" s="723">
        <f t="shared" si="234"/>
        <v>8.7940000000000005</v>
      </c>
      <c r="K283" s="723">
        <v>-1.6739999999999999</v>
      </c>
      <c r="L283" s="723">
        <v>1.3720000000000001</v>
      </c>
      <c r="M283" s="723">
        <v>5.2750000000000004</v>
      </c>
      <c r="N283" s="723">
        <f t="shared" si="235"/>
        <v>3.8559999999999999</v>
      </c>
      <c r="O283" s="723">
        <v>-3.6539999999999999</v>
      </c>
      <c r="P283" s="723">
        <v>-0.43099999999999999</v>
      </c>
      <c r="Q283" s="723">
        <v>10.791</v>
      </c>
      <c r="R283" s="723">
        <f t="shared" si="236"/>
        <v>3.7320000000000002</v>
      </c>
      <c r="S283" s="723">
        <v>-2.4809999999999999</v>
      </c>
      <c r="T283" s="723">
        <v>4.7320000000000002</v>
      </c>
      <c r="U283" s="723">
        <v>8.1449999999999996</v>
      </c>
      <c r="V283" s="723">
        <f t="shared" si="228"/>
        <v>15.391999999999999</v>
      </c>
      <c r="W283" s="723">
        <v>1.643</v>
      </c>
      <c r="X283" s="723">
        <v>-1.7749999999999999</v>
      </c>
      <c r="Y283" s="723">
        <v>-5.5270000000000001</v>
      </c>
      <c r="Z283" s="723">
        <f t="shared" si="229"/>
        <v>8.11</v>
      </c>
      <c r="AA283" s="723">
        <v>0.498</v>
      </c>
      <c r="AB283" s="723">
        <v>-11.772</v>
      </c>
      <c r="AC283" s="723">
        <v>-12.188000000000001</v>
      </c>
      <c r="AD283" s="725">
        <f t="shared" si="230"/>
        <v>-4.859</v>
      </c>
      <c r="AE283" s="723">
        <v>-10.917</v>
      </c>
      <c r="AF283" s="727"/>
      <c r="AG283" s="737"/>
      <c r="AH283" s="730">
        <f t="shared" si="231"/>
        <v>0</v>
      </c>
      <c r="AI283" s="737"/>
      <c r="AJ283" s="737"/>
      <c r="AK283" s="737"/>
      <c r="AL283" s="730">
        <f t="shared" si="232"/>
        <v>0</v>
      </c>
      <c r="AM283" s="730"/>
      <c r="AN283" s="722">
        <v>-2.0760000000000001</v>
      </c>
      <c r="AO283" s="722">
        <v>5.1449999999999996</v>
      </c>
      <c r="AP283" s="722">
        <v>-0.216</v>
      </c>
      <c r="AQ283" s="722">
        <v>4.0030000000000001</v>
      </c>
      <c r="AR283" s="722">
        <v>1.1739999999999999</v>
      </c>
      <c r="AS283" s="722">
        <v>8.7940000000000005</v>
      </c>
      <c r="AT283" s="722">
        <v>3.8559999999999999</v>
      </c>
      <c r="AU283" s="722">
        <v>3.7320000000000002</v>
      </c>
      <c r="AV283" s="722">
        <v>15.391999999999999</v>
      </c>
      <c r="AW283" s="722">
        <v>8.11</v>
      </c>
      <c r="AX283" s="927">
        <v>-4.859</v>
      </c>
      <c r="AY283" s="738"/>
      <c r="AZ283" s="738"/>
      <c r="BA283" s="738"/>
      <c r="BB283" s="738"/>
      <c r="BC283" s="738"/>
      <c r="BD283" s="631"/>
    </row>
    <row r="284" spans="1:56" s="39" customFormat="1" hidden="1" outlineLevel="1" x14ac:dyDescent="0.25">
      <c r="A284" s="75" t="s">
        <v>227</v>
      </c>
      <c r="B284" s="171"/>
      <c r="C284" s="723">
        <v>-3.9140000000000001</v>
      </c>
      <c r="D284" s="723">
        <v>-5.28</v>
      </c>
      <c r="E284" s="723">
        <v>-2.11</v>
      </c>
      <c r="F284" s="723">
        <f t="shared" si="233"/>
        <v>-1.478</v>
      </c>
      <c r="G284" s="723">
        <v>4.3159999999999998</v>
      </c>
      <c r="H284" s="723">
        <v>0.23599999999999999</v>
      </c>
      <c r="I284" s="723">
        <v>-3.778</v>
      </c>
      <c r="J284" s="723">
        <f t="shared" si="234"/>
        <v>1.4159999999999999</v>
      </c>
      <c r="K284" s="723">
        <v>-3.286</v>
      </c>
      <c r="L284" s="723">
        <v>-3.6379999999999999</v>
      </c>
      <c r="M284" s="723">
        <v>-6.6950000000000003</v>
      </c>
      <c r="N284" s="723">
        <f t="shared" si="235"/>
        <v>-4.6630000000000003</v>
      </c>
      <c r="O284" s="723">
        <v>-0.376</v>
      </c>
      <c r="P284" s="723">
        <v>-2.242</v>
      </c>
      <c r="Q284" s="723">
        <v>-4.3609999999999998</v>
      </c>
      <c r="R284" s="723">
        <f t="shared" si="236"/>
        <v>0.38300000000000001</v>
      </c>
      <c r="S284" s="723">
        <v>2.0470000000000002</v>
      </c>
      <c r="T284" s="723">
        <v>-1.0920000000000001</v>
      </c>
      <c r="U284" s="723">
        <v>-3.2029999999999998</v>
      </c>
      <c r="V284" s="723">
        <f t="shared" si="228"/>
        <v>2.52</v>
      </c>
      <c r="W284" s="723">
        <v>-2.4849999999999999</v>
      </c>
      <c r="X284" s="723">
        <v>-7.0670000000000002</v>
      </c>
      <c r="Y284" s="723">
        <v>-2.2149999999999999</v>
      </c>
      <c r="Z284" s="723">
        <f t="shared" si="229"/>
        <v>-2.0939999999999999</v>
      </c>
      <c r="AA284" s="723">
        <v>-5.5890000000000004</v>
      </c>
      <c r="AB284" s="723">
        <v>0.14099999999999999</v>
      </c>
      <c r="AC284" s="723">
        <v>-1.84</v>
      </c>
      <c r="AD284" s="725">
        <f t="shared" si="230"/>
        <v>-0.32600000000000001</v>
      </c>
      <c r="AE284" s="723">
        <v>4.4290000000000003</v>
      </c>
      <c r="AF284" s="727"/>
      <c r="AG284" s="737"/>
      <c r="AH284" s="730">
        <f t="shared" si="231"/>
        <v>0</v>
      </c>
      <c r="AI284" s="737"/>
      <c r="AJ284" s="737"/>
      <c r="AK284" s="737"/>
      <c r="AL284" s="730">
        <f t="shared" si="232"/>
        <v>0</v>
      </c>
      <c r="AM284" s="730"/>
      <c r="AN284" s="722">
        <v>2.8149999999999999</v>
      </c>
      <c r="AO284" s="722">
        <v>2.0840000000000001</v>
      </c>
      <c r="AP284" s="722">
        <v>0.16800000000000001</v>
      </c>
      <c r="AQ284" s="722">
        <v>3.218</v>
      </c>
      <c r="AR284" s="722">
        <v>-1.478</v>
      </c>
      <c r="AS284" s="722">
        <v>1.4159999999999999</v>
      </c>
      <c r="AT284" s="722">
        <v>-4.6630000000000003</v>
      </c>
      <c r="AU284" s="722">
        <v>0.38300000000000001</v>
      </c>
      <c r="AV284" s="722">
        <v>2.52</v>
      </c>
      <c r="AW284" s="722">
        <v>-2.0939999999999999</v>
      </c>
      <c r="AX284" s="927">
        <v>-0.32600000000000001</v>
      </c>
      <c r="AY284" s="738"/>
      <c r="AZ284" s="738"/>
      <c r="BA284" s="738"/>
      <c r="BB284" s="738"/>
      <c r="BC284" s="738"/>
      <c r="BD284" s="631"/>
    </row>
    <row r="285" spans="1:56" s="39" customFormat="1" hidden="1" outlineLevel="1" x14ac:dyDescent="0.25">
      <c r="A285" s="75" t="s">
        <v>163</v>
      </c>
      <c r="B285" s="171"/>
      <c r="C285" s="723"/>
      <c r="D285" s="723"/>
      <c r="E285" s="723">
        <v>-0.249</v>
      </c>
      <c r="F285" s="723">
        <f t="shared" si="233"/>
        <v>-0.35899999999999999</v>
      </c>
      <c r="G285" s="723"/>
      <c r="H285" s="723"/>
      <c r="I285" s="723">
        <v>-1.5389999999999999</v>
      </c>
      <c r="J285" s="723">
        <f t="shared" si="234"/>
        <v>-2.5059999999999998</v>
      </c>
      <c r="K285" s="723"/>
      <c r="L285" s="723"/>
      <c r="M285" s="723">
        <v>-0.435</v>
      </c>
      <c r="N285" s="723">
        <f t="shared" si="235"/>
        <v>-0.83499999999999996</v>
      </c>
      <c r="O285" s="723"/>
      <c r="P285" s="723">
        <v>0</v>
      </c>
      <c r="Q285" s="723"/>
      <c r="R285" s="723">
        <f t="shared" si="236"/>
        <v>-0.13700000000000001</v>
      </c>
      <c r="S285" s="723"/>
      <c r="T285" s="723"/>
      <c r="U285" s="723"/>
      <c r="V285" s="723">
        <f t="shared" si="228"/>
        <v>0</v>
      </c>
      <c r="W285" s="723"/>
      <c r="X285" s="723"/>
      <c r="Y285" s="723"/>
      <c r="Z285" s="723">
        <f t="shared" si="229"/>
        <v>0</v>
      </c>
      <c r="AA285" s="723"/>
      <c r="AB285" s="723"/>
      <c r="AC285" s="723"/>
      <c r="AD285" s="725">
        <f t="shared" si="230"/>
        <v>0</v>
      </c>
      <c r="AE285" s="723"/>
      <c r="AF285" s="727"/>
      <c r="AG285" s="737"/>
      <c r="AH285" s="730">
        <f t="shared" si="231"/>
        <v>0</v>
      </c>
      <c r="AI285" s="737"/>
      <c r="AJ285" s="737"/>
      <c r="AK285" s="737"/>
      <c r="AL285" s="730">
        <f t="shared" si="232"/>
        <v>0</v>
      </c>
      <c r="AM285" s="730"/>
      <c r="AN285" s="722"/>
      <c r="AO285" s="722"/>
      <c r="AP285" s="722">
        <v>-0.13100000000000001</v>
      </c>
      <c r="AQ285" s="722">
        <v>-2.0339999999999998</v>
      </c>
      <c r="AR285" s="722">
        <v>-0.35899999999999999</v>
      </c>
      <c r="AS285" s="722">
        <v>-2.5059999999999998</v>
      </c>
      <c r="AT285" s="722">
        <v>-0.83499999999999996</v>
      </c>
      <c r="AU285" s="722">
        <v>-0.13700000000000001</v>
      </c>
      <c r="AV285" s="722"/>
      <c r="AW285" s="722"/>
      <c r="AX285" s="927"/>
      <c r="AY285" s="738"/>
      <c r="AZ285" s="738"/>
      <c r="BA285" s="738"/>
      <c r="BB285" s="738"/>
      <c r="BC285" s="738"/>
      <c r="BD285" s="631"/>
    </row>
    <row r="286" spans="1:56" s="39" customFormat="1" hidden="1" outlineLevel="1" x14ac:dyDescent="0.25">
      <c r="A286" s="75" t="s">
        <v>164</v>
      </c>
      <c r="B286" s="171"/>
      <c r="C286" s="723">
        <v>-0.373</v>
      </c>
      <c r="D286" s="723">
        <v>-0.373</v>
      </c>
      <c r="E286" s="723">
        <v>-0.70799999999999996</v>
      </c>
      <c r="F286" s="723">
        <f t="shared" si="233"/>
        <v>-0.70799999999999996</v>
      </c>
      <c r="G286" s="723">
        <v>-0.66700000000000004</v>
      </c>
      <c r="H286" s="723">
        <v>-1.0429999999999999</v>
      </c>
      <c r="I286" s="723">
        <v>-1.0429999999999999</v>
      </c>
      <c r="J286" s="723">
        <f t="shared" si="234"/>
        <v>-1.0429999999999999</v>
      </c>
      <c r="K286" s="723"/>
      <c r="L286" s="723">
        <v>-0.32500000000000001</v>
      </c>
      <c r="M286" s="723">
        <v>-0.32500000000000001</v>
      </c>
      <c r="N286" s="723">
        <f t="shared" si="235"/>
        <v>-0.32500000000000001</v>
      </c>
      <c r="O286" s="723"/>
      <c r="P286" s="723">
        <v>-0.54</v>
      </c>
      <c r="Q286" s="723">
        <v>-0.54</v>
      </c>
      <c r="R286" s="723">
        <f t="shared" si="236"/>
        <v>-0.53900000000000003</v>
      </c>
      <c r="S286" s="723"/>
      <c r="T286" s="723"/>
      <c r="U286" s="723"/>
      <c r="V286" s="723">
        <f t="shared" si="228"/>
        <v>-0.40799999999999997</v>
      </c>
      <c r="W286" s="723"/>
      <c r="X286" s="723"/>
      <c r="Y286" s="723"/>
      <c r="Z286" s="723">
        <f t="shared" si="229"/>
        <v>0</v>
      </c>
      <c r="AA286" s="723"/>
      <c r="AB286" s="723"/>
      <c r="AC286" s="723"/>
      <c r="AD286" s="725">
        <f t="shared" si="230"/>
        <v>0</v>
      </c>
      <c r="AE286" s="723"/>
      <c r="AF286" s="727"/>
      <c r="AG286" s="737"/>
      <c r="AH286" s="730">
        <f t="shared" si="231"/>
        <v>0</v>
      </c>
      <c r="AI286" s="737"/>
      <c r="AJ286" s="737"/>
      <c r="AK286" s="737"/>
      <c r="AL286" s="730">
        <f t="shared" si="232"/>
        <v>0</v>
      </c>
      <c r="AM286" s="730"/>
      <c r="AN286" s="722"/>
      <c r="AO286" s="722">
        <v>0</v>
      </c>
      <c r="AP286" s="722">
        <v>-0.72099999999999997</v>
      </c>
      <c r="AQ286" s="722">
        <v>-0.60199999999999998</v>
      </c>
      <c r="AR286" s="722">
        <v>-0.70799999999999996</v>
      </c>
      <c r="AS286" s="722">
        <v>-1.0429999999999999</v>
      </c>
      <c r="AT286" s="722">
        <v>-0.32500000000000001</v>
      </c>
      <c r="AU286" s="722">
        <v>-0.53900000000000003</v>
      </c>
      <c r="AV286" s="722">
        <v>-0.40799999999999997</v>
      </c>
      <c r="AW286" s="722"/>
      <c r="AX286" s="927"/>
      <c r="AY286" s="738"/>
      <c r="AZ286" s="738"/>
      <c r="BA286" s="738"/>
      <c r="BB286" s="738"/>
      <c r="BC286" s="738"/>
      <c r="BD286" s="631"/>
    </row>
    <row r="287" spans="1:56" s="39" customFormat="1" hidden="1" outlineLevel="1" x14ac:dyDescent="0.25">
      <c r="A287" s="75" t="s">
        <v>165</v>
      </c>
      <c r="B287" s="171"/>
      <c r="C287" s="723">
        <v>-0.155</v>
      </c>
      <c r="D287" s="723">
        <v>-0.58599999999999997</v>
      </c>
      <c r="E287" s="723">
        <v>-0.46899999999999997</v>
      </c>
      <c r="F287" s="723">
        <f t="shared" si="233"/>
        <v>0.44500000000000001</v>
      </c>
      <c r="G287" s="723">
        <v>-6.3E-2</v>
      </c>
      <c r="H287" s="723">
        <v>0.06</v>
      </c>
      <c r="I287" s="723">
        <v>-0.121</v>
      </c>
      <c r="J287" s="723">
        <f t="shared" si="234"/>
        <v>0.44500000000000001</v>
      </c>
      <c r="K287" s="723">
        <v>-0.39</v>
      </c>
      <c r="L287" s="723">
        <v>-0.58599999999999997</v>
      </c>
      <c r="M287" s="723">
        <v>-0.51800000000000002</v>
      </c>
      <c r="N287" s="723">
        <f t="shared" si="235"/>
        <v>0.86699999999999999</v>
      </c>
      <c r="O287" s="723">
        <v>-0.54400000000000004</v>
      </c>
      <c r="P287" s="723">
        <v>-0.71599999999999997</v>
      </c>
      <c r="Q287" s="723">
        <v>-0.90800000000000003</v>
      </c>
      <c r="R287" s="723">
        <f t="shared" si="236"/>
        <v>-0.24</v>
      </c>
      <c r="S287" s="723">
        <v>-0.20899999999999999</v>
      </c>
      <c r="T287" s="723">
        <v>-0.16200000000000001</v>
      </c>
      <c r="U287" s="723">
        <v>-0.14000000000000001</v>
      </c>
      <c r="V287" s="723">
        <f t="shared" si="228"/>
        <v>-0.32300000000000001</v>
      </c>
      <c r="W287" s="723">
        <v>5.0000000000000001E-3</v>
      </c>
      <c r="X287" s="723">
        <v>1.02</v>
      </c>
      <c r="Y287" s="723">
        <v>0.64300000000000002</v>
      </c>
      <c r="Z287" s="723">
        <f t="shared" si="229"/>
        <v>-0.24</v>
      </c>
      <c r="AA287" s="723">
        <v>0.92300000000000004</v>
      </c>
      <c r="AB287" s="723">
        <v>0.64300000000000002</v>
      </c>
      <c r="AC287" s="723">
        <v>1.218</v>
      </c>
      <c r="AD287" s="725">
        <f t="shared" si="230"/>
        <v>2.117</v>
      </c>
      <c r="AE287" s="723">
        <v>-0.76200000000000001</v>
      </c>
      <c r="AF287" s="727"/>
      <c r="AG287" s="737"/>
      <c r="AH287" s="730">
        <f t="shared" si="231"/>
        <v>0</v>
      </c>
      <c r="AI287" s="737"/>
      <c r="AJ287" s="737"/>
      <c r="AK287" s="737"/>
      <c r="AL287" s="730">
        <f t="shared" si="232"/>
        <v>0</v>
      </c>
      <c r="AM287" s="730"/>
      <c r="AN287" s="722">
        <v>0.40100000000000002</v>
      </c>
      <c r="AO287" s="722">
        <v>0.26600000000000001</v>
      </c>
      <c r="AP287" s="722">
        <v>-0.49099999999999999</v>
      </c>
      <c r="AQ287" s="722">
        <v>0.29499999999999998</v>
      </c>
      <c r="AR287" s="722">
        <v>0.44500000000000001</v>
      </c>
      <c r="AS287" s="722">
        <v>0.44500000000000001</v>
      </c>
      <c r="AT287" s="722">
        <v>0.86699999999999999</v>
      </c>
      <c r="AU287" s="722">
        <v>-0.24</v>
      </c>
      <c r="AV287" s="722">
        <v>-0.32300000000000001</v>
      </c>
      <c r="AW287" s="722">
        <v>-0.24</v>
      </c>
      <c r="AX287" s="927">
        <v>2.117</v>
      </c>
      <c r="AY287" s="738"/>
      <c r="AZ287" s="738"/>
      <c r="BA287" s="738"/>
      <c r="BB287" s="738"/>
      <c r="BC287" s="738"/>
      <c r="BD287" s="631"/>
    </row>
    <row r="288" spans="1:56" s="38" customFormat="1" hidden="1" outlineLevel="1" x14ac:dyDescent="0.25">
      <c r="A288" s="40" t="s">
        <v>166</v>
      </c>
      <c r="B288" s="117"/>
      <c r="C288" s="745">
        <f t="shared" ref="C288:AL288" si="237">SUM(C278:C287)</f>
        <v>5.3160000000000007</v>
      </c>
      <c r="D288" s="745">
        <f t="shared" si="237"/>
        <v>5.4790000000000028</v>
      </c>
      <c r="E288" s="745">
        <f t="shared" si="237"/>
        <v>10.249000000000001</v>
      </c>
      <c r="F288" s="745">
        <f t="shared" si="237"/>
        <v>16.253000000000004</v>
      </c>
      <c r="G288" s="745">
        <f t="shared" si="237"/>
        <v>0.72100000000000142</v>
      </c>
      <c r="H288" s="745">
        <f t="shared" si="237"/>
        <v>-1.9170000000000034</v>
      </c>
      <c r="I288" s="745">
        <f t="shared" si="237"/>
        <v>16.664000000000005</v>
      </c>
      <c r="J288" s="745">
        <f t="shared" si="237"/>
        <v>30.997999999999998</v>
      </c>
      <c r="K288" s="745">
        <f t="shared" si="237"/>
        <v>3.197000000000001</v>
      </c>
      <c r="L288" s="745">
        <f t="shared" si="237"/>
        <v>3.125000000000004</v>
      </c>
      <c r="M288" s="745">
        <f t="shared" si="237"/>
        <v>9.528000000000004</v>
      </c>
      <c r="N288" s="745">
        <f t="shared" si="237"/>
        <v>25.553999999999998</v>
      </c>
      <c r="O288" s="745">
        <f t="shared" si="237"/>
        <v>8.5629999999999988</v>
      </c>
      <c r="P288" s="745">
        <f t="shared" si="237"/>
        <v>9.9820000000000011</v>
      </c>
      <c r="Q288" s="745">
        <f t="shared" si="237"/>
        <v>11.898000000000001</v>
      </c>
      <c r="R288" s="745">
        <f t="shared" si="237"/>
        <v>18.077000000000002</v>
      </c>
      <c r="S288" s="745">
        <f t="shared" si="237"/>
        <v>4.1180000000000021</v>
      </c>
      <c r="T288" s="745">
        <f t="shared" si="237"/>
        <v>19.757999999999999</v>
      </c>
      <c r="U288" s="745">
        <f t="shared" si="237"/>
        <v>21.173999999999999</v>
      </c>
      <c r="V288" s="745">
        <f t="shared" si="237"/>
        <v>26.259999999999998</v>
      </c>
      <c r="W288" s="745">
        <f t="shared" si="237"/>
        <v>9.4060000000000006</v>
      </c>
      <c r="X288" s="745">
        <f t="shared" si="237"/>
        <v>7.1249999999999982</v>
      </c>
      <c r="Y288" s="745">
        <f t="shared" si="237"/>
        <v>3.5100000000000016</v>
      </c>
      <c r="Z288" s="745">
        <f t="shared" si="237"/>
        <v>11.209999999999999</v>
      </c>
      <c r="AA288" s="747">
        <f t="shared" si="237"/>
        <v>-2.6049999999999986</v>
      </c>
      <c r="AB288" s="745">
        <f t="shared" si="237"/>
        <v>-6.3029999999999999</v>
      </c>
      <c r="AC288" s="747">
        <f t="shared" si="237"/>
        <v>4.5510000000000002</v>
      </c>
      <c r="AD288" s="747">
        <f t="shared" si="237"/>
        <v>13.399999999999999</v>
      </c>
      <c r="AE288" s="747">
        <f t="shared" si="237"/>
        <v>9.8470000000000013</v>
      </c>
      <c r="AF288" s="772">
        <f t="shared" si="237"/>
        <v>0</v>
      </c>
      <c r="AG288" s="747">
        <f t="shared" si="237"/>
        <v>0</v>
      </c>
      <c r="AH288" s="747">
        <f t="shared" si="237"/>
        <v>0</v>
      </c>
      <c r="AI288" s="747">
        <f t="shared" si="237"/>
        <v>0</v>
      </c>
      <c r="AJ288" s="747">
        <f t="shared" si="237"/>
        <v>0</v>
      </c>
      <c r="AK288" s="747">
        <f t="shared" si="237"/>
        <v>0</v>
      </c>
      <c r="AL288" s="747">
        <f t="shared" si="237"/>
        <v>0</v>
      </c>
      <c r="AM288" s="747"/>
      <c r="AN288" s="744">
        <f t="shared" ref="AN288:BC288" si="238">SUM(AN278:AN287)</f>
        <v>18.776000000000003</v>
      </c>
      <c r="AO288" s="744">
        <f t="shared" si="238"/>
        <v>26.189999999999998</v>
      </c>
      <c r="AP288" s="744">
        <f t="shared" si="238"/>
        <v>16.198999999999998</v>
      </c>
      <c r="AQ288" s="744">
        <f t="shared" si="238"/>
        <v>25.312000000000001</v>
      </c>
      <c r="AR288" s="744">
        <f t="shared" si="238"/>
        <v>16.253000000000004</v>
      </c>
      <c r="AS288" s="744">
        <f t="shared" si="238"/>
        <v>30.997999999999998</v>
      </c>
      <c r="AT288" s="744">
        <f t="shared" si="238"/>
        <v>25.553999999999998</v>
      </c>
      <c r="AU288" s="744">
        <f t="shared" si="238"/>
        <v>18.077000000000002</v>
      </c>
      <c r="AV288" s="744">
        <f t="shared" si="238"/>
        <v>26.259999999999998</v>
      </c>
      <c r="AW288" s="744">
        <f t="shared" si="238"/>
        <v>11.209999999999999</v>
      </c>
      <c r="AX288" s="960">
        <f t="shared" si="238"/>
        <v>13.399999999999999</v>
      </c>
      <c r="AY288" s="748">
        <f t="shared" si="238"/>
        <v>0</v>
      </c>
      <c r="AZ288" s="748">
        <f t="shared" si="238"/>
        <v>0</v>
      </c>
      <c r="BA288" s="748">
        <f t="shared" si="238"/>
        <v>0</v>
      </c>
      <c r="BB288" s="748">
        <f t="shared" si="238"/>
        <v>0</v>
      </c>
      <c r="BC288" s="748">
        <f t="shared" si="238"/>
        <v>0</v>
      </c>
      <c r="BD288" s="632"/>
    </row>
    <row r="289" spans="1:56" s="38" customFormat="1" hidden="1" outlineLevel="1" x14ac:dyDescent="0.25">
      <c r="A289" s="162"/>
      <c r="B289" s="187"/>
      <c r="C289" s="740"/>
      <c r="D289" s="740"/>
      <c r="E289" s="740"/>
      <c r="F289" s="740"/>
      <c r="G289" s="740"/>
      <c r="H289" s="740"/>
      <c r="I289" s="740"/>
      <c r="J289" s="740"/>
      <c r="K289" s="740"/>
      <c r="L289" s="740"/>
      <c r="M289" s="740"/>
      <c r="N289" s="740"/>
      <c r="O289" s="740"/>
      <c r="P289" s="740"/>
      <c r="Q289" s="740"/>
      <c r="R289" s="740"/>
      <c r="S289" s="740"/>
      <c r="T289" s="740"/>
      <c r="U289" s="740"/>
      <c r="V289" s="740"/>
      <c r="W289" s="740"/>
      <c r="X289" s="740"/>
      <c r="Y289" s="740"/>
      <c r="Z289" s="740"/>
      <c r="AA289" s="740"/>
      <c r="AB289" s="740"/>
      <c r="AC289" s="740"/>
      <c r="AD289" s="740"/>
      <c r="AE289" s="740"/>
      <c r="AF289" s="741"/>
      <c r="AG289" s="742"/>
      <c r="AH289" s="742"/>
      <c r="AI289" s="742"/>
      <c r="AJ289" s="742"/>
      <c r="AK289" s="742"/>
      <c r="AL289" s="742"/>
      <c r="AM289" s="742"/>
      <c r="AN289" s="739"/>
      <c r="AO289" s="739"/>
      <c r="AP289" s="739"/>
      <c r="AQ289" s="739"/>
      <c r="AR289" s="739"/>
      <c r="AS289" s="739"/>
      <c r="AT289" s="739"/>
      <c r="AU289" s="739"/>
      <c r="AV289" s="739"/>
      <c r="AW289" s="739"/>
      <c r="AX289" s="934"/>
      <c r="AY289" s="743"/>
      <c r="AZ289" s="743"/>
      <c r="BA289" s="743"/>
      <c r="BB289" s="743"/>
      <c r="BC289" s="743"/>
      <c r="BD289" s="632"/>
    </row>
    <row r="290" spans="1:56" s="38" customFormat="1" hidden="1" outlineLevel="1" x14ac:dyDescent="0.25">
      <c r="A290" s="162" t="s">
        <v>167</v>
      </c>
      <c r="B290" s="187"/>
      <c r="C290" s="740"/>
      <c r="D290" s="740"/>
      <c r="E290" s="740"/>
      <c r="F290" s="740"/>
      <c r="G290" s="740"/>
      <c r="H290" s="740"/>
      <c r="I290" s="740"/>
      <c r="J290" s="740"/>
      <c r="K290" s="740"/>
      <c r="L290" s="740"/>
      <c r="M290" s="740"/>
      <c r="N290" s="740"/>
      <c r="O290" s="740"/>
      <c r="P290" s="740"/>
      <c r="Q290" s="740"/>
      <c r="R290" s="740"/>
      <c r="S290" s="740"/>
      <c r="T290" s="740"/>
      <c r="U290" s="740"/>
      <c r="V290" s="740"/>
      <c r="W290" s="740"/>
      <c r="X290" s="740"/>
      <c r="Y290" s="740"/>
      <c r="Z290" s="740"/>
      <c r="AA290" s="740"/>
      <c r="AB290" s="740"/>
      <c r="AC290" s="740"/>
      <c r="AD290" s="740"/>
      <c r="AE290" s="740"/>
      <c r="AF290" s="741"/>
      <c r="AG290" s="742"/>
      <c r="AH290" s="742"/>
      <c r="AI290" s="742"/>
      <c r="AJ290" s="742"/>
      <c r="AK290" s="742"/>
      <c r="AL290" s="742"/>
      <c r="AM290" s="742"/>
      <c r="AN290" s="739"/>
      <c r="AO290" s="739"/>
      <c r="AP290" s="739"/>
      <c r="AQ290" s="739"/>
      <c r="AR290" s="739"/>
      <c r="AS290" s="739"/>
      <c r="AT290" s="739"/>
      <c r="AU290" s="739"/>
      <c r="AV290" s="739"/>
      <c r="AW290" s="739"/>
      <c r="AX290" s="934"/>
      <c r="AY290" s="743"/>
      <c r="AZ290" s="743"/>
      <c r="BA290" s="743"/>
      <c r="BB290" s="743"/>
      <c r="BC290" s="743"/>
      <c r="BD290" s="632"/>
    </row>
    <row r="291" spans="1:56" s="39" customFormat="1" hidden="1" outlineLevel="1" x14ac:dyDescent="0.25">
      <c r="A291" s="75" t="s">
        <v>168</v>
      </c>
      <c r="B291" s="171"/>
      <c r="C291" s="723">
        <v>-0.83</v>
      </c>
      <c r="D291" s="723">
        <v>-2.161</v>
      </c>
      <c r="E291" s="723">
        <v>-4.6079999999999997</v>
      </c>
      <c r="F291" s="723">
        <f>AR291</f>
        <v>-6.7140000000000004</v>
      </c>
      <c r="G291" s="723">
        <v>-0.91600000000000004</v>
      </c>
      <c r="H291" s="723">
        <v>-1.444</v>
      </c>
      <c r="I291" s="723">
        <v>-2.3149999999999999</v>
      </c>
      <c r="J291" s="723">
        <f>AS291</f>
        <v>-2.7570000000000001</v>
      </c>
      <c r="K291" s="723">
        <v>-0.6</v>
      </c>
      <c r="L291" s="723">
        <v>-1.35</v>
      </c>
      <c r="M291" s="723">
        <v>-1.831</v>
      </c>
      <c r="N291" s="723">
        <f>AT291</f>
        <v>-2.3570000000000002</v>
      </c>
      <c r="O291" s="723">
        <v>-0.57499999999999996</v>
      </c>
      <c r="P291" s="723">
        <v>-0.92200000000000004</v>
      </c>
      <c r="Q291" s="723">
        <v>-1.1839999999999999</v>
      </c>
      <c r="R291" s="723">
        <f>AU291</f>
        <v>-1.4019999999999999</v>
      </c>
      <c r="S291" s="723">
        <v>-0.52500000000000002</v>
      </c>
      <c r="T291" s="723">
        <v>-1.7689999999999999</v>
      </c>
      <c r="U291" s="723">
        <v>-2.3239999999999998</v>
      </c>
      <c r="V291" s="723">
        <f>AV291</f>
        <v>-2.734</v>
      </c>
      <c r="W291" s="723">
        <v>-0.37</v>
      </c>
      <c r="X291" s="723">
        <v>-1.514</v>
      </c>
      <c r="Y291" s="723">
        <v>-2.2669999999999999</v>
      </c>
      <c r="Z291" s="723">
        <f>AW291</f>
        <v>-2.8340000000000001</v>
      </c>
      <c r="AA291" s="723">
        <v>-0.54200000000000004</v>
      </c>
      <c r="AB291" s="723">
        <v>-1.0269999999999999</v>
      </c>
      <c r="AC291" s="723">
        <v>-1.905</v>
      </c>
      <c r="AD291" s="725">
        <f t="shared" ref="AD291:AD298" si="239">AX291</f>
        <v>-2.3149999999999999</v>
      </c>
      <c r="AE291" s="723">
        <v>-0.46700000000000003</v>
      </c>
      <c r="AF291" s="727"/>
      <c r="AG291" s="737"/>
      <c r="AH291" s="730">
        <f t="shared" ref="AH291:AH298" si="240">AY291</f>
        <v>0</v>
      </c>
      <c r="AI291" s="737"/>
      <c r="AJ291" s="737"/>
      <c r="AK291" s="737"/>
      <c r="AL291" s="730">
        <f t="shared" ref="AL291:AL298" si="241">AZ291</f>
        <v>0</v>
      </c>
      <c r="AM291" s="730"/>
      <c r="AN291" s="722">
        <v>-1.1739999999999999</v>
      </c>
      <c r="AO291" s="722">
        <v>-1.5309999999999999</v>
      </c>
      <c r="AP291" s="722">
        <v>-3.9750000000000001</v>
      </c>
      <c r="AQ291" s="722">
        <v>-2.536</v>
      </c>
      <c r="AR291" s="722">
        <v>-6.7140000000000004</v>
      </c>
      <c r="AS291" s="722">
        <v>-2.7570000000000001</v>
      </c>
      <c r="AT291" s="722">
        <v>-2.3570000000000002</v>
      </c>
      <c r="AU291" s="722">
        <v>-1.4019999999999999</v>
      </c>
      <c r="AV291" s="722">
        <v>-2.734</v>
      </c>
      <c r="AW291" s="722">
        <v>-2.8340000000000001</v>
      </c>
      <c r="AX291" s="927">
        <v>-2.3149999999999999</v>
      </c>
      <c r="AY291" s="738"/>
      <c r="AZ291" s="738"/>
      <c r="BA291" s="738"/>
      <c r="BB291" s="738"/>
      <c r="BC291" s="738"/>
      <c r="BD291" s="631"/>
    </row>
    <row r="292" spans="1:56" s="39" customFormat="1" hidden="1" outlineLevel="1" x14ac:dyDescent="0.25">
      <c r="A292" s="75" t="s">
        <v>169</v>
      </c>
      <c r="B292" s="171"/>
      <c r="C292" s="723"/>
      <c r="D292" s="723">
        <v>-13.523999999999999</v>
      </c>
      <c r="E292" s="723">
        <v>-13.523999999999999</v>
      </c>
      <c r="F292" s="723">
        <f>AR292</f>
        <v>-13.505000000000001</v>
      </c>
      <c r="G292" s="723"/>
      <c r="H292" s="723">
        <v>-8.6660000000000004</v>
      </c>
      <c r="I292" s="723">
        <v>-8.6660000000000004</v>
      </c>
      <c r="J292" s="723">
        <f>AS292</f>
        <v>-8.67</v>
      </c>
      <c r="K292" s="723">
        <v>0</v>
      </c>
      <c r="L292" s="723">
        <v>0</v>
      </c>
      <c r="M292" s="723">
        <v>0</v>
      </c>
      <c r="N292" s="723">
        <f>AT292</f>
        <v>0</v>
      </c>
      <c r="O292" s="723">
        <v>-2.33</v>
      </c>
      <c r="P292" s="723">
        <v>-2.33</v>
      </c>
      <c r="Q292" s="723">
        <v>-2.161</v>
      </c>
      <c r="R292" s="723">
        <f>AU292</f>
        <v>-6.8010000000000002</v>
      </c>
      <c r="S292" s="723">
        <v>-3.1930000000000001</v>
      </c>
      <c r="T292" s="723">
        <v>-6.3840000000000003</v>
      </c>
      <c r="U292" s="723">
        <v>-11.112</v>
      </c>
      <c r="V292" s="723">
        <f>AV292</f>
        <v>-11.111000000000001</v>
      </c>
      <c r="W292" s="723">
        <v>-10</v>
      </c>
      <c r="X292" s="723">
        <v>-39.957000000000001</v>
      </c>
      <c r="Y292" s="723">
        <v>-42.872</v>
      </c>
      <c r="Z292" s="723">
        <f>AW292</f>
        <v>-55.29</v>
      </c>
      <c r="AA292" s="723"/>
      <c r="AB292" s="723"/>
      <c r="AC292" s="723">
        <v>0.85</v>
      </c>
      <c r="AD292" s="725">
        <f t="shared" si="239"/>
        <v>0.85</v>
      </c>
      <c r="AE292" s="723"/>
      <c r="AF292" s="727"/>
      <c r="AG292" s="737"/>
      <c r="AH292" s="730">
        <f t="shared" si="240"/>
        <v>0</v>
      </c>
      <c r="AI292" s="737"/>
      <c r="AJ292" s="737"/>
      <c r="AK292" s="737"/>
      <c r="AL292" s="730">
        <f t="shared" si="241"/>
        <v>0</v>
      </c>
      <c r="AM292" s="730"/>
      <c r="AN292" s="722">
        <v>-20.773</v>
      </c>
      <c r="AO292" s="722">
        <v>-5.1210000000000004</v>
      </c>
      <c r="AP292" s="722">
        <v>-36.076999999999998</v>
      </c>
      <c r="AQ292" s="722">
        <v>-12.183999999999999</v>
      </c>
      <c r="AR292" s="722">
        <v>-13.505000000000001</v>
      </c>
      <c r="AS292" s="722">
        <v>-8.67</v>
      </c>
      <c r="AT292" s="722">
        <v>0</v>
      </c>
      <c r="AU292" s="722">
        <v>-6.8010000000000002</v>
      </c>
      <c r="AV292" s="722">
        <v>-11.111000000000001</v>
      </c>
      <c r="AW292" s="722">
        <v>-55.29</v>
      </c>
      <c r="AX292" s="927">
        <v>0.85</v>
      </c>
      <c r="AY292" s="738"/>
      <c r="AZ292" s="738"/>
      <c r="BA292" s="738"/>
      <c r="BB292" s="738"/>
      <c r="BC292" s="738"/>
      <c r="BD292" s="631"/>
    </row>
    <row r="293" spans="1:56" s="39" customFormat="1" hidden="1" outlineLevel="1" x14ac:dyDescent="0.25">
      <c r="A293" s="75" t="s">
        <v>449</v>
      </c>
      <c r="B293" s="171"/>
      <c r="C293" s="723"/>
      <c r="D293" s="723"/>
      <c r="E293" s="723"/>
      <c r="F293" s="723"/>
      <c r="G293" s="723"/>
      <c r="H293" s="723"/>
      <c r="I293" s="723"/>
      <c r="J293" s="723"/>
      <c r="K293" s="723"/>
      <c r="L293" s="723"/>
      <c r="M293" s="723"/>
      <c r="N293" s="723"/>
      <c r="O293" s="723"/>
      <c r="P293" s="723"/>
      <c r="Q293" s="723"/>
      <c r="R293" s="723"/>
      <c r="S293" s="723"/>
      <c r="T293" s="723"/>
      <c r="U293" s="723"/>
      <c r="V293" s="723"/>
      <c r="W293" s="723"/>
      <c r="X293" s="723"/>
      <c r="Y293" s="723"/>
      <c r="Z293" s="723"/>
      <c r="AA293" s="723"/>
      <c r="AB293" s="723"/>
      <c r="AC293" s="723"/>
      <c r="AD293" s="725">
        <f t="shared" si="239"/>
        <v>20.047999999999998</v>
      </c>
      <c r="AE293" s="723">
        <v>3.3279999999999998</v>
      </c>
      <c r="AF293" s="727"/>
      <c r="AG293" s="737"/>
      <c r="AH293" s="730">
        <f t="shared" si="240"/>
        <v>0</v>
      </c>
      <c r="AI293" s="737"/>
      <c r="AJ293" s="737"/>
      <c r="AK293" s="737"/>
      <c r="AL293" s="730">
        <f t="shared" si="241"/>
        <v>0</v>
      </c>
      <c r="AM293" s="730"/>
      <c r="AN293" s="722"/>
      <c r="AO293" s="722"/>
      <c r="AP293" s="722"/>
      <c r="AQ293" s="722"/>
      <c r="AR293" s="722"/>
      <c r="AS293" s="722"/>
      <c r="AT293" s="722"/>
      <c r="AU293" s="722"/>
      <c r="AV293" s="722"/>
      <c r="AW293" s="722"/>
      <c r="AX293" s="927">
        <v>20.047999999999998</v>
      </c>
      <c r="AY293" s="738"/>
      <c r="AZ293" s="738"/>
      <c r="BA293" s="738"/>
      <c r="BB293" s="738"/>
      <c r="BC293" s="738"/>
      <c r="BD293" s="631"/>
    </row>
    <row r="294" spans="1:56" s="39" customFormat="1" hidden="1" outlineLevel="1" x14ac:dyDescent="0.25">
      <c r="A294" s="75" t="s">
        <v>170</v>
      </c>
      <c r="B294" s="171"/>
      <c r="C294" s="723"/>
      <c r="D294" s="723"/>
      <c r="E294" s="723">
        <v>0</v>
      </c>
      <c r="F294" s="723">
        <f>AR294</f>
        <v>0</v>
      </c>
      <c r="G294" s="723"/>
      <c r="H294" s="723"/>
      <c r="I294" s="723"/>
      <c r="J294" s="723">
        <f>AS294</f>
        <v>0</v>
      </c>
      <c r="K294" s="723"/>
      <c r="L294" s="723"/>
      <c r="M294" s="723"/>
      <c r="N294" s="723">
        <f>AT294</f>
        <v>0</v>
      </c>
      <c r="O294" s="723"/>
      <c r="P294" s="723">
        <v>0</v>
      </c>
      <c r="Q294" s="723"/>
      <c r="R294" s="723">
        <f>AU294</f>
        <v>0</v>
      </c>
      <c r="S294" s="723"/>
      <c r="T294" s="723"/>
      <c r="U294" s="723"/>
      <c r="V294" s="723">
        <f>AV294</f>
        <v>0</v>
      </c>
      <c r="W294" s="723"/>
      <c r="X294" s="723"/>
      <c r="Y294" s="723"/>
      <c r="Z294" s="723">
        <f>AW294</f>
        <v>0</v>
      </c>
      <c r="AA294" s="723"/>
      <c r="AB294" s="723"/>
      <c r="AC294" s="723"/>
      <c r="AD294" s="725">
        <f t="shared" si="239"/>
        <v>0</v>
      </c>
      <c r="AE294" s="723"/>
      <c r="AF294" s="727"/>
      <c r="AG294" s="737"/>
      <c r="AH294" s="730">
        <f t="shared" si="240"/>
        <v>0</v>
      </c>
      <c r="AI294" s="737"/>
      <c r="AJ294" s="737"/>
      <c r="AK294" s="737"/>
      <c r="AL294" s="730">
        <f t="shared" si="241"/>
        <v>0</v>
      </c>
      <c r="AM294" s="730"/>
      <c r="AN294" s="722">
        <v>0</v>
      </c>
      <c r="AO294" s="722"/>
      <c r="AP294" s="722"/>
      <c r="AQ294" s="722"/>
      <c r="AR294" s="722"/>
      <c r="AS294" s="722"/>
      <c r="AT294" s="722"/>
      <c r="AU294" s="722"/>
      <c r="AV294" s="722"/>
      <c r="AW294" s="722"/>
      <c r="AX294" s="927"/>
      <c r="AY294" s="738"/>
      <c r="AZ294" s="738"/>
      <c r="BA294" s="738"/>
      <c r="BB294" s="738"/>
      <c r="BC294" s="738"/>
      <c r="BD294" s="631"/>
    </row>
    <row r="295" spans="1:56" s="39" customFormat="1" hidden="1" outlineLevel="1" x14ac:dyDescent="0.25">
      <c r="A295" s="75" t="s">
        <v>171</v>
      </c>
      <c r="B295" s="171"/>
      <c r="C295" s="723"/>
      <c r="D295" s="723"/>
      <c r="E295" s="723"/>
      <c r="F295" s="723"/>
      <c r="G295" s="723"/>
      <c r="H295" s="723"/>
      <c r="I295" s="723"/>
      <c r="J295" s="723"/>
      <c r="K295" s="723"/>
      <c r="L295" s="723"/>
      <c r="M295" s="723"/>
      <c r="N295" s="723"/>
      <c r="O295" s="723"/>
      <c r="P295" s="723"/>
      <c r="Q295" s="723"/>
      <c r="R295" s="723">
        <f>AU295</f>
        <v>-1.6</v>
      </c>
      <c r="S295" s="723"/>
      <c r="T295" s="723"/>
      <c r="U295" s="723"/>
      <c r="V295" s="723">
        <f>AV295</f>
        <v>0</v>
      </c>
      <c r="W295" s="723"/>
      <c r="X295" s="723"/>
      <c r="Y295" s="723"/>
      <c r="Z295" s="723">
        <f>AW295</f>
        <v>0</v>
      </c>
      <c r="AA295" s="723"/>
      <c r="AB295" s="723"/>
      <c r="AC295" s="723"/>
      <c r="AD295" s="725">
        <f t="shared" si="239"/>
        <v>0</v>
      </c>
      <c r="AE295" s="723"/>
      <c r="AF295" s="727"/>
      <c r="AG295" s="737"/>
      <c r="AH295" s="730">
        <f t="shared" si="240"/>
        <v>0</v>
      </c>
      <c r="AI295" s="737"/>
      <c r="AJ295" s="737"/>
      <c r="AK295" s="737"/>
      <c r="AL295" s="730">
        <f t="shared" si="241"/>
        <v>0</v>
      </c>
      <c r="AM295" s="730"/>
      <c r="AN295" s="722"/>
      <c r="AO295" s="722"/>
      <c r="AP295" s="722"/>
      <c r="AQ295" s="722"/>
      <c r="AR295" s="722"/>
      <c r="AS295" s="722"/>
      <c r="AT295" s="722"/>
      <c r="AU295" s="722">
        <v>-1.6</v>
      </c>
      <c r="AV295" s="722"/>
      <c r="AW295" s="722"/>
      <c r="AX295" s="927"/>
      <c r="AY295" s="738"/>
      <c r="AZ295" s="738"/>
      <c r="BA295" s="738"/>
      <c r="BB295" s="738"/>
      <c r="BC295" s="738"/>
      <c r="BD295" s="631"/>
    </row>
    <row r="296" spans="1:56" s="39" customFormat="1" hidden="1" outlineLevel="1" x14ac:dyDescent="0.25">
      <c r="A296" s="75" t="s">
        <v>172</v>
      </c>
      <c r="B296" s="171"/>
      <c r="C296" s="723"/>
      <c r="D296" s="723"/>
      <c r="E296" s="723"/>
      <c r="F296" s="723"/>
      <c r="G296" s="723"/>
      <c r="H296" s="723"/>
      <c r="I296" s="723"/>
      <c r="J296" s="723"/>
      <c r="K296" s="723"/>
      <c r="L296" s="723"/>
      <c r="M296" s="723"/>
      <c r="N296" s="723"/>
      <c r="O296" s="723"/>
      <c r="P296" s="723"/>
      <c r="Q296" s="723"/>
      <c r="R296" s="723">
        <f>AU296</f>
        <v>-0.93300000000000005</v>
      </c>
      <c r="S296" s="723"/>
      <c r="T296" s="723"/>
      <c r="U296" s="723"/>
      <c r="V296" s="723">
        <f>AV296</f>
        <v>-1.3129999999999999</v>
      </c>
      <c r="W296" s="723"/>
      <c r="X296" s="723"/>
      <c r="Y296" s="723"/>
      <c r="Z296" s="723">
        <f>AW296</f>
        <v>-3.544</v>
      </c>
      <c r="AA296" s="723"/>
      <c r="AB296" s="723"/>
      <c r="AC296" s="723"/>
      <c r="AD296" s="725">
        <f t="shared" si="239"/>
        <v>-2.6320000000000001</v>
      </c>
      <c r="AE296" s="723">
        <v>-2.4E-2</v>
      </c>
      <c r="AF296" s="727"/>
      <c r="AG296" s="737"/>
      <c r="AH296" s="730">
        <f t="shared" si="240"/>
        <v>0</v>
      </c>
      <c r="AI296" s="737"/>
      <c r="AJ296" s="737"/>
      <c r="AK296" s="737"/>
      <c r="AL296" s="730">
        <f t="shared" si="241"/>
        <v>0</v>
      </c>
      <c r="AM296" s="730"/>
      <c r="AN296" s="722"/>
      <c r="AO296" s="722"/>
      <c r="AP296" s="722"/>
      <c r="AQ296" s="722"/>
      <c r="AR296" s="722"/>
      <c r="AS296" s="722"/>
      <c r="AT296" s="722"/>
      <c r="AU296" s="722">
        <v>-0.93300000000000005</v>
      </c>
      <c r="AV296" s="722">
        <v>-1.3129999999999999</v>
      </c>
      <c r="AW296" s="722">
        <v>-3.544</v>
      </c>
      <c r="AX296" s="927">
        <v>-2.6320000000000001</v>
      </c>
      <c r="AY296" s="738"/>
      <c r="AZ296" s="738"/>
      <c r="BA296" s="738"/>
      <c r="BB296" s="738"/>
      <c r="BC296" s="738"/>
      <c r="BD296" s="631"/>
    </row>
    <row r="297" spans="1:56" s="39" customFormat="1" hidden="1" outlineLevel="1" x14ac:dyDescent="0.25">
      <c r="A297" s="75" t="s">
        <v>173</v>
      </c>
      <c r="B297" s="171"/>
      <c r="C297" s="723"/>
      <c r="D297" s="723"/>
      <c r="E297" s="723"/>
      <c r="F297" s="723">
        <f>AR297</f>
        <v>0</v>
      </c>
      <c r="G297" s="723"/>
      <c r="H297" s="723">
        <v>0</v>
      </c>
      <c r="I297" s="723">
        <v>0.246</v>
      </c>
      <c r="J297" s="723">
        <f>AS297</f>
        <v>0.246</v>
      </c>
      <c r="K297" s="723">
        <v>0</v>
      </c>
      <c r="L297" s="723">
        <v>-0.17299999999999999</v>
      </c>
      <c r="M297" s="723">
        <v>8.5000000000000006E-2</v>
      </c>
      <c r="N297" s="723">
        <f>AT297</f>
        <v>0.186</v>
      </c>
      <c r="O297" s="723">
        <v>1.2999999999999999E-2</v>
      </c>
      <c r="P297" s="723">
        <v>-1.587</v>
      </c>
      <c r="Q297" s="723">
        <v>-2.0369999999999999</v>
      </c>
      <c r="R297" s="723">
        <f>AU297</f>
        <v>1.4E-2</v>
      </c>
      <c r="S297" s="723">
        <v>-0.34399999999999997</v>
      </c>
      <c r="T297" s="723">
        <v>-0.84399999999999997</v>
      </c>
      <c r="U297" s="723">
        <v>-0.98099999999999998</v>
      </c>
      <c r="V297" s="723">
        <f>AV297</f>
        <v>-0.29499999999999998</v>
      </c>
      <c r="W297" s="723">
        <v>-0.83399999999999996</v>
      </c>
      <c r="X297" s="723">
        <v>-2.0510000000000002</v>
      </c>
      <c r="Y297" s="723">
        <v>-3.2290000000000001</v>
      </c>
      <c r="Z297" s="723">
        <f>AW297</f>
        <v>-8.5999999999999993E-2</v>
      </c>
      <c r="AA297" s="723">
        <v>-0.22600000000000001</v>
      </c>
      <c r="AB297" s="723">
        <v>-0.22700000000000001</v>
      </c>
      <c r="AC297" s="723">
        <v>-2.2610000000000001</v>
      </c>
      <c r="AD297" s="725">
        <f t="shared" si="239"/>
        <v>0</v>
      </c>
      <c r="AE297" s="723"/>
      <c r="AF297" s="727"/>
      <c r="AG297" s="737"/>
      <c r="AH297" s="730">
        <f t="shared" si="240"/>
        <v>0</v>
      </c>
      <c r="AI297" s="737"/>
      <c r="AJ297" s="737"/>
      <c r="AK297" s="737"/>
      <c r="AL297" s="730">
        <f t="shared" si="241"/>
        <v>0</v>
      </c>
      <c r="AM297" s="730"/>
      <c r="AN297" s="722">
        <v>-3.464</v>
      </c>
      <c r="AO297" s="722">
        <v>0</v>
      </c>
      <c r="AP297" s="722">
        <v>-0.157</v>
      </c>
      <c r="AQ297" s="722">
        <v>0</v>
      </c>
      <c r="AR297" s="722">
        <v>0</v>
      </c>
      <c r="AS297" s="722">
        <v>0.246</v>
      </c>
      <c r="AT297" s="722">
        <v>0.186</v>
      </c>
      <c r="AU297" s="722">
        <v>1.4E-2</v>
      </c>
      <c r="AV297" s="722">
        <v>-0.29499999999999998</v>
      </c>
      <c r="AW297" s="722">
        <v>-8.5999999999999993E-2</v>
      </c>
      <c r="AX297" s="927"/>
      <c r="AY297" s="738"/>
      <c r="AZ297" s="738"/>
      <c r="BA297" s="738"/>
      <c r="BB297" s="738"/>
      <c r="BC297" s="738"/>
      <c r="BD297" s="631"/>
    </row>
    <row r="298" spans="1:56" s="39" customFormat="1" hidden="1" outlineLevel="1" x14ac:dyDescent="0.25">
      <c r="A298" s="75" t="s">
        <v>174</v>
      </c>
      <c r="B298" s="171"/>
      <c r="C298" s="723"/>
      <c r="D298" s="723"/>
      <c r="E298" s="723"/>
      <c r="F298" s="723">
        <f>AR298</f>
        <v>0</v>
      </c>
      <c r="G298" s="723"/>
      <c r="H298" s="723"/>
      <c r="I298" s="723"/>
      <c r="J298" s="723">
        <f>AS298</f>
        <v>0</v>
      </c>
      <c r="K298" s="723"/>
      <c r="L298" s="723"/>
      <c r="M298" s="723"/>
      <c r="N298" s="723">
        <f>AT298</f>
        <v>0</v>
      </c>
      <c r="O298" s="723"/>
      <c r="P298" s="723">
        <v>0</v>
      </c>
      <c r="Q298" s="723"/>
      <c r="R298" s="723">
        <f>AU298</f>
        <v>0</v>
      </c>
      <c r="S298" s="723"/>
      <c r="T298" s="723"/>
      <c r="U298" s="723"/>
      <c r="V298" s="723">
        <f>AV298</f>
        <v>0</v>
      </c>
      <c r="W298" s="723"/>
      <c r="X298" s="723"/>
      <c r="Y298" s="723"/>
      <c r="Z298" s="723">
        <f>AW298</f>
        <v>0</v>
      </c>
      <c r="AA298" s="723"/>
      <c r="AB298" s="723"/>
      <c r="AC298" s="723"/>
      <c r="AD298" s="725">
        <f t="shared" si="239"/>
        <v>0</v>
      </c>
      <c r="AE298" s="723"/>
      <c r="AF298" s="727"/>
      <c r="AG298" s="737"/>
      <c r="AH298" s="730">
        <f t="shared" si="240"/>
        <v>0</v>
      </c>
      <c r="AI298" s="737"/>
      <c r="AJ298" s="737"/>
      <c r="AK298" s="737"/>
      <c r="AL298" s="730">
        <f t="shared" si="241"/>
        <v>0</v>
      </c>
      <c r="AM298" s="730"/>
      <c r="AN298" s="722">
        <v>0</v>
      </c>
      <c r="AO298" s="722">
        <v>5.0000000000000001E-3</v>
      </c>
      <c r="AP298" s="722"/>
      <c r="AQ298" s="722"/>
      <c r="AR298" s="722"/>
      <c r="AS298" s="722"/>
      <c r="AT298" s="722"/>
      <c r="AU298" s="722"/>
      <c r="AV298" s="722"/>
      <c r="AW298" s="722"/>
      <c r="AX298" s="927"/>
      <c r="AY298" s="738"/>
      <c r="AZ298" s="738"/>
      <c r="BA298" s="738"/>
      <c r="BB298" s="738"/>
      <c r="BC298" s="738"/>
      <c r="BD298" s="631"/>
    </row>
    <row r="299" spans="1:56" s="38" customFormat="1" hidden="1" outlineLevel="1" x14ac:dyDescent="0.25">
      <c r="A299" s="40" t="s">
        <v>175</v>
      </c>
      <c r="B299" s="117"/>
      <c r="C299" s="745">
        <f t="shared" ref="C299:AL299" si="242">SUM(C291:C298)</f>
        <v>-0.83</v>
      </c>
      <c r="D299" s="745">
        <f t="shared" si="242"/>
        <v>-15.684999999999999</v>
      </c>
      <c r="E299" s="745">
        <f t="shared" si="242"/>
        <v>-18.131999999999998</v>
      </c>
      <c r="F299" s="745">
        <f t="shared" si="242"/>
        <v>-20.219000000000001</v>
      </c>
      <c r="G299" s="745">
        <f t="shared" si="242"/>
        <v>-0.91600000000000004</v>
      </c>
      <c r="H299" s="745">
        <f t="shared" si="242"/>
        <v>-10.11</v>
      </c>
      <c r="I299" s="745">
        <f t="shared" si="242"/>
        <v>-10.734999999999999</v>
      </c>
      <c r="J299" s="745">
        <f t="shared" si="242"/>
        <v>-11.180999999999999</v>
      </c>
      <c r="K299" s="745">
        <f t="shared" si="242"/>
        <v>-0.6</v>
      </c>
      <c r="L299" s="745">
        <f t="shared" si="242"/>
        <v>-1.5230000000000001</v>
      </c>
      <c r="M299" s="745">
        <f t="shared" si="242"/>
        <v>-1.746</v>
      </c>
      <c r="N299" s="745">
        <f t="shared" si="242"/>
        <v>-2.1710000000000003</v>
      </c>
      <c r="O299" s="745">
        <f t="shared" si="242"/>
        <v>-2.8920000000000003</v>
      </c>
      <c r="P299" s="745">
        <f t="shared" si="242"/>
        <v>-4.8390000000000004</v>
      </c>
      <c r="Q299" s="745">
        <f t="shared" si="242"/>
        <v>-5.3819999999999997</v>
      </c>
      <c r="R299" s="745">
        <f t="shared" si="242"/>
        <v>-10.722</v>
      </c>
      <c r="S299" s="745">
        <f t="shared" si="242"/>
        <v>-4.0620000000000003</v>
      </c>
      <c r="T299" s="745">
        <f t="shared" si="242"/>
        <v>-8.9969999999999999</v>
      </c>
      <c r="U299" s="745">
        <f t="shared" si="242"/>
        <v>-14.417</v>
      </c>
      <c r="V299" s="745">
        <f t="shared" si="242"/>
        <v>-15.453000000000001</v>
      </c>
      <c r="W299" s="745">
        <f t="shared" si="242"/>
        <v>-11.203999999999999</v>
      </c>
      <c r="X299" s="745">
        <f t="shared" si="242"/>
        <v>-43.522000000000006</v>
      </c>
      <c r="Y299" s="745">
        <f t="shared" si="242"/>
        <v>-48.368000000000002</v>
      </c>
      <c r="Z299" s="745">
        <f t="shared" si="242"/>
        <v>-61.753999999999998</v>
      </c>
      <c r="AA299" s="747">
        <f t="shared" si="242"/>
        <v>-0.76800000000000002</v>
      </c>
      <c r="AB299" s="745">
        <f t="shared" si="242"/>
        <v>-1.254</v>
      </c>
      <c r="AC299" s="747">
        <f t="shared" si="242"/>
        <v>-3.3160000000000003</v>
      </c>
      <c r="AD299" s="747">
        <f t="shared" si="242"/>
        <v>15.950999999999999</v>
      </c>
      <c r="AE299" s="747">
        <f t="shared" si="242"/>
        <v>2.8369999999999997</v>
      </c>
      <c r="AF299" s="772">
        <f t="shared" si="242"/>
        <v>0</v>
      </c>
      <c r="AG299" s="747">
        <f t="shared" si="242"/>
        <v>0</v>
      </c>
      <c r="AH299" s="747">
        <f t="shared" si="242"/>
        <v>0</v>
      </c>
      <c r="AI299" s="747">
        <f t="shared" si="242"/>
        <v>0</v>
      </c>
      <c r="AJ299" s="747">
        <f t="shared" si="242"/>
        <v>0</v>
      </c>
      <c r="AK299" s="747">
        <f t="shared" si="242"/>
        <v>0</v>
      </c>
      <c r="AL299" s="747">
        <f t="shared" si="242"/>
        <v>0</v>
      </c>
      <c r="AM299" s="747"/>
      <c r="AN299" s="744">
        <f t="shared" ref="AN299:BC299" si="243">SUM(AN291:AN298)</f>
        <v>-25.410999999999998</v>
      </c>
      <c r="AO299" s="744">
        <f t="shared" si="243"/>
        <v>-6.6470000000000002</v>
      </c>
      <c r="AP299" s="744">
        <f t="shared" si="243"/>
        <v>-40.208999999999996</v>
      </c>
      <c r="AQ299" s="744">
        <f t="shared" si="243"/>
        <v>-14.719999999999999</v>
      </c>
      <c r="AR299" s="744">
        <f t="shared" si="243"/>
        <v>-20.219000000000001</v>
      </c>
      <c r="AS299" s="744">
        <f t="shared" si="243"/>
        <v>-11.180999999999999</v>
      </c>
      <c r="AT299" s="744">
        <f t="shared" si="243"/>
        <v>-2.1710000000000003</v>
      </c>
      <c r="AU299" s="744">
        <f t="shared" si="243"/>
        <v>-10.722</v>
      </c>
      <c r="AV299" s="744">
        <f t="shared" si="243"/>
        <v>-15.453000000000001</v>
      </c>
      <c r="AW299" s="744">
        <f t="shared" si="243"/>
        <v>-61.753999999999998</v>
      </c>
      <c r="AX299" s="960">
        <f t="shared" si="243"/>
        <v>15.950999999999999</v>
      </c>
      <c r="AY299" s="748">
        <f t="shared" si="243"/>
        <v>0</v>
      </c>
      <c r="AZ299" s="748">
        <f t="shared" si="243"/>
        <v>0</v>
      </c>
      <c r="BA299" s="748">
        <f t="shared" si="243"/>
        <v>0</v>
      </c>
      <c r="BB299" s="748">
        <f t="shared" si="243"/>
        <v>0</v>
      </c>
      <c r="BC299" s="748">
        <f t="shared" si="243"/>
        <v>0</v>
      </c>
      <c r="BD299" s="632"/>
    </row>
    <row r="300" spans="1:56" s="38" customFormat="1" hidden="1" outlineLevel="1" x14ac:dyDescent="0.25">
      <c r="A300" s="162"/>
      <c r="B300" s="187"/>
      <c r="C300" s="740"/>
      <c r="D300" s="740"/>
      <c r="E300" s="740"/>
      <c r="F300" s="740"/>
      <c r="G300" s="740"/>
      <c r="H300" s="740"/>
      <c r="I300" s="740"/>
      <c r="J300" s="740"/>
      <c r="K300" s="740"/>
      <c r="L300" s="740"/>
      <c r="M300" s="740"/>
      <c r="N300" s="740"/>
      <c r="O300" s="740"/>
      <c r="P300" s="740"/>
      <c r="Q300" s="740"/>
      <c r="R300" s="740"/>
      <c r="S300" s="740"/>
      <c r="T300" s="740"/>
      <c r="U300" s="740"/>
      <c r="V300" s="740"/>
      <c r="W300" s="740"/>
      <c r="X300" s="740"/>
      <c r="Y300" s="740"/>
      <c r="Z300" s="740"/>
      <c r="AA300" s="740"/>
      <c r="AB300" s="740"/>
      <c r="AC300" s="740"/>
      <c r="AD300" s="740"/>
      <c r="AE300" s="740"/>
      <c r="AF300" s="741"/>
      <c r="AG300" s="742"/>
      <c r="AH300" s="742"/>
      <c r="AI300" s="742"/>
      <c r="AJ300" s="742"/>
      <c r="AK300" s="742"/>
      <c r="AL300" s="742"/>
      <c r="AM300" s="742"/>
      <c r="AN300" s="739"/>
      <c r="AO300" s="739"/>
      <c r="AP300" s="739"/>
      <c r="AQ300" s="739"/>
      <c r="AR300" s="739"/>
      <c r="AS300" s="739"/>
      <c r="AT300" s="739"/>
      <c r="AU300" s="739"/>
      <c r="AV300" s="739"/>
      <c r="AW300" s="739"/>
      <c r="AX300" s="934"/>
      <c r="AY300" s="743"/>
      <c r="AZ300" s="743"/>
      <c r="BA300" s="743"/>
      <c r="BB300" s="743"/>
      <c r="BC300" s="743"/>
      <c r="BD300" s="632"/>
    </row>
    <row r="301" spans="1:56" s="38" customFormat="1" hidden="1" outlineLevel="1" x14ac:dyDescent="0.25">
      <c r="A301" s="162" t="s">
        <v>176</v>
      </c>
      <c r="B301" s="187"/>
      <c r="C301" s="740"/>
      <c r="D301" s="740"/>
      <c r="E301" s="740"/>
      <c r="F301" s="740"/>
      <c r="G301" s="740"/>
      <c r="H301" s="740"/>
      <c r="I301" s="740"/>
      <c r="J301" s="740"/>
      <c r="K301" s="740"/>
      <c r="L301" s="740"/>
      <c r="M301" s="740"/>
      <c r="N301" s="740"/>
      <c r="O301" s="740"/>
      <c r="P301" s="740"/>
      <c r="Q301" s="740"/>
      <c r="R301" s="740"/>
      <c r="S301" s="740"/>
      <c r="T301" s="740"/>
      <c r="U301" s="740"/>
      <c r="V301" s="740"/>
      <c r="W301" s="740"/>
      <c r="X301" s="740"/>
      <c r="Y301" s="740"/>
      <c r="Z301" s="740"/>
      <c r="AA301" s="740"/>
      <c r="AB301" s="740"/>
      <c r="AC301" s="740"/>
      <c r="AD301" s="740"/>
      <c r="AE301" s="740"/>
      <c r="AF301" s="741"/>
      <c r="AG301" s="742"/>
      <c r="AH301" s="742"/>
      <c r="AI301" s="742"/>
      <c r="AJ301" s="742"/>
      <c r="AK301" s="742"/>
      <c r="AL301" s="742"/>
      <c r="AM301" s="742"/>
      <c r="AN301" s="739"/>
      <c r="AO301" s="739"/>
      <c r="AP301" s="739"/>
      <c r="AQ301" s="739"/>
      <c r="AR301" s="739"/>
      <c r="AS301" s="739"/>
      <c r="AT301" s="739"/>
      <c r="AU301" s="739"/>
      <c r="AV301" s="739"/>
      <c r="AW301" s="739"/>
      <c r="AX301" s="934"/>
      <c r="AY301" s="743"/>
      <c r="AZ301" s="743"/>
      <c r="BA301" s="743"/>
      <c r="BB301" s="743"/>
      <c r="BC301" s="743"/>
      <c r="BD301" s="632"/>
    </row>
    <row r="302" spans="1:56" s="39" customFormat="1" hidden="1" outlineLevel="1" x14ac:dyDescent="0.25">
      <c r="A302" s="75" t="s">
        <v>177</v>
      </c>
      <c r="B302" s="171"/>
      <c r="C302" s="723">
        <v>0</v>
      </c>
      <c r="D302" s="723">
        <v>6.77</v>
      </c>
      <c r="E302" s="723">
        <v>4.82</v>
      </c>
      <c r="F302" s="723">
        <f>AR302</f>
        <v>0.40699999999999997</v>
      </c>
      <c r="G302" s="723">
        <v>2.37</v>
      </c>
      <c r="H302" s="723">
        <v>17.364000000000001</v>
      </c>
      <c r="I302" s="723">
        <v>4.4729999999999999</v>
      </c>
      <c r="J302" s="723">
        <f>AS302</f>
        <v>20.391999999999999</v>
      </c>
      <c r="K302" s="723">
        <v>0.73499999999999999</v>
      </c>
      <c r="L302" s="723">
        <v>7.9989999999999997</v>
      </c>
      <c r="M302" s="723">
        <v>12.108000000000001</v>
      </c>
      <c r="N302" s="723">
        <f>AT302</f>
        <v>13.285</v>
      </c>
      <c r="O302" s="723">
        <v>-0.99199999999999999</v>
      </c>
      <c r="P302" s="723">
        <v>8.5850000000000009</v>
      </c>
      <c r="Q302" s="723">
        <v>10.765000000000001</v>
      </c>
      <c r="R302" s="723">
        <f>AU302</f>
        <v>-16.126999999999999</v>
      </c>
      <c r="S302" s="723">
        <v>5.82</v>
      </c>
      <c r="T302" s="723">
        <v>6.7270000000000003</v>
      </c>
      <c r="U302" s="723">
        <v>9.7490000000000006</v>
      </c>
      <c r="V302" s="723">
        <f t="shared" ref="V302:V316" si="244">AV302</f>
        <v>19.864000000000001</v>
      </c>
      <c r="W302" s="723">
        <v>6.0220000000000002</v>
      </c>
      <c r="X302" s="723">
        <v>24.196999999999999</v>
      </c>
      <c r="Y302" s="723">
        <v>31.41</v>
      </c>
      <c r="Z302" s="723">
        <f t="shared" ref="Z302:Z316" si="245">AW302</f>
        <v>-37.576999999999998</v>
      </c>
      <c r="AA302" s="723"/>
      <c r="AB302" s="723"/>
      <c r="AC302" s="723"/>
      <c r="AD302" s="725">
        <f t="shared" ref="AD302:AD316" si="246">AX302</f>
        <v>0</v>
      </c>
      <c r="AE302" s="723"/>
      <c r="AF302" s="727"/>
      <c r="AG302" s="737"/>
      <c r="AH302" s="730">
        <f t="shared" ref="AH302:AH316" si="247">AY302</f>
        <v>0</v>
      </c>
      <c r="AI302" s="737"/>
      <c r="AJ302" s="737"/>
      <c r="AK302" s="737"/>
      <c r="AL302" s="730">
        <f t="shared" ref="AL302:AL316" si="248">AZ302</f>
        <v>0</v>
      </c>
      <c r="AM302" s="730"/>
      <c r="AN302" s="722">
        <v>-3.234</v>
      </c>
      <c r="AO302" s="722"/>
      <c r="AP302" s="722"/>
      <c r="AQ302" s="722">
        <v>0</v>
      </c>
      <c r="AR302" s="722">
        <v>0.40699999999999997</v>
      </c>
      <c r="AS302" s="722">
        <v>20.391999999999999</v>
      </c>
      <c r="AT302" s="722">
        <v>13.285</v>
      </c>
      <c r="AU302" s="722">
        <v>-16.126999999999999</v>
      </c>
      <c r="AV302" s="722">
        <v>19.864000000000001</v>
      </c>
      <c r="AW302" s="722">
        <v>-37.576999999999998</v>
      </c>
      <c r="AX302" s="927"/>
      <c r="AY302" s="738"/>
      <c r="AZ302" s="738"/>
      <c r="BA302" s="738"/>
      <c r="BB302" s="738"/>
      <c r="BC302" s="738"/>
      <c r="BD302" s="631"/>
    </row>
    <row r="303" spans="1:56" s="39" customFormat="1" hidden="1" outlineLevel="1" x14ac:dyDescent="0.25">
      <c r="A303" s="75" t="s">
        <v>178</v>
      </c>
      <c r="B303" s="171"/>
      <c r="C303" s="723"/>
      <c r="D303" s="723"/>
      <c r="E303" s="723"/>
      <c r="F303" s="723"/>
      <c r="G303" s="723"/>
      <c r="H303" s="723"/>
      <c r="I303" s="723"/>
      <c r="J303" s="723">
        <f>AS303</f>
        <v>40</v>
      </c>
      <c r="K303" s="723"/>
      <c r="L303" s="723"/>
      <c r="M303" s="723"/>
      <c r="N303" s="723">
        <f>AT303</f>
        <v>0</v>
      </c>
      <c r="O303" s="723"/>
      <c r="P303" s="723">
        <v>0</v>
      </c>
      <c r="Q303" s="723"/>
      <c r="R303" s="723">
        <f>AU303</f>
        <v>40</v>
      </c>
      <c r="S303" s="723"/>
      <c r="T303" s="723"/>
      <c r="U303" s="723"/>
      <c r="V303" s="723">
        <f t="shared" si="244"/>
        <v>0</v>
      </c>
      <c r="W303" s="723"/>
      <c r="X303" s="723">
        <v>18</v>
      </c>
      <c r="Y303" s="723">
        <v>18</v>
      </c>
      <c r="Z303" s="723">
        <f t="shared" si="245"/>
        <v>146</v>
      </c>
      <c r="AA303" s="723">
        <v>33.037999999999997</v>
      </c>
      <c r="AB303" s="723">
        <v>77.05</v>
      </c>
      <c r="AC303" s="723">
        <v>120.35</v>
      </c>
      <c r="AD303" s="725">
        <f t="shared" si="246"/>
        <v>178.75</v>
      </c>
      <c r="AE303" s="723">
        <v>62.186999999999998</v>
      </c>
      <c r="AF303" s="727"/>
      <c r="AG303" s="737"/>
      <c r="AH303" s="730">
        <f t="shared" si="247"/>
        <v>0</v>
      </c>
      <c r="AI303" s="737"/>
      <c r="AJ303" s="737"/>
      <c r="AK303" s="737"/>
      <c r="AL303" s="730">
        <f t="shared" si="248"/>
        <v>0</v>
      </c>
      <c r="AM303" s="730"/>
      <c r="AN303" s="722"/>
      <c r="AO303" s="722"/>
      <c r="AP303" s="722"/>
      <c r="AQ303" s="722"/>
      <c r="AR303" s="722"/>
      <c r="AS303" s="722">
        <v>40</v>
      </c>
      <c r="AT303" s="722"/>
      <c r="AU303" s="722">
        <v>40</v>
      </c>
      <c r="AV303" s="722"/>
      <c r="AW303" s="722">
        <v>146</v>
      </c>
      <c r="AX303" s="927">
        <v>178.75</v>
      </c>
      <c r="AY303" s="738"/>
      <c r="AZ303" s="738"/>
      <c r="BA303" s="738"/>
      <c r="BB303" s="738"/>
      <c r="BC303" s="738"/>
      <c r="BD303" s="631"/>
    </row>
    <row r="304" spans="1:56" s="39" customFormat="1" hidden="1" outlineLevel="1" x14ac:dyDescent="0.25">
      <c r="A304" s="75" t="s">
        <v>179</v>
      </c>
      <c r="B304" s="171"/>
      <c r="C304" s="723"/>
      <c r="D304" s="723"/>
      <c r="E304" s="723"/>
      <c r="F304" s="723">
        <f>AR304</f>
        <v>0</v>
      </c>
      <c r="G304" s="723">
        <v>0</v>
      </c>
      <c r="H304" s="723">
        <v>0</v>
      </c>
      <c r="I304" s="723">
        <v>0</v>
      </c>
      <c r="J304" s="723">
        <f>AS304</f>
        <v>-2.2229999999999999</v>
      </c>
      <c r="K304" s="723">
        <v>-3.3330000000000002</v>
      </c>
      <c r="L304" s="723">
        <v>-6.6660000000000004</v>
      </c>
      <c r="M304" s="723">
        <v>-10</v>
      </c>
      <c r="N304" s="723">
        <f>AT304</f>
        <v>-13.333</v>
      </c>
      <c r="O304" s="723">
        <v>-3.3330000000000002</v>
      </c>
      <c r="P304" s="723">
        <v>-6.6660000000000004</v>
      </c>
      <c r="Q304" s="723">
        <v>-10</v>
      </c>
      <c r="R304" s="723">
        <f>AU304</f>
        <v>-24.443999999999999</v>
      </c>
      <c r="S304" s="723">
        <v>-3</v>
      </c>
      <c r="T304" s="723">
        <v>-6</v>
      </c>
      <c r="U304" s="723">
        <v>-9</v>
      </c>
      <c r="V304" s="723">
        <f t="shared" si="244"/>
        <v>-12</v>
      </c>
      <c r="W304" s="723">
        <v>-3</v>
      </c>
      <c r="X304" s="723">
        <v>-6</v>
      </c>
      <c r="Y304" s="723">
        <v>-9</v>
      </c>
      <c r="Z304" s="723">
        <f t="shared" si="245"/>
        <v>-57.5</v>
      </c>
      <c r="AA304" s="723">
        <v>-33</v>
      </c>
      <c r="AB304" s="723">
        <v>-73.900000000000006</v>
      </c>
      <c r="AC304" s="723">
        <v>-123.7</v>
      </c>
      <c r="AD304" s="725">
        <f t="shared" si="246"/>
        <v>-212.38</v>
      </c>
      <c r="AE304" s="723">
        <v>-70.22</v>
      </c>
      <c r="AF304" s="727"/>
      <c r="AG304" s="737"/>
      <c r="AH304" s="730">
        <f t="shared" si="247"/>
        <v>0</v>
      </c>
      <c r="AI304" s="737"/>
      <c r="AJ304" s="737"/>
      <c r="AK304" s="737"/>
      <c r="AL304" s="730">
        <f t="shared" si="248"/>
        <v>0</v>
      </c>
      <c r="AM304" s="730"/>
      <c r="AN304" s="722"/>
      <c r="AO304" s="722"/>
      <c r="AP304" s="722"/>
      <c r="AQ304" s="722"/>
      <c r="AR304" s="722">
        <v>0</v>
      </c>
      <c r="AS304" s="722">
        <v>-2.2229999999999999</v>
      </c>
      <c r="AT304" s="722">
        <v>-13.333</v>
      </c>
      <c r="AU304" s="722">
        <v>-24.443999999999999</v>
      </c>
      <c r="AV304" s="722">
        <v>-12</v>
      </c>
      <c r="AW304" s="722">
        <v>-57.5</v>
      </c>
      <c r="AX304" s="927">
        <v>-212.38</v>
      </c>
      <c r="AY304" s="738"/>
      <c r="AZ304" s="738"/>
      <c r="BA304" s="738"/>
      <c r="BB304" s="738"/>
      <c r="BC304" s="738"/>
      <c r="BD304" s="631"/>
    </row>
    <row r="305" spans="1:56" s="39" customFormat="1" hidden="1" outlineLevel="1" x14ac:dyDescent="0.25">
      <c r="A305" s="75" t="s">
        <v>180</v>
      </c>
      <c r="B305" s="171"/>
      <c r="C305" s="723"/>
      <c r="D305" s="723"/>
      <c r="E305" s="723"/>
      <c r="F305" s="723"/>
      <c r="G305" s="723"/>
      <c r="H305" s="723"/>
      <c r="I305" s="723"/>
      <c r="J305" s="723"/>
      <c r="K305" s="723"/>
      <c r="L305" s="723"/>
      <c r="M305" s="723"/>
      <c r="N305" s="723"/>
      <c r="O305" s="723"/>
      <c r="P305" s="723">
        <v>0</v>
      </c>
      <c r="Q305" s="723"/>
      <c r="R305" s="723"/>
      <c r="S305" s="723"/>
      <c r="T305" s="723"/>
      <c r="U305" s="723"/>
      <c r="V305" s="723">
        <f t="shared" si="244"/>
        <v>0</v>
      </c>
      <c r="W305" s="723"/>
      <c r="X305" s="723"/>
      <c r="Y305" s="723"/>
      <c r="Z305" s="723">
        <f t="shared" si="245"/>
        <v>0</v>
      </c>
      <c r="AA305" s="723"/>
      <c r="AB305" s="723"/>
      <c r="AC305" s="723"/>
      <c r="AD305" s="725">
        <f t="shared" si="246"/>
        <v>0</v>
      </c>
      <c r="AE305" s="723"/>
      <c r="AF305" s="727"/>
      <c r="AG305" s="737"/>
      <c r="AH305" s="730">
        <f t="shared" si="247"/>
        <v>0</v>
      </c>
      <c r="AI305" s="737"/>
      <c r="AJ305" s="737"/>
      <c r="AK305" s="737"/>
      <c r="AL305" s="730">
        <f t="shared" si="248"/>
        <v>0</v>
      </c>
      <c r="AM305" s="730"/>
      <c r="AN305" s="722">
        <v>19.581</v>
      </c>
      <c r="AO305" s="722"/>
      <c r="AP305" s="722"/>
      <c r="AQ305" s="722"/>
      <c r="AR305" s="722"/>
      <c r="AS305" s="722"/>
      <c r="AT305" s="722"/>
      <c r="AU305" s="722"/>
      <c r="AV305" s="722"/>
      <c r="AW305" s="722"/>
      <c r="AX305" s="927"/>
      <c r="AY305" s="738"/>
      <c r="AZ305" s="738"/>
      <c r="BA305" s="738"/>
      <c r="BB305" s="738"/>
      <c r="BC305" s="738"/>
      <c r="BD305" s="631"/>
    </row>
    <row r="306" spans="1:56" s="39" customFormat="1" hidden="1" outlineLevel="1" x14ac:dyDescent="0.25">
      <c r="A306" s="75" t="s">
        <v>181</v>
      </c>
      <c r="B306" s="171"/>
      <c r="C306" s="723">
        <v>-0.60199999999999998</v>
      </c>
      <c r="D306" s="723">
        <v>-0.60199999999999998</v>
      </c>
      <c r="E306" s="723">
        <v>-1.026</v>
      </c>
      <c r="F306" s="723">
        <f>AR306</f>
        <v>-1.026</v>
      </c>
      <c r="G306" s="723">
        <v>-0.33800000000000002</v>
      </c>
      <c r="H306" s="723">
        <v>-0.97699999999999998</v>
      </c>
      <c r="I306" s="723">
        <v>-0.97699999999999998</v>
      </c>
      <c r="J306" s="723">
        <f>AS306</f>
        <v>-0.97699999999999998</v>
      </c>
      <c r="K306" s="723"/>
      <c r="L306" s="723">
        <v>-2.2839999999999998</v>
      </c>
      <c r="M306" s="723">
        <v>-2.2839999999999998</v>
      </c>
      <c r="N306" s="723">
        <f>AT306</f>
        <v>-2.2839999999999998</v>
      </c>
      <c r="O306" s="723"/>
      <c r="P306" s="723">
        <v>-2.085</v>
      </c>
      <c r="Q306" s="723">
        <v>-2.085</v>
      </c>
      <c r="R306" s="723">
        <f>AU306</f>
        <v>-2.2440000000000002</v>
      </c>
      <c r="S306" s="723"/>
      <c r="T306" s="723"/>
      <c r="U306" s="723">
        <v>-0.96699999999999997</v>
      </c>
      <c r="V306" s="723">
        <f t="shared" si="244"/>
        <v>-4.657</v>
      </c>
      <c r="W306" s="723"/>
      <c r="X306" s="723"/>
      <c r="Y306" s="723"/>
      <c r="Z306" s="723">
        <f t="shared" si="245"/>
        <v>0</v>
      </c>
      <c r="AA306" s="723"/>
      <c r="AB306" s="723"/>
      <c r="AC306" s="723"/>
      <c r="AD306" s="725">
        <f t="shared" si="246"/>
        <v>0</v>
      </c>
      <c r="AE306" s="723"/>
      <c r="AF306" s="727"/>
      <c r="AG306" s="737"/>
      <c r="AH306" s="730">
        <f t="shared" si="247"/>
        <v>0</v>
      </c>
      <c r="AI306" s="737"/>
      <c r="AJ306" s="737"/>
      <c r="AK306" s="737"/>
      <c r="AL306" s="730">
        <f t="shared" si="248"/>
        <v>0</v>
      </c>
      <c r="AM306" s="730"/>
      <c r="AN306" s="722"/>
      <c r="AO306" s="722">
        <v>-0.77500000000000002</v>
      </c>
      <c r="AP306" s="722">
        <v>-1.238</v>
      </c>
      <c r="AQ306" s="722">
        <v>-1.2629999999999999</v>
      </c>
      <c r="AR306" s="722">
        <v>-1.026</v>
      </c>
      <c r="AS306" s="722">
        <v>-0.97699999999999998</v>
      </c>
      <c r="AT306" s="722">
        <v>-2.2839999999999998</v>
      </c>
      <c r="AU306" s="722">
        <v>-2.2440000000000002</v>
      </c>
      <c r="AV306" s="722">
        <v>-4.657</v>
      </c>
      <c r="AW306" s="722"/>
      <c r="AX306" s="927"/>
      <c r="AY306" s="738"/>
      <c r="AZ306" s="738"/>
      <c r="BA306" s="738"/>
      <c r="BB306" s="738"/>
      <c r="BC306" s="738"/>
      <c r="BD306" s="631"/>
    </row>
    <row r="307" spans="1:56" s="39" customFormat="1" hidden="1" outlineLevel="1" x14ac:dyDescent="0.25">
      <c r="A307" s="75" t="s">
        <v>182</v>
      </c>
      <c r="B307" s="171"/>
      <c r="C307" s="723">
        <v>0</v>
      </c>
      <c r="D307" s="723">
        <v>2.0859999999999999</v>
      </c>
      <c r="E307" s="723">
        <v>1.829</v>
      </c>
      <c r="F307" s="723">
        <f>AR307</f>
        <v>5.2610000000000001</v>
      </c>
      <c r="G307" s="723">
        <v>-1.8979999999999999</v>
      </c>
      <c r="H307" s="723">
        <v>-2.4769999999999999</v>
      </c>
      <c r="I307" s="723">
        <v>-2.5760000000000001</v>
      </c>
      <c r="J307" s="723">
        <f>AS307</f>
        <v>-0.44</v>
      </c>
      <c r="K307" s="723">
        <v>-1.518</v>
      </c>
      <c r="L307" s="723">
        <v>-1.7789999999999999</v>
      </c>
      <c r="M307" s="723">
        <v>-1.865</v>
      </c>
      <c r="N307" s="723">
        <f>AT307</f>
        <v>-1.143</v>
      </c>
      <c r="O307" s="723">
        <v>-1.659</v>
      </c>
      <c r="P307" s="723">
        <v>-2.734</v>
      </c>
      <c r="Q307" s="723">
        <v>-1.651</v>
      </c>
      <c r="R307" s="723">
        <f>AU307</f>
        <v>1.3660000000000001</v>
      </c>
      <c r="S307" s="723">
        <v>-2.3130000000000002</v>
      </c>
      <c r="T307" s="723">
        <v>-2.2320000000000002</v>
      </c>
      <c r="U307" s="723">
        <v>-2.8130000000000002</v>
      </c>
      <c r="V307" s="723">
        <f t="shared" si="244"/>
        <v>-2.1379999999999999</v>
      </c>
      <c r="W307" s="723">
        <v>-0.26100000000000001</v>
      </c>
      <c r="X307" s="723">
        <v>-0.69499999999999995</v>
      </c>
      <c r="Y307" s="723">
        <v>0.72299999999999998</v>
      </c>
      <c r="Z307" s="723">
        <f t="shared" si="245"/>
        <v>-1.278</v>
      </c>
      <c r="AA307" s="723">
        <v>-0.70099999999999996</v>
      </c>
      <c r="AB307" s="723">
        <v>-1.5840000000000001</v>
      </c>
      <c r="AC307" s="723">
        <v>-1.329</v>
      </c>
      <c r="AD307" s="725">
        <f t="shared" si="246"/>
        <v>1.9319999999999999</v>
      </c>
      <c r="AE307" s="723">
        <v>-3.7010000000000001</v>
      </c>
      <c r="AF307" s="727"/>
      <c r="AG307" s="737"/>
      <c r="AH307" s="730">
        <f t="shared" si="247"/>
        <v>0</v>
      </c>
      <c r="AI307" s="737"/>
      <c r="AJ307" s="737"/>
      <c r="AK307" s="737"/>
      <c r="AL307" s="730">
        <f t="shared" si="248"/>
        <v>0</v>
      </c>
      <c r="AM307" s="730"/>
      <c r="AN307" s="722">
        <v>-0.59499999999999997</v>
      </c>
      <c r="AO307" s="722"/>
      <c r="AP307" s="722">
        <v>1.883</v>
      </c>
      <c r="AQ307" s="722">
        <v>-1.8879999999999999</v>
      </c>
      <c r="AR307" s="722">
        <v>5.2610000000000001</v>
      </c>
      <c r="AS307" s="722">
        <v>-0.44</v>
      </c>
      <c r="AT307" s="722">
        <v>-1.143</v>
      </c>
      <c r="AU307" s="722">
        <v>1.3660000000000001</v>
      </c>
      <c r="AV307" s="722">
        <v>-2.1379999999999999</v>
      </c>
      <c r="AW307" s="722">
        <v>-1.278</v>
      </c>
      <c r="AX307" s="927">
        <v>1.9319999999999999</v>
      </c>
      <c r="AY307" s="738"/>
      <c r="AZ307" s="738"/>
      <c r="BA307" s="738"/>
      <c r="BB307" s="738"/>
      <c r="BC307" s="738"/>
      <c r="BD307" s="631"/>
    </row>
    <row r="308" spans="1:56" s="39" customFormat="1" hidden="1" outlineLevel="1" x14ac:dyDescent="0.25">
      <c r="A308" s="75" t="s">
        <v>183</v>
      </c>
      <c r="B308" s="171"/>
      <c r="C308" s="723">
        <v>-0.45100000000000001</v>
      </c>
      <c r="D308" s="723">
        <v>-0.45100000000000001</v>
      </c>
      <c r="E308" s="723">
        <v>-0.93500000000000005</v>
      </c>
      <c r="F308" s="723">
        <f>AR308</f>
        <v>-1.7470000000000001</v>
      </c>
      <c r="G308" s="723">
        <v>-0.32</v>
      </c>
      <c r="H308" s="723">
        <v>-1.3879999999999999</v>
      </c>
      <c r="I308" s="723">
        <v>-3.0510000000000002</v>
      </c>
      <c r="J308" s="723">
        <f>AS308</f>
        <v>-66.64</v>
      </c>
      <c r="K308" s="723">
        <v>-0.36399999999999999</v>
      </c>
      <c r="L308" s="723">
        <v>-1.101</v>
      </c>
      <c r="M308" s="723">
        <v>-6.5350000000000001</v>
      </c>
      <c r="N308" s="723">
        <f>AT308</f>
        <v>-11.558999999999999</v>
      </c>
      <c r="O308" s="723">
        <v>-4.2910000000000004</v>
      </c>
      <c r="P308" s="723">
        <v>-7.8760000000000003</v>
      </c>
      <c r="Q308" s="723">
        <v>-7.9589999999999996</v>
      </c>
      <c r="R308" s="723">
        <f>AU308</f>
        <v>-8.7469999999999999</v>
      </c>
      <c r="S308" s="723">
        <v>-1.6739999999999999</v>
      </c>
      <c r="T308" s="723">
        <v>-2.419</v>
      </c>
      <c r="U308" s="723">
        <v>-2.419</v>
      </c>
      <c r="V308" s="723">
        <f t="shared" si="244"/>
        <v>-3.7730000000000001</v>
      </c>
      <c r="W308" s="723">
        <v>-7.79</v>
      </c>
      <c r="X308" s="723">
        <v>-7.8230000000000004</v>
      </c>
      <c r="Y308" s="723">
        <v>-8.4849999999999994</v>
      </c>
      <c r="Z308" s="723">
        <f t="shared" si="245"/>
        <v>-8.5220000000000002</v>
      </c>
      <c r="AA308" s="723"/>
      <c r="AB308" s="723"/>
      <c r="AC308" s="723"/>
      <c r="AD308" s="725">
        <f t="shared" si="246"/>
        <v>0</v>
      </c>
      <c r="AE308" s="723"/>
      <c r="AF308" s="727"/>
      <c r="AG308" s="737"/>
      <c r="AH308" s="730">
        <f t="shared" si="247"/>
        <v>0</v>
      </c>
      <c r="AI308" s="737"/>
      <c r="AJ308" s="737"/>
      <c r="AK308" s="737"/>
      <c r="AL308" s="730">
        <f t="shared" si="248"/>
        <v>0</v>
      </c>
      <c r="AM308" s="730"/>
      <c r="AN308" s="722">
        <v>-2.1659999999999999</v>
      </c>
      <c r="AO308" s="722">
        <v>-0.26600000000000001</v>
      </c>
      <c r="AP308" s="722">
        <v>-1.4139999999999999</v>
      </c>
      <c r="AQ308" s="722">
        <v>-3.4329999999999998</v>
      </c>
      <c r="AR308" s="722">
        <v>-1.7470000000000001</v>
      </c>
      <c r="AS308" s="722">
        <v>-66.64</v>
      </c>
      <c r="AT308" s="722">
        <v>-11.558999999999999</v>
      </c>
      <c r="AU308" s="722">
        <v>-8.7469999999999999</v>
      </c>
      <c r="AV308" s="722">
        <v>-3.7730000000000001</v>
      </c>
      <c r="AW308" s="722">
        <v>-8.5220000000000002</v>
      </c>
      <c r="AX308" s="927"/>
      <c r="AY308" s="738"/>
      <c r="AZ308" s="738"/>
      <c r="BA308" s="738"/>
      <c r="BB308" s="738"/>
      <c r="BC308" s="738"/>
      <c r="BD308" s="631"/>
    </row>
    <row r="309" spans="1:56" s="39" customFormat="1" hidden="1" outlineLevel="1" x14ac:dyDescent="0.25">
      <c r="A309" s="75" t="s">
        <v>184</v>
      </c>
      <c r="B309" s="171"/>
      <c r="C309" s="723"/>
      <c r="D309" s="723"/>
      <c r="E309" s="723"/>
      <c r="F309" s="723"/>
      <c r="G309" s="723"/>
      <c r="H309" s="723"/>
      <c r="I309" s="723"/>
      <c r="J309" s="723"/>
      <c r="K309" s="723"/>
      <c r="L309" s="723"/>
      <c r="M309" s="723"/>
      <c r="N309" s="723"/>
      <c r="O309" s="723"/>
      <c r="P309" s="723"/>
      <c r="Q309" s="723"/>
      <c r="R309" s="723"/>
      <c r="S309" s="723"/>
      <c r="T309" s="723">
        <v>-0.47399999999999998</v>
      </c>
      <c r="U309" s="723">
        <v>-0.47399999999999998</v>
      </c>
      <c r="V309" s="723">
        <f t="shared" si="244"/>
        <v>-0.47399999999999998</v>
      </c>
      <c r="W309" s="723"/>
      <c r="X309" s="723"/>
      <c r="Y309" s="723"/>
      <c r="Z309" s="723">
        <f t="shared" si="245"/>
        <v>0</v>
      </c>
      <c r="AA309" s="723"/>
      <c r="AB309" s="723"/>
      <c r="AC309" s="723"/>
      <c r="AD309" s="725">
        <f t="shared" si="246"/>
        <v>0</v>
      </c>
      <c r="AE309" s="723"/>
      <c r="AF309" s="727"/>
      <c r="AG309" s="737"/>
      <c r="AH309" s="730">
        <f t="shared" si="247"/>
        <v>0</v>
      </c>
      <c r="AI309" s="737"/>
      <c r="AJ309" s="737"/>
      <c r="AK309" s="737"/>
      <c r="AL309" s="730">
        <f t="shared" si="248"/>
        <v>0</v>
      </c>
      <c r="AM309" s="730"/>
      <c r="AN309" s="722"/>
      <c r="AO309" s="722"/>
      <c r="AP309" s="722"/>
      <c r="AQ309" s="722"/>
      <c r="AR309" s="722"/>
      <c r="AS309" s="722"/>
      <c r="AT309" s="722"/>
      <c r="AU309" s="722"/>
      <c r="AV309" s="722">
        <v>-0.47399999999999998</v>
      </c>
      <c r="AW309" s="722"/>
      <c r="AX309" s="927"/>
      <c r="AY309" s="738"/>
      <c r="AZ309" s="738"/>
      <c r="BA309" s="738"/>
      <c r="BB309" s="738"/>
      <c r="BC309" s="738"/>
      <c r="BD309" s="631"/>
    </row>
    <row r="310" spans="1:56" s="39" customFormat="1" hidden="1" outlineLevel="1" x14ac:dyDescent="0.25">
      <c r="A310" s="75" t="s">
        <v>185</v>
      </c>
      <c r="B310" s="171"/>
      <c r="C310" s="723"/>
      <c r="D310" s="723"/>
      <c r="E310" s="723"/>
      <c r="F310" s="723"/>
      <c r="G310" s="723"/>
      <c r="H310" s="723"/>
      <c r="I310" s="723"/>
      <c r="J310" s="723"/>
      <c r="K310" s="723"/>
      <c r="L310" s="723"/>
      <c r="M310" s="723"/>
      <c r="N310" s="723"/>
      <c r="O310" s="723"/>
      <c r="P310" s="723"/>
      <c r="Q310" s="723"/>
      <c r="R310" s="723"/>
      <c r="S310" s="723"/>
      <c r="T310" s="723"/>
      <c r="U310" s="723"/>
      <c r="V310" s="723">
        <f t="shared" si="244"/>
        <v>0</v>
      </c>
      <c r="W310" s="723"/>
      <c r="X310" s="723"/>
      <c r="Y310" s="723"/>
      <c r="Z310" s="723">
        <f t="shared" si="245"/>
        <v>0.54400000000000004</v>
      </c>
      <c r="AA310" s="723"/>
      <c r="AB310" s="723"/>
      <c r="AC310" s="723"/>
      <c r="AD310" s="725">
        <f t="shared" si="246"/>
        <v>0</v>
      </c>
      <c r="AE310" s="723"/>
      <c r="AF310" s="727"/>
      <c r="AG310" s="737"/>
      <c r="AH310" s="730">
        <f t="shared" si="247"/>
        <v>0</v>
      </c>
      <c r="AI310" s="737"/>
      <c r="AJ310" s="737"/>
      <c r="AK310" s="737"/>
      <c r="AL310" s="730">
        <f t="shared" si="248"/>
        <v>0</v>
      </c>
      <c r="AM310" s="730"/>
      <c r="AN310" s="722"/>
      <c r="AO310" s="722"/>
      <c r="AP310" s="722"/>
      <c r="AQ310" s="722"/>
      <c r="AR310" s="722"/>
      <c r="AS310" s="722"/>
      <c r="AT310" s="722"/>
      <c r="AU310" s="722"/>
      <c r="AV310" s="722"/>
      <c r="AW310" s="722">
        <v>0.54400000000000004</v>
      </c>
      <c r="AX310" s="927"/>
      <c r="AY310" s="738"/>
      <c r="AZ310" s="738"/>
      <c r="BA310" s="738"/>
      <c r="BB310" s="738"/>
      <c r="BC310" s="738"/>
      <c r="BD310" s="631"/>
    </row>
    <row r="311" spans="1:56" s="39" customFormat="1" hidden="1" outlineLevel="1" x14ac:dyDescent="0.25">
      <c r="A311" s="75" t="s">
        <v>186</v>
      </c>
      <c r="B311" s="171"/>
      <c r="C311" s="723"/>
      <c r="D311" s="723"/>
      <c r="E311" s="723"/>
      <c r="F311" s="723"/>
      <c r="G311" s="723"/>
      <c r="H311" s="723"/>
      <c r="I311" s="723"/>
      <c r="J311" s="723"/>
      <c r="K311" s="723"/>
      <c r="L311" s="723"/>
      <c r="M311" s="723"/>
      <c r="N311" s="723"/>
      <c r="O311" s="723"/>
      <c r="P311" s="723"/>
      <c r="Q311" s="723"/>
      <c r="R311" s="723"/>
      <c r="S311" s="723"/>
      <c r="T311" s="723"/>
      <c r="U311" s="723"/>
      <c r="V311" s="723">
        <f t="shared" si="244"/>
        <v>0</v>
      </c>
      <c r="W311" s="723"/>
      <c r="X311" s="723"/>
      <c r="Y311" s="723"/>
      <c r="Z311" s="723">
        <f t="shared" si="245"/>
        <v>-1.2310000000000001</v>
      </c>
      <c r="AA311" s="723"/>
      <c r="AB311" s="723"/>
      <c r="AC311" s="723"/>
      <c r="AD311" s="725">
        <f t="shared" si="246"/>
        <v>-0.30299999999999999</v>
      </c>
      <c r="AE311" s="723"/>
      <c r="AF311" s="727"/>
      <c r="AG311" s="737"/>
      <c r="AH311" s="730">
        <f t="shared" si="247"/>
        <v>0</v>
      </c>
      <c r="AI311" s="737"/>
      <c r="AJ311" s="737"/>
      <c r="AK311" s="737"/>
      <c r="AL311" s="730">
        <f t="shared" si="248"/>
        <v>0</v>
      </c>
      <c r="AM311" s="730"/>
      <c r="AN311" s="722"/>
      <c r="AO311" s="722"/>
      <c r="AP311" s="722"/>
      <c r="AQ311" s="722"/>
      <c r="AR311" s="722"/>
      <c r="AS311" s="722"/>
      <c r="AT311" s="722"/>
      <c r="AU311" s="722"/>
      <c r="AV311" s="722"/>
      <c r="AW311" s="722">
        <v>-1.2310000000000001</v>
      </c>
      <c r="AX311" s="927">
        <v>-0.30299999999999999</v>
      </c>
      <c r="AY311" s="738"/>
      <c r="AZ311" s="738"/>
      <c r="BA311" s="738"/>
      <c r="BB311" s="738"/>
      <c r="BC311" s="738"/>
      <c r="BD311" s="631"/>
    </row>
    <row r="312" spans="1:56" s="39" customFormat="1" hidden="1" outlineLevel="1" x14ac:dyDescent="0.25">
      <c r="A312" s="75" t="s">
        <v>187</v>
      </c>
      <c r="B312" s="171"/>
      <c r="C312" s="723"/>
      <c r="D312" s="723"/>
      <c r="E312" s="723">
        <v>-0.52300000000000002</v>
      </c>
      <c r="F312" s="723">
        <f>AR312</f>
        <v>-0.623</v>
      </c>
      <c r="G312" s="723"/>
      <c r="H312" s="723"/>
      <c r="I312" s="723">
        <v>-1.978</v>
      </c>
      <c r="J312" s="723">
        <f>AS312</f>
        <v>-3.407</v>
      </c>
      <c r="K312" s="723"/>
      <c r="L312" s="723"/>
      <c r="M312" s="723">
        <v>-0.65</v>
      </c>
      <c r="N312" s="723">
        <f>AT312</f>
        <v>-1.4510000000000001</v>
      </c>
      <c r="O312" s="723"/>
      <c r="P312" s="723">
        <v>0</v>
      </c>
      <c r="Q312" s="723">
        <v>-0.4</v>
      </c>
      <c r="R312" s="723">
        <f>AU312</f>
        <v>-0.77100000000000002</v>
      </c>
      <c r="S312" s="723"/>
      <c r="T312" s="723"/>
      <c r="U312" s="723">
        <v>-0.60399999999999998</v>
      </c>
      <c r="V312" s="723">
        <f t="shared" si="244"/>
        <v>-1.1679999999999999</v>
      </c>
      <c r="W312" s="723"/>
      <c r="X312" s="723"/>
      <c r="Y312" s="723">
        <v>-0.10299999999999999</v>
      </c>
      <c r="Z312" s="723">
        <f t="shared" si="245"/>
        <v>-0.41599999999999998</v>
      </c>
      <c r="AA312" s="723"/>
      <c r="AB312" s="723"/>
      <c r="AC312" s="723"/>
      <c r="AD312" s="725">
        <f t="shared" si="246"/>
        <v>-0.27800000000000002</v>
      </c>
      <c r="AE312" s="723"/>
      <c r="AF312" s="727"/>
      <c r="AG312" s="737"/>
      <c r="AH312" s="730">
        <f t="shared" si="247"/>
        <v>0</v>
      </c>
      <c r="AI312" s="737"/>
      <c r="AJ312" s="737"/>
      <c r="AK312" s="737"/>
      <c r="AL312" s="730">
        <f t="shared" si="248"/>
        <v>0</v>
      </c>
      <c r="AM312" s="730"/>
      <c r="AN312" s="722"/>
      <c r="AO312" s="722"/>
      <c r="AP312" s="722">
        <v>-0.33700000000000002</v>
      </c>
      <c r="AQ312" s="722">
        <v>-2.75</v>
      </c>
      <c r="AR312" s="722">
        <v>-0.623</v>
      </c>
      <c r="AS312" s="722">
        <v>-3.407</v>
      </c>
      <c r="AT312" s="722">
        <v>-1.4510000000000001</v>
      </c>
      <c r="AU312" s="722">
        <v>-0.77100000000000002</v>
      </c>
      <c r="AV312" s="722">
        <v>-1.1679999999999999</v>
      </c>
      <c r="AW312" s="722">
        <v>-0.41599999999999998</v>
      </c>
      <c r="AX312" s="927">
        <v>-0.27800000000000002</v>
      </c>
      <c r="AY312" s="738"/>
      <c r="AZ312" s="738"/>
      <c r="BA312" s="738"/>
      <c r="BB312" s="738"/>
      <c r="BC312" s="738"/>
      <c r="BD312" s="631"/>
    </row>
    <row r="313" spans="1:56" s="39" customFormat="1" hidden="1" outlineLevel="1" x14ac:dyDescent="0.25">
      <c r="A313" s="75" t="s">
        <v>188</v>
      </c>
      <c r="B313" s="171"/>
      <c r="C313" s="723"/>
      <c r="D313" s="723"/>
      <c r="E313" s="723">
        <v>0.249</v>
      </c>
      <c r="F313" s="723">
        <f>AR313</f>
        <v>0.35899999999999999</v>
      </c>
      <c r="G313" s="723"/>
      <c r="H313" s="723"/>
      <c r="I313" s="723">
        <v>1.5389999999999999</v>
      </c>
      <c r="J313" s="723">
        <f>AS313</f>
        <v>2.5059999999999998</v>
      </c>
      <c r="K313" s="723"/>
      <c r="L313" s="723"/>
      <c r="M313" s="723">
        <v>0.435</v>
      </c>
      <c r="N313" s="723">
        <f>AT313</f>
        <v>0.83499999999999996</v>
      </c>
      <c r="O313" s="723"/>
      <c r="P313" s="723">
        <v>0</v>
      </c>
      <c r="Q313" s="723">
        <v>0.13300000000000001</v>
      </c>
      <c r="R313" s="723">
        <f>AU313</f>
        <v>0.13700000000000001</v>
      </c>
      <c r="S313" s="723"/>
      <c r="T313" s="723"/>
      <c r="U313" s="723"/>
      <c r="V313" s="723">
        <f t="shared" si="244"/>
        <v>0</v>
      </c>
      <c r="W313" s="723"/>
      <c r="X313" s="723"/>
      <c r="Y313" s="723"/>
      <c r="Z313" s="723">
        <f t="shared" si="245"/>
        <v>0</v>
      </c>
      <c r="AA313" s="723"/>
      <c r="AB313" s="723"/>
      <c r="AC313" s="723"/>
      <c r="AD313" s="725">
        <f t="shared" si="246"/>
        <v>0</v>
      </c>
      <c r="AE313" s="723"/>
      <c r="AF313" s="727"/>
      <c r="AG313" s="737"/>
      <c r="AH313" s="730">
        <f t="shared" si="247"/>
        <v>0</v>
      </c>
      <c r="AI313" s="737"/>
      <c r="AJ313" s="737"/>
      <c r="AK313" s="737"/>
      <c r="AL313" s="730">
        <f t="shared" si="248"/>
        <v>0</v>
      </c>
      <c r="AM313" s="730"/>
      <c r="AN313" s="722"/>
      <c r="AO313" s="722">
        <v>0.129</v>
      </c>
      <c r="AP313" s="722">
        <v>0.13100000000000001</v>
      </c>
      <c r="AQ313" s="722">
        <v>2.0339999999999998</v>
      </c>
      <c r="AR313" s="722">
        <v>0.35899999999999999</v>
      </c>
      <c r="AS313" s="722">
        <v>2.5059999999999998</v>
      </c>
      <c r="AT313" s="722">
        <v>0.83499999999999996</v>
      </c>
      <c r="AU313" s="722">
        <v>0.13700000000000001</v>
      </c>
      <c r="AV313" s="722"/>
      <c r="AW313" s="722"/>
      <c r="AX313" s="927"/>
      <c r="AY313" s="738"/>
      <c r="AZ313" s="738"/>
      <c r="BA313" s="738"/>
      <c r="BB313" s="738"/>
      <c r="BC313" s="738"/>
      <c r="BD313" s="631"/>
    </row>
    <row r="314" spans="1:56" s="39" customFormat="1" hidden="1" outlineLevel="1" x14ac:dyDescent="0.25">
      <c r="A314" s="75" t="s">
        <v>189</v>
      </c>
      <c r="B314" s="171"/>
      <c r="C314" s="723"/>
      <c r="D314" s="723"/>
      <c r="E314" s="723">
        <v>6.2E-2</v>
      </c>
      <c r="F314" s="723">
        <f>AR314</f>
        <v>6.3E-2</v>
      </c>
      <c r="G314" s="723"/>
      <c r="H314" s="723"/>
      <c r="I314" s="723">
        <v>8.1000000000000003E-2</v>
      </c>
      <c r="J314" s="723">
        <f>AS314</f>
        <v>0.10199999999999999</v>
      </c>
      <c r="K314" s="723"/>
      <c r="L314" s="723"/>
      <c r="M314" s="723">
        <v>0.115</v>
      </c>
      <c r="N314" s="723">
        <f>AT314</f>
        <v>0.14799999999999999</v>
      </c>
      <c r="O314" s="723"/>
      <c r="P314" s="723">
        <v>0</v>
      </c>
      <c r="Q314" s="723"/>
      <c r="R314" s="723">
        <f>AU314</f>
        <v>0.14499999999999999</v>
      </c>
      <c r="S314" s="723"/>
      <c r="T314" s="723"/>
      <c r="U314" s="723"/>
      <c r="V314" s="723">
        <f t="shared" si="244"/>
        <v>0</v>
      </c>
      <c r="W314" s="723"/>
      <c r="X314" s="723"/>
      <c r="Y314" s="723"/>
      <c r="Z314" s="723">
        <f t="shared" si="245"/>
        <v>0</v>
      </c>
      <c r="AA314" s="723"/>
      <c r="AB314" s="723"/>
      <c r="AC314" s="723"/>
      <c r="AD314" s="725">
        <f t="shared" si="246"/>
        <v>0</v>
      </c>
      <c r="AE314" s="723"/>
      <c r="AF314" s="727"/>
      <c r="AG314" s="737"/>
      <c r="AH314" s="730">
        <f t="shared" si="247"/>
        <v>0</v>
      </c>
      <c r="AI314" s="737"/>
      <c r="AJ314" s="737"/>
      <c r="AK314" s="737"/>
      <c r="AL314" s="730">
        <f t="shared" si="248"/>
        <v>0</v>
      </c>
      <c r="AM314" s="730"/>
      <c r="AN314" s="722">
        <v>5.0999999999999997E-2</v>
      </c>
      <c r="AO314" s="722">
        <v>3.9E-2</v>
      </c>
      <c r="AP314" s="722">
        <v>0.35499999999999998</v>
      </c>
      <c r="AQ314" s="722">
        <v>0.28399999999999997</v>
      </c>
      <c r="AR314" s="722">
        <v>6.3E-2</v>
      </c>
      <c r="AS314" s="722">
        <v>0.10199999999999999</v>
      </c>
      <c r="AT314" s="722">
        <v>0.14799999999999999</v>
      </c>
      <c r="AU314" s="722">
        <v>0.14499999999999999</v>
      </c>
      <c r="AV314" s="722"/>
      <c r="AW314" s="722"/>
      <c r="AX314" s="927"/>
      <c r="AY314" s="738"/>
      <c r="AZ314" s="738"/>
      <c r="BA314" s="738"/>
      <c r="BB314" s="738"/>
      <c r="BC314" s="738"/>
      <c r="BD314" s="631"/>
    </row>
    <row r="315" spans="1:56" s="39" customFormat="1" hidden="1" outlineLevel="1" x14ac:dyDescent="0.25">
      <c r="A315" s="75" t="s">
        <v>190</v>
      </c>
      <c r="B315" s="171"/>
      <c r="C315" s="723">
        <v>-4.0000000000000001E-3</v>
      </c>
      <c r="D315" s="723">
        <v>-1E-3</v>
      </c>
      <c r="E315" s="723">
        <v>-3.0000000000000001E-3</v>
      </c>
      <c r="F315" s="723">
        <f>AR315</f>
        <v>-6.0000000000000001E-3</v>
      </c>
      <c r="G315" s="723">
        <v>4.4999999999999998E-2</v>
      </c>
      <c r="H315" s="723">
        <v>7.4999999999999997E-2</v>
      </c>
      <c r="I315" s="723">
        <v>-4.0000000000000001E-3</v>
      </c>
      <c r="J315" s="723">
        <f>AS315</f>
        <v>-5.0000000000000001E-3</v>
      </c>
      <c r="K315" s="723">
        <v>2.5000000000000001E-2</v>
      </c>
      <c r="L315" s="723">
        <v>0.14099999999999999</v>
      </c>
      <c r="M315" s="723">
        <v>-0.01</v>
      </c>
      <c r="N315" s="723">
        <f>AT315</f>
        <v>-0.01</v>
      </c>
      <c r="O315" s="723">
        <v>0</v>
      </c>
      <c r="P315" s="723">
        <v>2.5999999999999999E-2</v>
      </c>
      <c r="Q315" s="723">
        <v>4.2000000000000003E-2</v>
      </c>
      <c r="R315" s="723">
        <f>AU315</f>
        <v>-9.7000000000000003E-2</v>
      </c>
      <c r="S315" s="723">
        <v>-0.13400000000000001</v>
      </c>
      <c r="T315" s="723">
        <v>-0.13100000000000001</v>
      </c>
      <c r="U315" s="723">
        <v>0.12</v>
      </c>
      <c r="V315" s="723">
        <f t="shared" si="244"/>
        <v>0.12</v>
      </c>
      <c r="W315" s="723">
        <v>-0.05</v>
      </c>
      <c r="X315" s="723">
        <v>-0.08</v>
      </c>
      <c r="Y315" s="723">
        <v>-2.4E-2</v>
      </c>
      <c r="Z315" s="723">
        <f t="shared" si="245"/>
        <v>0.01</v>
      </c>
      <c r="AA315" s="723">
        <v>-2.7E-2</v>
      </c>
      <c r="AB315" s="723">
        <v>-0.40200000000000002</v>
      </c>
      <c r="AC315" s="723">
        <v>-0.42099999999999999</v>
      </c>
      <c r="AD315" s="725">
        <f t="shared" si="246"/>
        <v>0</v>
      </c>
      <c r="AE315" s="723">
        <v>-8.0000000000000002E-3</v>
      </c>
      <c r="AF315" s="727"/>
      <c r="AG315" s="737"/>
      <c r="AH315" s="730">
        <f t="shared" si="247"/>
        <v>0</v>
      </c>
      <c r="AI315" s="737"/>
      <c r="AJ315" s="737"/>
      <c r="AK315" s="737"/>
      <c r="AL315" s="730">
        <f t="shared" si="248"/>
        <v>0</v>
      </c>
      <c r="AM315" s="730"/>
      <c r="AN315" s="722">
        <v>-0.40799999999999997</v>
      </c>
      <c r="AO315" s="722">
        <v>-0.502</v>
      </c>
      <c r="AP315" s="722">
        <v>-8.0000000000000002E-3</v>
      </c>
      <c r="AQ315" s="722">
        <v>-0.126</v>
      </c>
      <c r="AR315" s="722">
        <v>-6.0000000000000001E-3</v>
      </c>
      <c r="AS315" s="722">
        <v>-5.0000000000000001E-3</v>
      </c>
      <c r="AT315" s="722">
        <v>-0.01</v>
      </c>
      <c r="AU315" s="722">
        <v>-9.7000000000000003E-2</v>
      </c>
      <c r="AV315" s="722">
        <v>0.12</v>
      </c>
      <c r="AW315" s="722">
        <v>0.01</v>
      </c>
      <c r="AX315" s="927"/>
      <c r="AY315" s="738"/>
      <c r="AZ315" s="738"/>
      <c r="BA315" s="738"/>
      <c r="BB315" s="738"/>
      <c r="BC315" s="738"/>
      <c r="BD315" s="631"/>
    </row>
    <row r="316" spans="1:56" s="39" customFormat="1" hidden="1" outlineLevel="1" x14ac:dyDescent="0.25">
      <c r="A316" s="75" t="s">
        <v>191</v>
      </c>
      <c r="B316" s="171"/>
      <c r="C316" s="723"/>
      <c r="D316" s="723"/>
      <c r="E316" s="723"/>
      <c r="F316" s="723">
        <f>AR316</f>
        <v>0</v>
      </c>
      <c r="G316" s="723"/>
      <c r="H316" s="723"/>
      <c r="I316" s="723"/>
      <c r="J316" s="723">
        <f>AS316</f>
        <v>0</v>
      </c>
      <c r="K316" s="723"/>
      <c r="L316" s="723"/>
      <c r="M316" s="723"/>
      <c r="N316" s="723">
        <f>AT316</f>
        <v>0</v>
      </c>
      <c r="O316" s="723"/>
      <c r="P316" s="732">
        <v>0</v>
      </c>
      <c r="Q316" s="732"/>
      <c r="R316" s="723">
        <f>AU316</f>
        <v>0</v>
      </c>
      <c r="S316" s="723"/>
      <c r="T316" s="732"/>
      <c r="U316" s="732"/>
      <c r="V316" s="723">
        <f t="shared" si="244"/>
        <v>0</v>
      </c>
      <c r="W316" s="723"/>
      <c r="X316" s="732"/>
      <c r="Y316" s="732"/>
      <c r="Z316" s="723">
        <f t="shared" si="245"/>
        <v>0</v>
      </c>
      <c r="AA316" s="723"/>
      <c r="AB316" s="732"/>
      <c r="AC316" s="723"/>
      <c r="AD316" s="725">
        <f t="shared" si="246"/>
        <v>0</v>
      </c>
      <c r="AE316" s="723"/>
      <c r="AF316" s="727"/>
      <c r="AG316" s="737"/>
      <c r="AH316" s="730">
        <f t="shared" si="247"/>
        <v>0</v>
      </c>
      <c r="AI316" s="737"/>
      <c r="AJ316" s="737"/>
      <c r="AK316" s="737"/>
      <c r="AL316" s="730">
        <f t="shared" si="248"/>
        <v>0</v>
      </c>
      <c r="AM316" s="730"/>
      <c r="AN316" s="722"/>
      <c r="AO316" s="722"/>
      <c r="AP316" s="722"/>
      <c r="AQ316" s="722"/>
      <c r="AR316" s="722"/>
      <c r="AS316" s="722"/>
      <c r="AT316" s="722"/>
      <c r="AU316" s="722"/>
      <c r="AV316" s="722"/>
      <c r="AW316" s="722"/>
      <c r="AX316" s="927"/>
      <c r="AY316" s="738"/>
      <c r="AZ316" s="738"/>
      <c r="BA316" s="738"/>
      <c r="BB316" s="738"/>
      <c r="BC316" s="738"/>
      <c r="BD316" s="631"/>
    </row>
    <row r="317" spans="1:56" s="38" customFormat="1" hidden="1" outlineLevel="1" x14ac:dyDescent="0.25">
      <c r="A317" s="40" t="s">
        <v>192</v>
      </c>
      <c r="B317" s="117"/>
      <c r="C317" s="745">
        <f t="shared" ref="C317:AL317" si="249">SUM(C302:C316)</f>
        <v>-1.0569999999999999</v>
      </c>
      <c r="D317" s="745">
        <f t="shared" si="249"/>
        <v>7.8019999999999996</v>
      </c>
      <c r="E317" s="745">
        <f t="shared" si="249"/>
        <v>4.4730000000000008</v>
      </c>
      <c r="F317" s="745">
        <f t="shared" si="249"/>
        <v>2.6880000000000006</v>
      </c>
      <c r="G317" s="745">
        <f t="shared" si="249"/>
        <v>-0.1409999999999999</v>
      </c>
      <c r="H317" s="745">
        <f t="shared" si="249"/>
        <v>12.597</v>
      </c>
      <c r="I317" s="745">
        <f t="shared" si="249"/>
        <v>-2.4930000000000003</v>
      </c>
      <c r="J317" s="745">
        <f t="shared" si="249"/>
        <v>-10.691999999999998</v>
      </c>
      <c r="K317" s="745">
        <f t="shared" si="249"/>
        <v>-4.4550000000000001</v>
      </c>
      <c r="L317" s="745">
        <f t="shared" si="249"/>
        <v>-3.6900000000000004</v>
      </c>
      <c r="M317" s="745">
        <f t="shared" si="249"/>
        <v>-8.6859999999999999</v>
      </c>
      <c r="N317" s="745">
        <f t="shared" si="249"/>
        <v>-15.511999999999999</v>
      </c>
      <c r="O317" s="745">
        <f t="shared" si="249"/>
        <v>-10.275</v>
      </c>
      <c r="P317" s="745">
        <f t="shared" si="249"/>
        <v>-10.75</v>
      </c>
      <c r="Q317" s="755">
        <f t="shared" si="249"/>
        <v>-11.154999999999999</v>
      </c>
      <c r="R317" s="745">
        <f t="shared" si="249"/>
        <v>-10.781999999999998</v>
      </c>
      <c r="S317" s="745">
        <f t="shared" si="249"/>
        <v>-1.3009999999999997</v>
      </c>
      <c r="T317" s="745">
        <f t="shared" si="249"/>
        <v>-4.5289999999999999</v>
      </c>
      <c r="U317" s="755">
        <f t="shared" si="249"/>
        <v>-6.4079999999999995</v>
      </c>
      <c r="V317" s="745">
        <f t="shared" si="249"/>
        <v>-4.2259999999999991</v>
      </c>
      <c r="W317" s="745">
        <f t="shared" si="249"/>
        <v>-5.0789999999999997</v>
      </c>
      <c r="X317" s="745">
        <f t="shared" si="249"/>
        <v>27.599000000000004</v>
      </c>
      <c r="Y317" s="755">
        <f t="shared" si="249"/>
        <v>32.520999999999994</v>
      </c>
      <c r="Z317" s="745">
        <f t="shared" si="249"/>
        <v>40.03</v>
      </c>
      <c r="AA317" s="747">
        <f t="shared" si="249"/>
        <v>-0.69000000000000328</v>
      </c>
      <c r="AB317" s="745">
        <f t="shared" si="249"/>
        <v>1.1639999999999913</v>
      </c>
      <c r="AC317" s="747">
        <f t="shared" si="249"/>
        <v>-5.1000000000000085</v>
      </c>
      <c r="AD317" s="747">
        <f t="shared" si="249"/>
        <v>-32.278999999999996</v>
      </c>
      <c r="AE317" s="747">
        <f t="shared" si="249"/>
        <v>-11.742000000000001</v>
      </c>
      <c r="AF317" s="772">
        <f t="shared" si="249"/>
        <v>0</v>
      </c>
      <c r="AG317" s="747">
        <f t="shared" si="249"/>
        <v>0</v>
      </c>
      <c r="AH317" s="747">
        <f t="shared" si="249"/>
        <v>0</v>
      </c>
      <c r="AI317" s="747">
        <f t="shared" si="249"/>
        <v>0</v>
      </c>
      <c r="AJ317" s="747">
        <f t="shared" si="249"/>
        <v>0</v>
      </c>
      <c r="AK317" s="747">
        <f t="shared" si="249"/>
        <v>0</v>
      </c>
      <c r="AL317" s="747">
        <f t="shared" si="249"/>
        <v>0</v>
      </c>
      <c r="AM317" s="747"/>
      <c r="AN317" s="744">
        <f t="shared" ref="AN317:BC317" si="250">SUM(AN302:AN316)</f>
        <v>13.229000000000001</v>
      </c>
      <c r="AO317" s="744">
        <f t="shared" si="250"/>
        <v>-1.375</v>
      </c>
      <c r="AP317" s="744">
        <f t="shared" si="250"/>
        <v>-0.62799999999999989</v>
      </c>
      <c r="AQ317" s="744">
        <f t="shared" si="250"/>
        <v>-7.1420000000000003</v>
      </c>
      <c r="AR317" s="744">
        <f t="shared" si="250"/>
        <v>2.6880000000000006</v>
      </c>
      <c r="AS317" s="744">
        <f t="shared" si="250"/>
        <v>-10.691999999999998</v>
      </c>
      <c r="AT317" s="744">
        <f t="shared" si="250"/>
        <v>-15.511999999999999</v>
      </c>
      <c r="AU317" s="744">
        <f t="shared" si="250"/>
        <v>-10.781999999999998</v>
      </c>
      <c r="AV317" s="744">
        <f t="shared" si="250"/>
        <v>-4.2259999999999991</v>
      </c>
      <c r="AW317" s="744">
        <f t="shared" si="250"/>
        <v>40.03</v>
      </c>
      <c r="AX317" s="960">
        <f t="shared" si="250"/>
        <v>-32.278999999999996</v>
      </c>
      <c r="AY317" s="748">
        <f t="shared" si="250"/>
        <v>0</v>
      </c>
      <c r="AZ317" s="748">
        <f t="shared" si="250"/>
        <v>0</v>
      </c>
      <c r="BA317" s="748">
        <f t="shared" si="250"/>
        <v>0</v>
      </c>
      <c r="BB317" s="748">
        <f t="shared" si="250"/>
        <v>0</v>
      </c>
      <c r="BC317" s="748">
        <f t="shared" si="250"/>
        <v>0</v>
      </c>
      <c r="BD317" s="632"/>
    </row>
    <row r="318" spans="1:56" s="38" customFormat="1" hidden="1" outlineLevel="1" x14ac:dyDescent="0.25">
      <c r="A318" s="162"/>
      <c r="B318" s="187"/>
      <c r="C318" s="740"/>
      <c r="D318" s="740"/>
      <c r="E318" s="740"/>
      <c r="F318" s="740"/>
      <c r="G318" s="740"/>
      <c r="H318" s="740"/>
      <c r="I318" s="740"/>
      <c r="J318" s="740"/>
      <c r="K318" s="740"/>
      <c r="L318" s="740"/>
      <c r="M318" s="740"/>
      <c r="N318" s="740"/>
      <c r="O318" s="740"/>
      <c r="P318" s="740"/>
      <c r="Q318" s="754"/>
      <c r="R318" s="740"/>
      <c r="S318" s="740"/>
      <c r="T318" s="740"/>
      <c r="U318" s="754"/>
      <c r="V318" s="740"/>
      <c r="W318" s="740"/>
      <c r="X318" s="740"/>
      <c r="Y318" s="754"/>
      <c r="Z318" s="740"/>
      <c r="AA318" s="740"/>
      <c r="AB318" s="740"/>
      <c r="AC318" s="740"/>
      <c r="AD318" s="740"/>
      <c r="AE318" s="740"/>
      <c r="AF318" s="741"/>
      <c r="AG318" s="742"/>
      <c r="AH318" s="742"/>
      <c r="AI318" s="742"/>
      <c r="AJ318" s="742"/>
      <c r="AK318" s="742"/>
      <c r="AL318" s="742"/>
      <c r="AM318" s="742"/>
      <c r="AN318" s="739"/>
      <c r="AO318" s="739"/>
      <c r="AP318" s="739"/>
      <c r="AQ318" s="739"/>
      <c r="AR318" s="739"/>
      <c r="AS318" s="739"/>
      <c r="AT318" s="739"/>
      <c r="AU318" s="739"/>
      <c r="AV318" s="739"/>
      <c r="AW318" s="739"/>
      <c r="AX318" s="934"/>
      <c r="AY318" s="743"/>
      <c r="AZ318" s="743"/>
      <c r="BA318" s="743"/>
      <c r="BB318" s="743"/>
      <c r="BC318" s="743"/>
      <c r="BD318" s="632"/>
    </row>
    <row r="319" spans="1:56" s="38" customFormat="1" hidden="1" outlineLevel="1" x14ac:dyDescent="0.25">
      <c r="A319" s="162" t="s">
        <v>193</v>
      </c>
      <c r="B319" s="187"/>
      <c r="C319" s="740">
        <v>-0.14299999999999999</v>
      </c>
      <c r="D319" s="740">
        <v>-0.16500000000000001</v>
      </c>
      <c r="E319" s="740">
        <v>2.1999999999999999E-2</v>
      </c>
      <c r="F319" s="740">
        <f>AR319</f>
        <v>-0.83599999999999997</v>
      </c>
      <c r="G319" s="740">
        <v>-8.4000000000000005E-2</v>
      </c>
      <c r="H319" s="740">
        <v>-0.191</v>
      </c>
      <c r="I319" s="740">
        <v>3.5000000000000003E-2</v>
      </c>
      <c r="J319" s="740">
        <f>AS319</f>
        <v>-0.23100000000000001</v>
      </c>
      <c r="K319" s="740">
        <v>-0.54800000000000004</v>
      </c>
      <c r="L319" s="740">
        <v>-0.113</v>
      </c>
      <c r="M319" s="740">
        <v>-6.0000000000000001E-3</v>
      </c>
      <c r="N319" s="740">
        <f>AT319</f>
        <v>-1.3819999999999999</v>
      </c>
      <c r="O319" s="740">
        <v>4.3999999999999997E-2</v>
      </c>
      <c r="P319" s="740">
        <v>-0.56299999999999994</v>
      </c>
      <c r="Q319" s="754">
        <v>-0.69599999999999995</v>
      </c>
      <c r="R319" s="740">
        <f>AU319</f>
        <v>-1.2569999999999999</v>
      </c>
      <c r="S319" s="740">
        <v>0.35099999999999998</v>
      </c>
      <c r="T319" s="740">
        <v>1.1359999999999999</v>
      </c>
      <c r="U319" s="754">
        <v>1.325</v>
      </c>
      <c r="V319" s="740">
        <f>AV319</f>
        <v>0.68500000000000005</v>
      </c>
      <c r="W319" s="740">
        <v>0.21</v>
      </c>
      <c r="X319" s="740">
        <v>-0.68</v>
      </c>
      <c r="Y319" s="754">
        <v>-0.95199999999999996</v>
      </c>
      <c r="Z319" s="740">
        <f>AW319</f>
        <v>0.31900000000000001</v>
      </c>
      <c r="AA319" s="740">
        <v>-0.92700000000000005</v>
      </c>
      <c r="AB319" s="740">
        <v>-0.91300000000000003</v>
      </c>
      <c r="AC319" s="740">
        <v>-1.8129999999999999</v>
      </c>
      <c r="AD319" s="757">
        <f>AX319</f>
        <v>-2.33</v>
      </c>
      <c r="AE319" s="740">
        <v>-7.5999999999999998E-2</v>
      </c>
      <c r="AF319" s="741"/>
      <c r="AG319" s="742"/>
      <c r="AH319" s="759">
        <f>AY319</f>
        <v>0</v>
      </c>
      <c r="AI319" s="742"/>
      <c r="AJ319" s="742"/>
      <c r="AK319" s="742"/>
      <c r="AL319" s="759">
        <f>AZ319</f>
        <v>0</v>
      </c>
      <c r="AM319" s="759"/>
      <c r="AN319" s="739">
        <v>0.248</v>
      </c>
      <c r="AO319" s="739">
        <v>-6.9000000000000006E-2</v>
      </c>
      <c r="AP319" s="739">
        <v>-0.113</v>
      </c>
      <c r="AQ319" s="739">
        <v>0.16</v>
      </c>
      <c r="AR319" s="739">
        <v>-0.83599999999999997</v>
      </c>
      <c r="AS319" s="739">
        <v>-0.23100000000000001</v>
      </c>
      <c r="AT319" s="739">
        <v>-1.3819999999999999</v>
      </c>
      <c r="AU319" s="739">
        <v>-1.2569999999999999</v>
      </c>
      <c r="AV319" s="739">
        <v>0.68500000000000005</v>
      </c>
      <c r="AW319" s="739">
        <v>0.31900000000000001</v>
      </c>
      <c r="AX319" s="934">
        <v>-2.33</v>
      </c>
      <c r="AY319" s="743"/>
      <c r="AZ319" s="743"/>
      <c r="BA319" s="743"/>
      <c r="BB319" s="743"/>
      <c r="BC319" s="743"/>
      <c r="BD319" s="632"/>
    </row>
    <row r="320" spans="1:56" s="38" customFormat="1" hidden="1" outlineLevel="1" x14ac:dyDescent="0.25">
      <c r="A320" s="162" t="s">
        <v>194</v>
      </c>
      <c r="B320" s="187"/>
      <c r="C320" s="740">
        <f t="shared" ref="C320:AE320" si="251">C317+C299+C288+C319</f>
        <v>3.2860000000000009</v>
      </c>
      <c r="D320" s="740">
        <f t="shared" si="251"/>
        <v>-2.5689999999999964</v>
      </c>
      <c r="E320" s="740">
        <f t="shared" si="251"/>
        <v>-3.3879999999999968</v>
      </c>
      <c r="F320" s="740">
        <f t="shared" si="251"/>
        <v>-2.113999999999995</v>
      </c>
      <c r="G320" s="740">
        <f t="shared" si="251"/>
        <v>-0.41999999999999854</v>
      </c>
      <c r="H320" s="740">
        <f t="shared" si="251"/>
        <v>0.37899999999999673</v>
      </c>
      <c r="I320" s="740">
        <f t="shared" si="251"/>
        <v>3.4710000000000054</v>
      </c>
      <c r="J320" s="740">
        <f t="shared" si="251"/>
        <v>8.8940000000000001</v>
      </c>
      <c r="K320" s="740">
        <f t="shared" si="251"/>
        <v>-2.4059999999999988</v>
      </c>
      <c r="L320" s="740">
        <f t="shared" si="251"/>
        <v>-2.200999999999997</v>
      </c>
      <c r="M320" s="740">
        <f t="shared" si="251"/>
        <v>-0.90999999999999637</v>
      </c>
      <c r="N320" s="740">
        <f t="shared" si="251"/>
        <v>6.488999999999999</v>
      </c>
      <c r="O320" s="740">
        <f t="shared" si="251"/>
        <v>-4.5600000000000032</v>
      </c>
      <c r="P320" s="740">
        <f t="shared" si="251"/>
        <v>-6.169999999999999</v>
      </c>
      <c r="Q320" s="754">
        <f t="shared" si="251"/>
        <v>-5.3349999999999973</v>
      </c>
      <c r="R320" s="740">
        <f t="shared" si="251"/>
        <v>-4.6839999999999957</v>
      </c>
      <c r="S320" s="740">
        <f t="shared" si="251"/>
        <v>-0.89399999999999746</v>
      </c>
      <c r="T320" s="740">
        <f t="shared" si="251"/>
        <v>7.3679999999999994</v>
      </c>
      <c r="U320" s="754">
        <f t="shared" si="251"/>
        <v>1.6740000000000002</v>
      </c>
      <c r="V320" s="740">
        <f t="shared" si="251"/>
        <v>7.2659999999999965</v>
      </c>
      <c r="W320" s="740">
        <f t="shared" si="251"/>
        <v>-6.6669999999999972</v>
      </c>
      <c r="X320" s="740">
        <f t="shared" si="251"/>
        <v>-9.4780000000000033</v>
      </c>
      <c r="Y320" s="754">
        <f t="shared" si="251"/>
        <v>-13.289000000000007</v>
      </c>
      <c r="Z320" s="740">
        <f t="shared" si="251"/>
        <v>-10.194999999999997</v>
      </c>
      <c r="AA320" s="757">
        <f t="shared" si="251"/>
        <v>-4.990000000000002</v>
      </c>
      <c r="AB320" s="740">
        <f t="shared" si="251"/>
        <v>-7.3060000000000089</v>
      </c>
      <c r="AC320" s="757">
        <f t="shared" si="251"/>
        <v>-5.6780000000000088</v>
      </c>
      <c r="AD320" s="757">
        <f t="shared" si="251"/>
        <v>-5.2579999999999973</v>
      </c>
      <c r="AE320" s="757">
        <f t="shared" si="251"/>
        <v>0.86600000000000021</v>
      </c>
      <c r="AF320" s="758">
        <f>$AF$323-$AF$322</f>
        <v>3.9379999999999775</v>
      </c>
      <c r="AG320" s="759">
        <f t="shared" ref="AG320:AL320" si="252">AG317+AG299+AG288+AG319</f>
        <v>0</v>
      </c>
      <c r="AH320" s="759">
        <f t="shared" si="252"/>
        <v>0</v>
      </c>
      <c r="AI320" s="759">
        <f t="shared" si="252"/>
        <v>0</v>
      </c>
      <c r="AJ320" s="759">
        <f t="shared" si="252"/>
        <v>0</v>
      </c>
      <c r="AK320" s="759">
        <f t="shared" si="252"/>
        <v>0</v>
      </c>
      <c r="AL320" s="759">
        <f t="shared" si="252"/>
        <v>0</v>
      </c>
      <c r="AM320" s="759"/>
      <c r="AN320" s="739">
        <f t="shared" ref="AN320:BC320" si="253">AN317+AN299+AN288+AN319</f>
        <v>6.8420000000000067</v>
      </c>
      <c r="AO320" s="739">
        <f t="shared" si="253"/>
        <v>18.099</v>
      </c>
      <c r="AP320" s="739">
        <f t="shared" si="253"/>
        <v>-24.750999999999998</v>
      </c>
      <c r="AQ320" s="739">
        <f t="shared" si="253"/>
        <v>3.610000000000003</v>
      </c>
      <c r="AR320" s="739">
        <f t="shared" si="253"/>
        <v>-2.113999999999995</v>
      </c>
      <c r="AS320" s="739">
        <f t="shared" si="253"/>
        <v>8.8940000000000001</v>
      </c>
      <c r="AT320" s="739">
        <f t="shared" si="253"/>
        <v>6.488999999999999</v>
      </c>
      <c r="AU320" s="739">
        <f t="shared" si="253"/>
        <v>-4.6839999999999957</v>
      </c>
      <c r="AV320" s="739">
        <f t="shared" si="253"/>
        <v>7.2659999999999965</v>
      </c>
      <c r="AW320" s="739">
        <f t="shared" si="253"/>
        <v>-10.194999999999997</v>
      </c>
      <c r="AX320" s="947">
        <f t="shared" si="253"/>
        <v>-5.2579999999999973</v>
      </c>
      <c r="AY320" s="760">
        <f t="shared" si="253"/>
        <v>0</v>
      </c>
      <c r="AZ320" s="760">
        <f t="shared" si="253"/>
        <v>0</v>
      </c>
      <c r="BA320" s="760">
        <f t="shared" si="253"/>
        <v>0</v>
      </c>
      <c r="BB320" s="760">
        <f t="shared" si="253"/>
        <v>0</v>
      </c>
      <c r="BC320" s="760">
        <f t="shared" si="253"/>
        <v>0</v>
      </c>
      <c r="BD320" s="632"/>
    </row>
    <row r="321" spans="1:56" s="38" customFormat="1" hidden="1" outlineLevel="1" x14ac:dyDescent="0.25">
      <c r="A321" s="162"/>
      <c r="B321" s="187"/>
      <c r="C321" s="740"/>
      <c r="D321" s="740"/>
      <c r="E321" s="740"/>
      <c r="F321" s="740"/>
      <c r="G321" s="740"/>
      <c r="H321" s="740"/>
      <c r="I321" s="740"/>
      <c r="J321" s="740"/>
      <c r="K321" s="740"/>
      <c r="L321" s="740"/>
      <c r="M321" s="740"/>
      <c r="N321" s="740"/>
      <c r="O321" s="740"/>
      <c r="P321" s="740"/>
      <c r="Q321" s="754"/>
      <c r="R321" s="740"/>
      <c r="S321" s="740"/>
      <c r="T321" s="740"/>
      <c r="U321" s="754"/>
      <c r="V321" s="740"/>
      <c r="W321" s="740"/>
      <c r="X321" s="740"/>
      <c r="Y321" s="754"/>
      <c r="Z321" s="740"/>
      <c r="AA321" s="740"/>
      <c r="AB321" s="740"/>
      <c r="AC321" s="740"/>
      <c r="AD321" s="740"/>
      <c r="AE321" s="740"/>
      <c r="AF321" s="741"/>
      <c r="AG321" s="742"/>
      <c r="AH321" s="742"/>
      <c r="AI321" s="742"/>
      <c r="AJ321" s="742"/>
      <c r="AK321" s="742"/>
      <c r="AL321" s="742"/>
      <c r="AM321" s="742"/>
      <c r="AN321" s="739"/>
      <c r="AO321" s="739"/>
      <c r="AP321" s="739"/>
      <c r="AQ321" s="739"/>
      <c r="AR321" s="739"/>
      <c r="AS321" s="739"/>
      <c r="AT321" s="739"/>
      <c r="AU321" s="739"/>
      <c r="AV321" s="739"/>
      <c r="AW321" s="739"/>
      <c r="AX321" s="934"/>
      <c r="AY321" s="743"/>
      <c r="AZ321" s="743"/>
      <c r="BA321" s="743"/>
      <c r="BB321" s="743"/>
      <c r="BC321" s="743"/>
      <c r="BD321" s="632"/>
    </row>
    <row r="322" spans="1:56" s="38" customFormat="1" hidden="1" outlineLevel="1" x14ac:dyDescent="0.25">
      <c r="A322" s="162" t="s">
        <v>195</v>
      </c>
      <c r="B322" s="187"/>
      <c r="C322" s="740">
        <f>AQ323</f>
        <v>7.7610000000000134</v>
      </c>
      <c r="D322" s="740">
        <f>C322</f>
        <v>7.7610000000000134</v>
      </c>
      <c r="E322" s="740">
        <f>D322</f>
        <v>7.7610000000000134</v>
      </c>
      <c r="F322" s="740">
        <f>E322</f>
        <v>7.7610000000000134</v>
      </c>
      <c r="G322" s="740">
        <f>AR323</f>
        <v>5.647000000000018</v>
      </c>
      <c r="H322" s="740">
        <f>G322</f>
        <v>5.647000000000018</v>
      </c>
      <c r="I322" s="740">
        <f>H322</f>
        <v>5.647000000000018</v>
      </c>
      <c r="J322" s="740">
        <f>I322</f>
        <v>5.647000000000018</v>
      </c>
      <c r="K322" s="740">
        <f>AS323</f>
        <v>14.541000000000018</v>
      </c>
      <c r="L322" s="740">
        <f>K322</f>
        <v>14.541000000000018</v>
      </c>
      <c r="M322" s="740">
        <f>L322</f>
        <v>14.541000000000018</v>
      </c>
      <c r="N322" s="740">
        <f>M322</f>
        <v>14.541000000000018</v>
      </c>
      <c r="O322" s="740">
        <f>AT323</f>
        <v>21.030000000000015</v>
      </c>
      <c r="P322" s="740">
        <f>O322</f>
        <v>21.030000000000015</v>
      </c>
      <c r="Q322" s="754">
        <f>P322</f>
        <v>21.030000000000015</v>
      </c>
      <c r="R322" s="740">
        <f>Q322</f>
        <v>21.030000000000015</v>
      </c>
      <c r="S322" s="740">
        <f>AU323</f>
        <v>16.346000000000018</v>
      </c>
      <c r="T322" s="740">
        <f>S322</f>
        <v>16.346000000000018</v>
      </c>
      <c r="U322" s="754">
        <f>T322</f>
        <v>16.346000000000018</v>
      </c>
      <c r="V322" s="740">
        <f>U322</f>
        <v>16.346000000000018</v>
      </c>
      <c r="W322" s="740">
        <f>AV323</f>
        <v>23.612000000000016</v>
      </c>
      <c r="X322" s="740">
        <f>W322</f>
        <v>23.612000000000016</v>
      </c>
      <c r="Y322" s="754">
        <f>X322</f>
        <v>23.612000000000016</v>
      </c>
      <c r="Z322" s="740">
        <f>Y322</f>
        <v>23.612000000000016</v>
      </c>
      <c r="AA322" s="740">
        <f>AW323</f>
        <v>13.417000000000019</v>
      </c>
      <c r="AB322" s="740">
        <f>AA322</f>
        <v>13.417000000000019</v>
      </c>
      <c r="AC322" s="740">
        <f>AB322</f>
        <v>13.417000000000019</v>
      </c>
      <c r="AD322" s="740">
        <f>AC322</f>
        <v>13.417000000000019</v>
      </c>
      <c r="AE322" s="740">
        <f>AX323</f>
        <v>8.159000000000022</v>
      </c>
      <c r="AF322" s="741">
        <f>AE322</f>
        <v>8.159000000000022</v>
      </c>
      <c r="AG322" s="742"/>
      <c r="AH322" s="742"/>
      <c r="AI322" s="742"/>
      <c r="AJ322" s="742"/>
      <c r="AK322" s="742"/>
      <c r="AL322" s="742"/>
      <c r="AM322" s="742"/>
      <c r="AN322" s="739">
        <v>3.9609999999999999</v>
      </c>
      <c r="AO322" s="739">
        <f>AN323</f>
        <v>10.803000000000006</v>
      </c>
      <c r="AP322" s="739">
        <f>AO323</f>
        <v>28.902000000000008</v>
      </c>
      <c r="AQ322" s="739">
        <f>AP323</f>
        <v>4.1510000000000105</v>
      </c>
      <c r="AR322" s="739">
        <f>F322</f>
        <v>7.7610000000000134</v>
      </c>
      <c r="AS322" s="739">
        <f>J322</f>
        <v>5.647000000000018</v>
      </c>
      <c r="AT322" s="739">
        <f>N322</f>
        <v>14.541000000000018</v>
      </c>
      <c r="AU322" s="739">
        <f>R322</f>
        <v>21.030000000000015</v>
      </c>
      <c r="AV322" s="739">
        <f>V322</f>
        <v>16.346000000000018</v>
      </c>
      <c r="AW322" s="739">
        <f>Z322</f>
        <v>23.612000000000016</v>
      </c>
      <c r="AX322" s="934">
        <f>AD322</f>
        <v>13.417000000000019</v>
      </c>
      <c r="AY322" s="743"/>
      <c r="AZ322" s="743"/>
      <c r="BA322" s="743"/>
      <c r="BB322" s="743"/>
      <c r="BC322" s="743"/>
      <c r="BD322" s="632"/>
    </row>
    <row r="323" spans="1:56" s="38" customFormat="1" hidden="1" outlineLevel="1" x14ac:dyDescent="0.25">
      <c r="A323" s="162" t="s">
        <v>196</v>
      </c>
      <c r="B323" s="187"/>
      <c r="C323" s="740">
        <f t="shared" ref="C323:AE323" si="254">C320+C322</f>
        <v>11.047000000000015</v>
      </c>
      <c r="D323" s="740">
        <f t="shared" si="254"/>
        <v>5.192000000000017</v>
      </c>
      <c r="E323" s="740">
        <f t="shared" si="254"/>
        <v>4.3730000000000171</v>
      </c>
      <c r="F323" s="740">
        <f t="shared" si="254"/>
        <v>5.647000000000018</v>
      </c>
      <c r="G323" s="740">
        <f t="shared" si="254"/>
        <v>5.2270000000000199</v>
      </c>
      <c r="H323" s="740">
        <f t="shared" si="254"/>
        <v>6.0260000000000149</v>
      </c>
      <c r="I323" s="740">
        <f t="shared" si="254"/>
        <v>9.1180000000000234</v>
      </c>
      <c r="J323" s="740">
        <f t="shared" si="254"/>
        <v>14.541000000000018</v>
      </c>
      <c r="K323" s="740">
        <f t="shared" si="254"/>
        <v>12.135000000000019</v>
      </c>
      <c r="L323" s="740">
        <f t="shared" si="254"/>
        <v>12.340000000000021</v>
      </c>
      <c r="M323" s="740">
        <f t="shared" si="254"/>
        <v>13.631000000000022</v>
      </c>
      <c r="N323" s="740">
        <f t="shared" si="254"/>
        <v>21.030000000000015</v>
      </c>
      <c r="O323" s="740">
        <f t="shared" si="254"/>
        <v>16.470000000000013</v>
      </c>
      <c r="P323" s="740">
        <f t="shared" si="254"/>
        <v>14.860000000000017</v>
      </c>
      <c r="Q323" s="754">
        <f t="shared" si="254"/>
        <v>15.695000000000018</v>
      </c>
      <c r="R323" s="740">
        <f t="shared" si="254"/>
        <v>16.346000000000018</v>
      </c>
      <c r="S323" s="740">
        <f t="shared" si="254"/>
        <v>15.452000000000019</v>
      </c>
      <c r="T323" s="740">
        <f t="shared" si="254"/>
        <v>23.714000000000016</v>
      </c>
      <c r="U323" s="754">
        <f t="shared" si="254"/>
        <v>18.020000000000017</v>
      </c>
      <c r="V323" s="740">
        <f t="shared" si="254"/>
        <v>23.612000000000016</v>
      </c>
      <c r="W323" s="740">
        <f t="shared" si="254"/>
        <v>16.945000000000018</v>
      </c>
      <c r="X323" s="740">
        <f t="shared" si="254"/>
        <v>14.134000000000013</v>
      </c>
      <c r="Y323" s="754">
        <f t="shared" si="254"/>
        <v>10.323000000000009</v>
      </c>
      <c r="Z323" s="740">
        <f t="shared" si="254"/>
        <v>13.417000000000019</v>
      </c>
      <c r="AA323" s="740">
        <f t="shared" si="254"/>
        <v>8.4270000000000174</v>
      </c>
      <c r="AB323" s="740">
        <f t="shared" si="254"/>
        <v>6.1110000000000104</v>
      </c>
      <c r="AC323" s="740">
        <f t="shared" si="254"/>
        <v>7.7390000000000105</v>
      </c>
      <c r="AD323" s="740">
        <f t="shared" si="254"/>
        <v>8.159000000000022</v>
      </c>
      <c r="AE323" s="740">
        <f t="shared" si="254"/>
        <v>9.0250000000000217</v>
      </c>
      <c r="AF323" s="741">
        <f>AF381</f>
        <v>12.097</v>
      </c>
      <c r="AG323" s="742"/>
      <c r="AH323" s="742"/>
      <c r="AI323" s="742"/>
      <c r="AJ323" s="742"/>
      <c r="AK323" s="742"/>
      <c r="AL323" s="742"/>
      <c r="AM323" s="742"/>
      <c r="AN323" s="739">
        <f t="shared" ref="AN323:AX323" si="255">AN320+AN322</f>
        <v>10.803000000000006</v>
      </c>
      <c r="AO323" s="739">
        <f t="shared" si="255"/>
        <v>28.902000000000008</v>
      </c>
      <c r="AP323" s="739">
        <f t="shared" si="255"/>
        <v>4.1510000000000105</v>
      </c>
      <c r="AQ323" s="739">
        <f t="shared" si="255"/>
        <v>7.7610000000000134</v>
      </c>
      <c r="AR323" s="739">
        <f t="shared" si="255"/>
        <v>5.647000000000018</v>
      </c>
      <c r="AS323" s="739">
        <f t="shared" si="255"/>
        <v>14.541000000000018</v>
      </c>
      <c r="AT323" s="739">
        <f t="shared" si="255"/>
        <v>21.030000000000015</v>
      </c>
      <c r="AU323" s="739">
        <f t="shared" si="255"/>
        <v>16.346000000000018</v>
      </c>
      <c r="AV323" s="739">
        <f t="shared" si="255"/>
        <v>23.612000000000016</v>
      </c>
      <c r="AW323" s="739">
        <f t="shared" si="255"/>
        <v>13.417000000000019</v>
      </c>
      <c r="AX323" s="934">
        <f t="shared" si="255"/>
        <v>8.159000000000022</v>
      </c>
      <c r="AY323" s="743"/>
      <c r="AZ323" s="743"/>
      <c r="BA323" s="743"/>
      <c r="BB323" s="743"/>
      <c r="BC323" s="743"/>
      <c r="BD323" s="632"/>
    </row>
    <row r="324" spans="1:56" s="38" customFormat="1" collapsed="1" x14ac:dyDescent="0.25">
      <c r="A324" s="162"/>
      <c r="B324" s="187"/>
      <c r="C324" s="740"/>
      <c r="D324" s="740"/>
      <c r="E324" s="740"/>
      <c r="F324" s="740"/>
      <c r="G324" s="740"/>
      <c r="H324" s="740"/>
      <c r="I324" s="740"/>
      <c r="J324" s="740"/>
      <c r="K324" s="740"/>
      <c r="L324" s="740"/>
      <c r="M324" s="740"/>
      <c r="N324" s="740"/>
      <c r="O324" s="740"/>
      <c r="P324" s="740"/>
      <c r="Q324" s="754"/>
      <c r="R324" s="740"/>
      <c r="S324" s="740"/>
      <c r="T324" s="740"/>
      <c r="U324" s="754"/>
      <c r="V324" s="740"/>
      <c r="W324" s="740"/>
      <c r="X324" s="740"/>
      <c r="Y324" s="754"/>
      <c r="Z324" s="740"/>
      <c r="AA324" s="740"/>
      <c r="AB324" s="740"/>
      <c r="AC324" s="740"/>
      <c r="AD324" s="740"/>
      <c r="AE324" s="740"/>
      <c r="AF324" s="741"/>
      <c r="AG324" s="742"/>
      <c r="AH324" s="742"/>
      <c r="AI324" s="742"/>
      <c r="AJ324" s="742"/>
      <c r="AK324" s="742"/>
      <c r="AL324" s="742"/>
      <c r="AM324" s="742"/>
      <c r="AN324" s="739"/>
      <c r="AO324" s="739"/>
      <c r="AP324" s="739"/>
      <c r="AQ324" s="739"/>
      <c r="AR324" s="739"/>
      <c r="AS324" s="739"/>
      <c r="AT324" s="739"/>
      <c r="AU324" s="739"/>
      <c r="AV324" s="739"/>
      <c r="AW324" s="739"/>
      <c r="AX324" s="934"/>
      <c r="AY324" s="743"/>
      <c r="AZ324" s="743"/>
      <c r="BA324" s="743"/>
      <c r="BB324" s="743"/>
      <c r="BC324" s="743"/>
      <c r="BD324" s="632"/>
    </row>
    <row r="325" spans="1:56" s="38" customFormat="1" x14ac:dyDescent="0.25">
      <c r="A325" s="626" t="s">
        <v>197</v>
      </c>
      <c r="B325" s="626"/>
      <c r="C325" s="719"/>
      <c r="D325" s="719"/>
      <c r="E325" s="719"/>
      <c r="F325" s="719"/>
      <c r="G325" s="719"/>
      <c r="H325" s="719"/>
      <c r="I325" s="719"/>
      <c r="J325" s="719"/>
      <c r="K325" s="719"/>
      <c r="L325" s="719"/>
      <c r="M325" s="719"/>
      <c r="N325" s="719"/>
      <c r="O325" s="719"/>
      <c r="P325" s="719"/>
      <c r="Q325" s="719"/>
      <c r="R325" s="719"/>
      <c r="S325" s="719"/>
      <c r="T325" s="719"/>
      <c r="U325" s="719"/>
      <c r="V325" s="719"/>
      <c r="W325" s="719"/>
      <c r="X325" s="719"/>
      <c r="Y325" s="719"/>
      <c r="Z325" s="719"/>
      <c r="AA325" s="719"/>
      <c r="AB325" s="719"/>
      <c r="AC325" s="719"/>
      <c r="AD325" s="719"/>
      <c r="AE325" s="719"/>
      <c r="AF325" s="720"/>
      <c r="AG325" s="721"/>
      <c r="AH325" s="721"/>
      <c r="AI325" s="721"/>
      <c r="AJ325" s="721"/>
      <c r="AK325" s="721"/>
      <c r="AL325" s="721"/>
      <c r="AM325" s="721"/>
      <c r="AN325" s="719"/>
      <c r="AO325" s="719"/>
      <c r="AP325" s="719"/>
      <c r="AQ325" s="719"/>
      <c r="AR325" s="719"/>
      <c r="AS325" s="719"/>
      <c r="AT325" s="719"/>
      <c r="AU325" s="719"/>
      <c r="AV325" s="719"/>
      <c r="AW325" s="719"/>
      <c r="AX325" s="720"/>
      <c r="AY325" s="721"/>
      <c r="AZ325" s="721"/>
      <c r="BA325" s="721"/>
      <c r="BB325" s="721"/>
      <c r="BC325" s="721"/>
      <c r="BD325" s="632"/>
    </row>
    <row r="326" spans="1:56" s="38" customFormat="1" x14ac:dyDescent="0.25">
      <c r="A326" s="162" t="str">
        <f t="shared" ref="A326:A346" si="256">A268</f>
        <v>CFO</v>
      </c>
      <c r="B326" s="187"/>
      <c r="C326" s="740"/>
      <c r="D326" s="740"/>
      <c r="E326" s="740"/>
      <c r="F326" s="740"/>
      <c r="G326" s="740"/>
      <c r="H326" s="740"/>
      <c r="I326" s="740"/>
      <c r="J326" s="740"/>
      <c r="K326" s="740"/>
      <c r="L326" s="740"/>
      <c r="M326" s="740"/>
      <c r="N326" s="740"/>
      <c r="O326" s="740"/>
      <c r="P326" s="740"/>
      <c r="Q326" s="754"/>
      <c r="R326" s="740"/>
      <c r="S326" s="740"/>
      <c r="T326" s="740"/>
      <c r="U326" s="754"/>
      <c r="V326" s="740"/>
      <c r="W326" s="740"/>
      <c r="X326" s="740"/>
      <c r="Y326" s="754"/>
      <c r="Z326" s="740"/>
      <c r="AA326" s="795"/>
      <c r="AB326" s="740"/>
      <c r="AC326" s="795"/>
      <c r="AD326" s="795"/>
      <c r="AE326" s="795"/>
      <c r="AF326" s="797"/>
      <c r="AG326" s="769"/>
      <c r="AH326" s="769"/>
      <c r="AI326" s="769"/>
      <c r="AJ326" s="769"/>
      <c r="AK326" s="769"/>
      <c r="AL326" s="769"/>
      <c r="AM326" s="769"/>
      <c r="AN326" s="739"/>
      <c r="AO326" s="739"/>
      <c r="AP326" s="739"/>
      <c r="AQ326" s="739"/>
      <c r="AR326" s="739"/>
      <c r="AS326" s="739"/>
      <c r="AT326" s="739"/>
      <c r="AU326" s="739"/>
      <c r="AV326" s="739"/>
      <c r="AW326" s="739"/>
      <c r="AX326" s="961"/>
      <c r="AY326" s="770"/>
      <c r="AZ326" s="770"/>
      <c r="BA326" s="770"/>
      <c r="BB326" s="770"/>
      <c r="BC326" s="770"/>
      <c r="BD326" s="632"/>
    </row>
    <row r="327" spans="1:56" s="39" customFormat="1" x14ac:dyDescent="0.25">
      <c r="A327" s="307" t="str">
        <f t="shared" si="256"/>
        <v>Net income</v>
      </c>
      <c r="B327" s="225"/>
      <c r="C327" s="725">
        <f t="shared" ref="C327:C335" si="257">C269</f>
        <v>4.9249999999999998</v>
      </c>
      <c r="D327" s="725">
        <f t="shared" ref="D327:F335" si="258">D269-C269</f>
        <v>5.2470000000000008</v>
      </c>
      <c r="E327" s="725">
        <f t="shared" si="258"/>
        <v>6.1430000000000007</v>
      </c>
      <c r="F327" s="725">
        <f t="shared" si="258"/>
        <v>7.4409999999999989</v>
      </c>
      <c r="G327" s="725">
        <f t="shared" ref="G327:G335" si="259">G269</f>
        <v>4.3170000000000002</v>
      </c>
      <c r="H327" s="725">
        <f t="shared" ref="H327:J335" si="260">H269-G269</f>
        <v>8.1129999999999995</v>
      </c>
      <c r="I327" s="725">
        <f t="shared" si="260"/>
        <v>7.2439999999999998</v>
      </c>
      <c r="J327" s="725">
        <f t="shared" si="260"/>
        <v>7.4239999999999995</v>
      </c>
      <c r="K327" s="725">
        <f t="shared" ref="K327:K335" si="261">K269</f>
        <v>4.1070000000000002</v>
      </c>
      <c r="L327" s="725">
        <f t="shared" ref="L327:N335" si="262">L269-K269</f>
        <v>4.7139999999999995</v>
      </c>
      <c r="M327" s="725">
        <f t="shared" si="262"/>
        <v>3.7160000000000011</v>
      </c>
      <c r="N327" s="725">
        <f t="shared" si="262"/>
        <v>6.2520000000000007</v>
      </c>
      <c r="O327" s="725">
        <f t="shared" ref="O327:O335" si="263">O269</f>
        <v>3.8</v>
      </c>
      <c r="P327" s="725">
        <f t="shared" ref="P327:R335" si="264">P269-O269</f>
        <v>4.9129999999999994</v>
      </c>
      <c r="Q327" s="725">
        <f t="shared" si="264"/>
        <v>4.8020000000000014</v>
      </c>
      <c r="R327" s="725">
        <f t="shared" si="264"/>
        <v>6.7319999999999993</v>
      </c>
      <c r="S327" s="725">
        <f t="shared" ref="S327:S335" si="265">S269</f>
        <v>4.0860000000000003</v>
      </c>
      <c r="T327" s="725">
        <f t="shared" ref="T327:V335" si="266">T269-S269</f>
        <v>5.8629999999999995</v>
      </c>
      <c r="U327" s="725">
        <f t="shared" si="266"/>
        <v>3.2810000000000006</v>
      </c>
      <c r="V327" s="725">
        <f t="shared" si="266"/>
        <v>-0.33900000000000041</v>
      </c>
      <c r="W327" s="725">
        <f t="shared" ref="W327:W335" si="267">W269</f>
        <v>2.6320000000000001</v>
      </c>
      <c r="X327" s="725">
        <f t="shared" ref="X327:Z335" si="268">X269-W269</f>
        <v>3.5749999999999997</v>
      </c>
      <c r="Y327" s="725">
        <f t="shared" si="268"/>
        <v>3.2440000000000007</v>
      </c>
      <c r="Z327" s="725">
        <f t="shared" si="268"/>
        <v>0.38499999999999979</v>
      </c>
      <c r="AA327" s="725">
        <f t="shared" ref="AA327:AA335" si="269">AA269</f>
        <v>0.33400000000000002</v>
      </c>
      <c r="AB327" s="725">
        <f t="shared" ref="AB327:AD335" si="270">AB269-AA269</f>
        <v>3.2189999999999999</v>
      </c>
      <c r="AC327" s="725">
        <f t="shared" si="270"/>
        <v>2.141</v>
      </c>
      <c r="AD327" s="725">
        <f t="shared" si="270"/>
        <v>9.495000000000001</v>
      </c>
      <c r="AE327" s="725">
        <f t="shared" ref="AE327:AE335" si="271">AE269</f>
        <v>-1.294</v>
      </c>
      <c r="AF327" s="771">
        <f t="shared" ref="AF327:AL327" si="272">AF183</f>
        <v>-0.60599999999999565</v>
      </c>
      <c r="AG327" s="730">
        <f t="shared" si="272"/>
        <v>1.23807856480874</v>
      </c>
      <c r="AH327" s="730">
        <f t="shared" ca="1" si="272"/>
        <v>2.5863910956246432</v>
      </c>
      <c r="AI327" s="730">
        <f t="shared" ca="1" si="272"/>
        <v>1.2931533857330186</v>
      </c>
      <c r="AJ327" s="730">
        <f t="shared" ca="1" si="272"/>
        <v>1.7453102945835073</v>
      </c>
      <c r="AK327" s="730">
        <f t="shared" ca="1" si="272"/>
        <v>2.0989242835031243</v>
      </c>
      <c r="AL327" s="730">
        <f t="shared" ca="1" si="272"/>
        <v>4.5916609376293351</v>
      </c>
      <c r="AM327" s="730"/>
      <c r="AN327" s="726">
        <f t="shared" ref="AN327:AX327" si="273">AN269</f>
        <v>-1.19</v>
      </c>
      <c r="AO327" s="726">
        <f t="shared" si="273"/>
        <v>12.731999999999999</v>
      </c>
      <c r="AP327" s="726">
        <f t="shared" si="273"/>
        <v>17.86</v>
      </c>
      <c r="AQ327" s="726">
        <f t="shared" si="273"/>
        <v>22.687999999999999</v>
      </c>
      <c r="AR327" s="726">
        <f t="shared" si="273"/>
        <v>23.756</v>
      </c>
      <c r="AS327" s="726">
        <f t="shared" si="273"/>
        <v>27.097999999999999</v>
      </c>
      <c r="AT327" s="726">
        <f t="shared" si="273"/>
        <v>18.789000000000001</v>
      </c>
      <c r="AU327" s="726">
        <f t="shared" si="273"/>
        <v>20.247</v>
      </c>
      <c r="AV327" s="726">
        <f t="shared" si="273"/>
        <v>12.891</v>
      </c>
      <c r="AW327" s="726">
        <f t="shared" si="273"/>
        <v>9.8360000000000003</v>
      </c>
      <c r="AX327" s="925">
        <f t="shared" si="273"/>
        <v>15.189</v>
      </c>
      <c r="AY327" s="729">
        <f t="shared" ref="AY327:AY335" ca="1" si="274">SUM(AE327,AF327,AG327,AH327)</f>
        <v>1.9244696604333875</v>
      </c>
      <c r="AZ327" s="729">
        <f t="shared" ref="AZ327:AZ335" ca="1" si="275">SUM(AI327,AJ327,AK327,AL327)</f>
        <v>9.7290489014489854</v>
      </c>
      <c r="BA327" s="729">
        <f ca="1">BA183</f>
        <v>17.375124508191089</v>
      </c>
      <c r="BB327" s="729">
        <f ca="1">BB183</f>
        <v>24.838950055519774</v>
      </c>
      <c r="BC327" s="729">
        <f ca="1">BC183</f>
        <v>26.458749004061861</v>
      </c>
      <c r="BD327" s="631"/>
    </row>
    <row r="328" spans="1:56" s="39" customFormat="1" x14ac:dyDescent="0.25">
      <c r="A328" s="307" t="str">
        <f t="shared" si="256"/>
        <v>Goodwill and intangible asset impairment loss</v>
      </c>
      <c r="B328" s="225"/>
      <c r="C328" s="725">
        <f t="shared" si="257"/>
        <v>0</v>
      </c>
      <c r="D328" s="725">
        <f t="shared" si="258"/>
        <v>0</v>
      </c>
      <c r="E328" s="725">
        <f t="shared" si="258"/>
        <v>0</v>
      </c>
      <c r="F328" s="725">
        <f t="shared" si="258"/>
        <v>0</v>
      </c>
      <c r="G328" s="725">
        <f t="shared" si="259"/>
        <v>0</v>
      </c>
      <c r="H328" s="725">
        <f t="shared" si="260"/>
        <v>0</v>
      </c>
      <c r="I328" s="725">
        <f t="shared" si="260"/>
        <v>0</v>
      </c>
      <c r="J328" s="725">
        <f t="shared" si="260"/>
        <v>0</v>
      </c>
      <c r="K328" s="725">
        <f t="shared" si="261"/>
        <v>0</v>
      </c>
      <c r="L328" s="725">
        <f t="shared" si="262"/>
        <v>0</v>
      </c>
      <c r="M328" s="725">
        <f t="shared" si="262"/>
        <v>0</v>
      </c>
      <c r="N328" s="725">
        <f t="shared" si="262"/>
        <v>0</v>
      </c>
      <c r="O328" s="725">
        <f t="shared" si="263"/>
        <v>0</v>
      </c>
      <c r="P328" s="725">
        <f t="shared" si="264"/>
        <v>0</v>
      </c>
      <c r="Q328" s="725">
        <f t="shared" si="264"/>
        <v>0</v>
      </c>
      <c r="R328" s="725">
        <f t="shared" si="264"/>
        <v>0</v>
      </c>
      <c r="S328" s="725">
        <f t="shared" si="265"/>
        <v>0</v>
      </c>
      <c r="T328" s="725">
        <f t="shared" si="266"/>
        <v>0</v>
      </c>
      <c r="U328" s="725">
        <f t="shared" si="266"/>
        <v>0</v>
      </c>
      <c r="V328" s="725">
        <f t="shared" si="266"/>
        <v>0</v>
      </c>
      <c r="W328" s="725">
        <f t="shared" si="267"/>
        <v>0</v>
      </c>
      <c r="X328" s="725">
        <f t="shared" si="268"/>
        <v>0</v>
      </c>
      <c r="Y328" s="725">
        <f t="shared" si="268"/>
        <v>0</v>
      </c>
      <c r="Z328" s="725">
        <f t="shared" si="268"/>
        <v>0</v>
      </c>
      <c r="AA328" s="725">
        <f t="shared" si="269"/>
        <v>0</v>
      </c>
      <c r="AB328" s="725">
        <f t="shared" si="270"/>
        <v>0</v>
      </c>
      <c r="AC328" s="725">
        <f t="shared" si="270"/>
        <v>0</v>
      </c>
      <c r="AD328" s="725">
        <f t="shared" si="270"/>
        <v>0</v>
      </c>
      <c r="AE328" s="725">
        <f t="shared" si="271"/>
        <v>0</v>
      </c>
      <c r="AF328" s="779"/>
      <c r="AG328" s="728"/>
      <c r="AH328" s="728"/>
      <c r="AI328" s="728"/>
      <c r="AJ328" s="728"/>
      <c r="AK328" s="728"/>
      <c r="AL328" s="728"/>
      <c r="AM328" s="728"/>
      <c r="AN328" s="726">
        <f t="shared" ref="AN328:AX328" si="276">AN270</f>
        <v>10.163</v>
      </c>
      <c r="AO328" s="726">
        <f t="shared" si="276"/>
        <v>0</v>
      </c>
      <c r="AP328" s="726">
        <f t="shared" si="276"/>
        <v>0</v>
      </c>
      <c r="AQ328" s="726">
        <f t="shared" si="276"/>
        <v>0</v>
      </c>
      <c r="AR328" s="726">
        <f t="shared" si="276"/>
        <v>0</v>
      </c>
      <c r="AS328" s="726">
        <f t="shared" si="276"/>
        <v>0</v>
      </c>
      <c r="AT328" s="726">
        <f t="shared" si="276"/>
        <v>0</v>
      </c>
      <c r="AU328" s="726">
        <f t="shared" si="276"/>
        <v>0</v>
      </c>
      <c r="AV328" s="726">
        <f t="shared" si="276"/>
        <v>0</v>
      </c>
      <c r="AW328" s="726">
        <f t="shared" si="276"/>
        <v>0</v>
      </c>
      <c r="AX328" s="925">
        <f t="shared" si="276"/>
        <v>0</v>
      </c>
      <c r="AY328" s="729">
        <f t="shared" si="274"/>
        <v>0</v>
      </c>
      <c r="AZ328" s="729">
        <f t="shared" si="275"/>
        <v>0</v>
      </c>
      <c r="BA328" s="773"/>
      <c r="BB328" s="773"/>
      <c r="BC328" s="773"/>
      <c r="BD328" s="631"/>
    </row>
    <row r="329" spans="1:56" s="39" customFormat="1" x14ac:dyDescent="0.25">
      <c r="A329" s="307" t="str">
        <f t="shared" si="256"/>
        <v>Gain on reversal of deferred rent liability</v>
      </c>
      <c r="B329" s="225"/>
      <c r="C329" s="725">
        <f t="shared" si="257"/>
        <v>0</v>
      </c>
      <c r="D329" s="725">
        <f t="shared" si="258"/>
        <v>0</v>
      </c>
      <c r="E329" s="725">
        <f t="shared" si="258"/>
        <v>0</v>
      </c>
      <c r="F329" s="725">
        <f t="shared" si="258"/>
        <v>0</v>
      </c>
      <c r="G329" s="725">
        <f t="shared" si="259"/>
        <v>0</v>
      </c>
      <c r="H329" s="725">
        <f t="shared" si="260"/>
        <v>0</v>
      </c>
      <c r="I329" s="725">
        <f t="shared" si="260"/>
        <v>0</v>
      </c>
      <c r="J329" s="725">
        <f t="shared" si="260"/>
        <v>0</v>
      </c>
      <c r="K329" s="725">
        <f t="shared" si="261"/>
        <v>0</v>
      </c>
      <c r="L329" s="725">
        <f t="shared" si="262"/>
        <v>0</v>
      </c>
      <c r="M329" s="725">
        <f t="shared" si="262"/>
        <v>0</v>
      </c>
      <c r="N329" s="725">
        <f t="shared" si="262"/>
        <v>0</v>
      </c>
      <c r="O329" s="725">
        <f t="shared" si="263"/>
        <v>0</v>
      </c>
      <c r="P329" s="725">
        <f t="shared" si="264"/>
        <v>0</v>
      </c>
      <c r="Q329" s="725">
        <f t="shared" si="264"/>
        <v>0</v>
      </c>
      <c r="R329" s="725">
        <f t="shared" si="264"/>
        <v>0</v>
      </c>
      <c r="S329" s="725">
        <f t="shared" si="265"/>
        <v>0</v>
      </c>
      <c r="T329" s="725">
        <f t="shared" si="266"/>
        <v>0</v>
      </c>
      <c r="U329" s="725">
        <f t="shared" si="266"/>
        <v>0</v>
      </c>
      <c r="V329" s="725">
        <f t="shared" si="266"/>
        <v>0</v>
      </c>
      <c r="W329" s="725">
        <f t="shared" si="267"/>
        <v>0</v>
      </c>
      <c r="X329" s="725">
        <f t="shared" si="268"/>
        <v>0</v>
      </c>
      <c r="Y329" s="725">
        <f t="shared" si="268"/>
        <v>0</v>
      </c>
      <c r="Z329" s="725">
        <f t="shared" si="268"/>
        <v>0</v>
      </c>
      <c r="AA329" s="725">
        <f t="shared" si="269"/>
        <v>0</v>
      </c>
      <c r="AB329" s="725">
        <f t="shared" si="270"/>
        <v>0</v>
      </c>
      <c r="AC329" s="725">
        <f t="shared" si="270"/>
        <v>0</v>
      </c>
      <c r="AD329" s="725">
        <f t="shared" si="270"/>
        <v>0</v>
      </c>
      <c r="AE329" s="725">
        <f t="shared" si="271"/>
        <v>0</v>
      </c>
      <c r="AF329" s="779"/>
      <c r="AG329" s="728"/>
      <c r="AH329" s="728"/>
      <c r="AI329" s="728"/>
      <c r="AJ329" s="728"/>
      <c r="AK329" s="728"/>
      <c r="AL329" s="728"/>
      <c r="AM329" s="728"/>
      <c r="AN329" s="726">
        <f t="shared" ref="AN329:AX329" si="277">AN271</f>
        <v>0</v>
      </c>
      <c r="AO329" s="726">
        <f t="shared" si="277"/>
        <v>0</v>
      </c>
      <c r="AP329" s="726">
        <f t="shared" si="277"/>
        <v>-1.0409999999999999</v>
      </c>
      <c r="AQ329" s="726">
        <f t="shared" si="277"/>
        <v>0</v>
      </c>
      <c r="AR329" s="726">
        <f t="shared" si="277"/>
        <v>0</v>
      </c>
      <c r="AS329" s="726">
        <f t="shared" si="277"/>
        <v>0</v>
      </c>
      <c r="AT329" s="726">
        <f t="shared" si="277"/>
        <v>0</v>
      </c>
      <c r="AU329" s="726">
        <f t="shared" si="277"/>
        <v>0</v>
      </c>
      <c r="AV329" s="726">
        <f t="shared" si="277"/>
        <v>0</v>
      </c>
      <c r="AW329" s="726">
        <f t="shared" si="277"/>
        <v>0</v>
      </c>
      <c r="AX329" s="925">
        <f t="shared" si="277"/>
        <v>0</v>
      </c>
      <c r="AY329" s="729">
        <f t="shared" si="274"/>
        <v>0</v>
      </c>
      <c r="AZ329" s="729">
        <f t="shared" si="275"/>
        <v>0</v>
      </c>
      <c r="BA329" s="773"/>
      <c r="BB329" s="773"/>
      <c r="BC329" s="773"/>
      <c r="BD329" s="631"/>
    </row>
    <row r="330" spans="1:56" s="39" customFormat="1" x14ac:dyDescent="0.25">
      <c r="A330" s="307" t="str">
        <f t="shared" si="256"/>
        <v>Income tax benefit on reduction of uncertain tax position liabilities</v>
      </c>
      <c r="B330" s="225"/>
      <c r="C330" s="725">
        <f t="shared" si="257"/>
        <v>0</v>
      </c>
      <c r="D330" s="725">
        <f t="shared" si="258"/>
        <v>0</v>
      </c>
      <c r="E330" s="725">
        <f t="shared" si="258"/>
        <v>0</v>
      </c>
      <c r="F330" s="725">
        <f t="shared" si="258"/>
        <v>0</v>
      </c>
      <c r="G330" s="725">
        <f t="shared" si="259"/>
        <v>0</v>
      </c>
      <c r="H330" s="725">
        <f t="shared" si="260"/>
        <v>0</v>
      </c>
      <c r="I330" s="725">
        <f t="shared" si="260"/>
        <v>0</v>
      </c>
      <c r="J330" s="725">
        <f t="shared" si="260"/>
        <v>0</v>
      </c>
      <c r="K330" s="725">
        <f t="shared" si="261"/>
        <v>0</v>
      </c>
      <c r="L330" s="725">
        <f t="shared" si="262"/>
        <v>0</v>
      </c>
      <c r="M330" s="725">
        <f t="shared" si="262"/>
        <v>0</v>
      </c>
      <c r="N330" s="725">
        <f t="shared" si="262"/>
        <v>0</v>
      </c>
      <c r="O330" s="725">
        <f t="shared" si="263"/>
        <v>0</v>
      </c>
      <c r="P330" s="725">
        <f t="shared" si="264"/>
        <v>0</v>
      </c>
      <c r="Q330" s="725">
        <f t="shared" si="264"/>
        <v>0</v>
      </c>
      <c r="R330" s="725">
        <f t="shared" si="264"/>
        <v>0</v>
      </c>
      <c r="S330" s="725">
        <f t="shared" si="265"/>
        <v>0</v>
      </c>
      <c r="T330" s="725">
        <f t="shared" si="266"/>
        <v>0</v>
      </c>
      <c r="U330" s="725">
        <f t="shared" si="266"/>
        <v>0</v>
      </c>
      <c r="V330" s="725">
        <f t="shared" si="266"/>
        <v>0</v>
      </c>
      <c r="W330" s="725">
        <f t="shared" si="267"/>
        <v>0</v>
      </c>
      <c r="X330" s="725">
        <f t="shared" si="268"/>
        <v>0</v>
      </c>
      <c r="Y330" s="725">
        <f t="shared" si="268"/>
        <v>0</v>
      </c>
      <c r="Z330" s="725">
        <f t="shared" si="268"/>
        <v>0</v>
      </c>
      <c r="AA330" s="725">
        <f t="shared" si="269"/>
        <v>0</v>
      </c>
      <c r="AB330" s="725">
        <f t="shared" si="270"/>
        <v>0</v>
      </c>
      <c r="AC330" s="725">
        <f t="shared" si="270"/>
        <v>0</v>
      </c>
      <c r="AD330" s="725">
        <f t="shared" si="270"/>
        <v>0</v>
      </c>
      <c r="AE330" s="725">
        <f t="shared" si="271"/>
        <v>0</v>
      </c>
      <c r="AF330" s="779"/>
      <c r="AG330" s="728"/>
      <c r="AH330" s="728"/>
      <c r="AI330" s="728"/>
      <c r="AJ330" s="728"/>
      <c r="AK330" s="728"/>
      <c r="AL330" s="728"/>
      <c r="AM330" s="728"/>
      <c r="AN330" s="726">
        <f t="shared" ref="AN330:AX330" si="278">AN272</f>
        <v>0</v>
      </c>
      <c r="AO330" s="726">
        <f t="shared" si="278"/>
        <v>0</v>
      </c>
      <c r="AP330" s="726">
        <f t="shared" si="278"/>
        <v>-0.89100000000000001</v>
      </c>
      <c r="AQ330" s="726">
        <f t="shared" si="278"/>
        <v>-1.6020000000000001</v>
      </c>
      <c r="AR330" s="726">
        <f t="shared" si="278"/>
        <v>0</v>
      </c>
      <c r="AS330" s="726">
        <f t="shared" si="278"/>
        <v>0</v>
      </c>
      <c r="AT330" s="726">
        <f t="shared" si="278"/>
        <v>0</v>
      </c>
      <c r="AU330" s="726">
        <f t="shared" si="278"/>
        <v>0</v>
      </c>
      <c r="AV330" s="726">
        <f t="shared" si="278"/>
        <v>0</v>
      </c>
      <c r="AW330" s="726">
        <f t="shared" si="278"/>
        <v>0</v>
      </c>
      <c r="AX330" s="925">
        <f t="shared" si="278"/>
        <v>0</v>
      </c>
      <c r="AY330" s="729">
        <f t="shared" si="274"/>
        <v>0</v>
      </c>
      <c r="AZ330" s="729">
        <f t="shared" si="275"/>
        <v>0</v>
      </c>
      <c r="BA330" s="773"/>
      <c r="BB330" s="773"/>
      <c r="BC330" s="773"/>
      <c r="BD330" s="631"/>
    </row>
    <row r="331" spans="1:56" s="39" customFormat="1" x14ac:dyDescent="0.25">
      <c r="A331" s="307" t="str">
        <f t="shared" si="256"/>
        <v>Loss on change in fair value of contingent consideration, net</v>
      </c>
      <c r="B331" s="225"/>
      <c r="C331" s="725">
        <f t="shared" si="257"/>
        <v>-0.247</v>
      </c>
      <c r="D331" s="725">
        <f t="shared" si="258"/>
        <v>-4.4999999999999984E-2</v>
      </c>
      <c r="E331" s="725">
        <f t="shared" si="258"/>
        <v>-0.13500000000000001</v>
      </c>
      <c r="F331" s="725">
        <f t="shared" si="258"/>
        <v>-1.2489999999999999</v>
      </c>
      <c r="G331" s="725">
        <f t="shared" si="259"/>
        <v>-0.377</v>
      </c>
      <c r="H331" s="725">
        <f t="shared" si="260"/>
        <v>-0.48099999999999998</v>
      </c>
      <c r="I331" s="725">
        <f t="shared" si="260"/>
        <v>-0.65499999999999992</v>
      </c>
      <c r="J331" s="725">
        <f t="shared" si="260"/>
        <v>0.121</v>
      </c>
      <c r="K331" s="725">
        <f t="shared" si="261"/>
        <v>0.20300000000000001</v>
      </c>
      <c r="L331" s="725">
        <f t="shared" si="262"/>
        <v>5.4999999999999993E-2</v>
      </c>
      <c r="M331" s="725">
        <f t="shared" si="262"/>
        <v>5.5999999999999994E-2</v>
      </c>
      <c r="N331" s="725">
        <f t="shared" si="262"/>
        <v>5.6999999999999995E-2</v>
      </c>
      <c r="O331" s="725">
        <f t="shared" si="263"/>
        <v>0.159</v>
      </c>
      <c r="P331" s="725">
        <f t="shared" si="264"/>
        <v>-8.8000000000000009E-2</v>
      </c>
      <c r="Q331" s="725">
        <f t="shared" si="264"/>
        <v>3.0000000000000027E-3</v>
      </c>
      <c r="R331" s="725">
        <f t="shared" si="264"/>
        <v>6.2000000000000013E-2</v>
      </c>
      <c r="S331" s="725">
        <f t="shared" si="265"/>
        <v>-0.19700000000000001</v>
      </c>
      <c r="T331" s="725">
        <f t="shared" si="266"/>
        <v>9.6000000000000002E-2</v>
      </c>
      <c r="U331" s="725">
        <f t="shared" si="266"/>
        <v>-0.26800000000000002</v>
      </c>
      <c r="V331" s="725">
        <f t="shared" si="266"/>
        <v>-1.2510000000000001</v>
      </c>
      <c r="W331" s="725">
        <f t="shared" si="267"/>
        <v>-2.552</v>
      </c>
      <c r="X331" s="725">
        <f t="shared" si="268"/>
        <v>-0.89400000000000013</v>
      </c>
      <c r="Y331" s="725">
        <f t="shared" si="268"/>
        <v>-0.5259999999999998</v>
      </c>
      <c r="Z331" s="725">
        <f t="shared" si="268"/>
        <v>-0.46599999999999975</v>
      </c>
      <c r="AA331" s="725">
        <f t="shared" si="269"/>
        <v>-0.05</v>
      </c>
      <c r="AB331" s="725">
        <f t="shared" si="270"/>
        <v>-0.627</v>
      </c>
      <c r="AC331" s="725">
        <f t="shared" si="270"/>
        <v>0</v>
      </c>
      <c r="AD331" s="725">
        <f t="shared" si="270"/>
        <v>0</v>
      </c>
      <c r="AE331" s="725">
        <f t="shared" si="271"/>
        <v>0</v>
      </c>
      <c r="AF331" s="779"/>
      <c r="AG331" s="728"/>
      <c r="AH331" s="728"/>
      <c r="AI331" s="728"/>
      <c r="AJ331" s="728"/>
      <c r="AK331" s="728"/>
      <c r="AL331" s="728"/>
      <c r="AM331" s="728"/>
      <c r="AN331" s="726">
        <f t="shared" ref="AN331:AX331" si="279">AN273</f>
        <v>0</v>
      </c>
      <c r="AO331" s="726">
        <f t="shared" si="279"/>
        <v>-1.3129999999999999</v>
      </c>
      <c r="AP331" s="726">
        <f t="shared" si="279"/>
        <v>-0.51700000000000002</v>
      </c>
      <c r="AQ331" s="726">
        <f t="shared" si="279"/>
        <v>0.78900000000000003</v>
      </c>
      <c r="AR331" s="726">
        <f t="shared" si="279"/>
        <v>-1.6759999999999999</v>
      </c>
      <c r="AS331" s="726">
        <f t="shared" si="279"/>
        <v>-1.3919999999999999</v>
      </c>
      <c r="AT331" s="726">
        <f t="shared" si="279"/>
        <v>0.371</v>
      </c>
      <c r="AU331" s="726">
        <f t="shared" si="279"/>
        <v>0.13600000000000001</v>
      </c>
      <c r="AV331" s="726">
        <f t="shared" si="279"/>
        <v>-1.62</v>
      </c>
      <c r="AW331" s="726">
        <f t="shared" si="279"/>
        <v>-4.4379999999999997</v>
      </c>
      <c r="AX331" s="925">
        <f t="shared" si="279"/>
        <v>-0.67700000000000005</v>
      </c>
      <c r="AY331" s="729">
        <f t="shared" si="274"/>
        <v>0</v>
      </c>
      <c r="AZ331" s="729">
        <f t="shared" si="275"/>
        <v>0</v>
      </c>
      <c r="BA331" s="773"/>
      <c r="BB331" s="773"/>
      <c r="BC331" s="773"/>
      <c r="BD331" s="631"/>
    </row>
    <row r="332" spans="1:56" s="39" customFormat="1" x14ac:dyDescent="0.25">
      <c r="A332" s="307" t="str">
        <f t="shared" si="256"/>
        <v>Gain on sale of business</v>
      </c>
      <c r="B332" s="225"/>
      <c r="C332" s="725">
        <f t="shared" si="257"/>
        <v>0</v>
      </c>
      <c r="D332" s="725">
        <f t="shared" si="258"/>
        <v>0</v>
      </c>
      <c r="E332" s="725">
        <f t="shared" si="258"/>
        <v>0</v>
      </c>
      <c r="F332" s="725">
        <f t="shared" si="258"/>
        <v>0</v>
      </c>
      <c r="G332" s="725">
        <f t="shared" si="259"/>
        <v>0</v>
      </c>
      <c r="H332" s="725">
        <f t="shared" si="260"/>
        <v>0</v>
      </c>
      <c r="I332" s="725">
        <f t="shared" si="260"/>
        <v>0</v>
      </c>
      <c r="J332" s="725">
        <f t="shared" si="260"/>
        <v>0</v>
      </c>
      <c r="K332" s="725">
        <f t="shared" si="261"/>
        <v>0</v>
      </c>
      <c r="L332" s="725">
        <f t="shared" si="262"/>
        <v>0</v>
      </c>
      <c r="M332" s="725">
        <f t="shared" si="262"/>
        <v>0</v>
      </c>
      <c r="N332" s="725">
        <f t="shared" si="262"/>
        <v>0</v>
      </c>
      <c r="O332" s="725">
        <f t="shared" si="263"/>
        <v>0</v>
      </c>
      <c r="P332" s="725">
        <f t="shared" si="264"/>
        <v>0</v>
      </c>
      <c r="Q332" s="725">
        <f t="shared" si="264"/>
        <v>0</v>
      </c>
      <c r="R332" s="725">
        <f t="shared" si="264"/>
        <v>0</v>
      </c>
      <c r="S332" s="725">
        <f t="shared" si="265"/>
        <v>0</v>
      </c>
      <c r="T332" s="725">
        <f t="shared" si="266"/>
        <v>0</v>
      </c>
      <c r="U332" s="725">
        <f t="shared" si="266"/>
        <v>0</v>
      </c>
      <c r="V332" s="725">
        <f t="shared" si="266"/>
        <v>0</v>
      </c>
      <c r="W332" s="725">
        <f t="shared" si="267"/>
        <v>0</v>
      </c>
      <c r="X332" s="725">
        <f t="shared" si="268"/>
        <v>0</v>
      </c>
      <c r="Y332" s="725">
        <f t="shared" si="268"/>
        <v>0</v>
      </c>
      <c r="Z332" s="725">
        <f t="shared" si="268"/>
        <v>0</v>
      </c>
      <c r="AA332" s="725">
        <f t="shared" si="269"/>
        <v>0</v>
      </c>
      <c r="AB332" s="725">
        <f t="shared" si="270"/>
        <v>0</v>
      </c>
      <c r="AC332" s="725">
        <f t="shared" si="270"/>
        <v>0</v>
      </c>
      <c r="AD332" s="725">
        <f t="shared" si="270"/>
        <v>-12.125999999999999</v>
      </c>
      <c r="AE332" s="725">
        <f t="shared" si="271"/>
        <v>-1.0640000000000001</v>
      </c>
      <c r="AF332" s="779"/>
      <c r="AG332" s="728"/>
      <c r="AH332" s="728"/>
      <c r="AI332" s="728"/>
      <c r="AJ332" s="728"/>
      <c r="AK332" s="728"/>
      <c r="AL332" s="728"/>
      <c r="AM332" s="728"/>
      <c r="AN332" s="726">
        <f t="shared" ref="AN332:AX332" si="280">AN274</f>
        <v>0</v>
      </c>
      <c r="AO332" s="726">
        <f t="shared" si="280"/>
        <v>0</v>
      </c>
      <c r="AP332" s="726">
        <f t="shared" si="280"/>
        <v>0</v>
      </c>
      <c r="AQ332" s="726">
        <f t="shared" si="280"/>
        <v>0</v>
      </c>
      <c r="AR332" s="726">
        <f t="shared" si="280"/>
        <v>0</v>
      </c>
      <c r="AS332" s="726">
        <f t="shared" si="280"/>
        <v>0</v>
      </c>
      <c r="AT332" s="726">
        <f t="shared" si="280"/>
        <v>0</v>
      </c>
      <c r="AU332" s="726">
        <f t="shared" si="280"/>
        <v>0</v>
      </c>
      <c r="AV332" s="726">
        <f t="shared" si="280"/>
        <v>0</v>
      </c>
      <c r="AW332" s="726">
        <f t="shared" si="280"/>
        <v>0</v>
      </c>
      <c r="AX332" s="925">
        <f t="shared" si="280"/>
        <v>-12.125999999999999</v>
      </c>
      <c r="AY332" s="729">
        <f t="shared" si="274"/>
        <v>-1.0640000000000001</v>
      </c>
      <c r="AZ332" s="729">
        <f t="shared" si="275"/>
        <v>0</v>
      </c>
      <c r="BA332" s="773"/>
      <c r="BB332" s="773"/>
      <c r="BC332" s="773"/>
      <c r="BD332" s="631"/>
    </row>
    <row r="333" spans="1:56" s="39" customFormat="1" x14ac:dyDescent="0.25">
      <c r="A333" s="307" t="str">
        <f t="shared" si="256"/>
        <v>Depreciation and amortization</v>
      </c>
      <c r="B333" s="225"/>
      <c r="C333" s="725">
        <f t="shared" si="257"/>
        <v>1.958</v>
      </c>
      <c r="D333" s="725">
        <f t="shared" si="258"/>
        <v>1.9920000000000002</v>
      </c>
      <c r="E333" s="725">
        <f t="shared" si="258"/>
        <v>2.3049999999999997</v>
      </c>
      <c r="F333" s="725">
        <f t="shared" si="258"/>
        <v>2.362000000000001</v>
      </c>
      <c r="G333" s="725">
        <f t="shared" si="259"/>
        <v>2.4079999999999999</v>
      </c>
      <c r="H333" s="725">
        <f t="shared" si="260"/>
        <v>2.5429999999999997</v>
      </c>
      <c r="I333" s="725">
        <f t="shared" si="260"/>
        <v>2.5260000000000007</v>
      </c>
      <c r="J333" s="725">
        <f t="shared" si="260"/>
        <v>2.2809999999999988</v>
      </c>
      <c r="K333" s="725">
        <f t="shared" si="261"/>
        <v>2.0680000000000001</v>
      </c>
      <c r="L333" s="725">
        <f t="shared" si="262"/>
        <v>1.9839999999999995</v>
      </c>
      <c r="M333" s="725">
        <f t="shared" si="262"/>
        <v>1.9620000000000006</v>
      </c>
      <c r="N333" s="725">
        <f t="shared" si="262"/>
        <v>1.851</v>
      </c>
      <c r="O333" s="725">
        <f t="shared" si="263"/>
        <v>1.7649999999999999</v>
      </c>
      <c r="P333" s="725">
        <f t="shared" si="264"/>
        <v>1.7100000000000002</v>
      </c>
      <c r="Q333" s="725">
        <f t="shared" si="264"/>
        <v>1.4940000000000002</v>
      </c>
      <c r="R333" s="725">
        <f t="shared" si="264"/>
        <v>1.4929999999999994</v>
      </c>
      <c r="S333" s="725">
        <f t="shared" si="265"/>
        <v>1.4430000000000001</v>
      </c>
      <c r="T333" s="725">
        <f t="shared" si="266"/>
        <v>1.7629999999999999</v>
      </c>
      <c r="U333" s="725">
        <f t="shared" si="266"/>
        <v>1.9469999999999996</v>
      </c>
      <c r="V333" s="725">
        <f t="shared" si="266"/>
        <v>1.8210000000000006</v>
      </c>
      <c r="W333" s="725">
        <f t="shared" si="267"/>
        <v>1.8420000000000001</v>
      </c>
      <c r="X333" s="725">
        <f t="shared" si="268"/>
        <v>1.919</v>
      </c>
      <c r="Y333" s="725">
        <f t="shared" si="268"/>
        <v>1.9089999999999998</v>
      </c>
      <c r="Z333" s="725">
        <f t="shared" si="268"/>
        <v>2.2510000000000003</v>
      </c>
      <c r="AA333" s="725">
        <f t="shared" si="269"/>
        <v>2.3410000000000002</v>
      </c>
      <c r="AB333" s="725">
        <f t="shared" si="270"/>
        <v>2.3159999999999998</v>
      </c>
      <c r="AC333" s="725">
        <f t="shared" si="270"/>
        <v>2.335</v>
      </c>
      <c r="AD333" s="725">
        <f t="shared" si="270"/>
        <v>2.4899999999999993</v>
      </c>
      <c r="AE333" s="725">
        <f t="shared" si="271"/>
        <v>2.177</v>
      </c>
      <c r="AF333" s="771">
        <f t="shared" ref="AF333:AL334" si="281">AF171</f>
        <v>2.077</v>
      </c>
      <c r="AG333" s="730">
        <f t="shared" si="281"/>
        <v>2.1</v>
      </c>
      <c r="AH333" s="730">
        <f t="shared" si="281"/>
        <v>2.1</v>
      </c>
      <c r="AI333" s="730">
        <f t="shared" si="281"/>
        <v>2.1</v>
      </c>
      <c r="AJ333" s="730">
        <f t="shared" si="281"/>
        <v>2.1</v>
      </c>
      <c r="AK333" s="730">
        <f t="shared" si="281"/>
        <v>2.1</v>
      </c>
      <c r="AL333" s="730">
        <f t="shared" si="281"/>
        <v>2.1</v>
      </c>
      <c r="AM333" s="730"/>
      <c r="AN333" s="726">
        <f t="shared" ref="AN333:AX333" si="282">AN275</f>
        <v>3.38</v>
      </c>
      <c r="AO333" s="726">
        <f t="shared" si="282"/>
        <v>4.2300000000000004</v>
      </c>
      <c r="AP333" s="726">
        <f t="shared" si="282"/>
        <v>6.1870000000000003</v>
      </c>
      <c r="AQ333" s="726">
        <f t="shared" si="282"/>
        <v>7.9710000000000001</v>
      </c>
      <c r="AR333" s="726">
        <f t="shared" si="282"/>
        <v>8.6170000000000009</v>
      </c>
      <c r="AS333" s="726">
        <f t="shared" si="282"/>
        <v>9.7579999999999991</v>
      </c>
      <c r="AT333" s="726">
        <f t="shared" si="282"/>
        <v>7.8650000000000002</v>
      </c>
      <c r="AU333" s="726">
        <f t="shared" si="282"/>
        <v>6.4619999999999997</v>
      </c>
      <c r="AV333" s="726">
        <f t="shared" si="282"/>
        <v>6.9740000000000002</v>
      </c>
      <c r="AW333" s="726">
        <f t="shared" si="282"/>
        <v>7.9210000000000003</v>
      </c>
      <c r="AX333" s="925">
        <f t="shared" si="282"/>
        <v>9.4819999999999993</v>
      </c>
      <c r="AY333" s="729">
        <f t="shared" si="274"/>
        <v>8.4539999999999988</v>
      </c>
      <c r="AZ333" s="729">
        <f t="shared" si="275"/>
        <v>8.4</v>
      </c>
      <c r="BA333" s="729">
        <f t="shared" ref="BA333:BC334" si="283">BA171</f>
        <v>8.4</v>
      </c>
      <c r="BB333" s="729">
        <f t="shared" si="283"/>
        <v>8.4</v>
      </c>
      <c r="BC333" s="729">
        <f t="shared" si="283"/>
        <v>8.4</v>
      </c>
      <c r="BD333" s="631"/>
    </row>
    <row r="334" spans="1:56" s="39" customFormat="1" x14ac:dyDescent="0.25">
      <c r="A334" s="307" t="str">
        <f t="shared" si="256"/>
        <v>Non-cash compensation expense</v>
      </c>
      <c r="B334" s="225"/>
      <c r="C334" s="725">
        <f t="shared" si="257"/>
        <v>0.95299999999999996</v>
      </c>
      <c r="D334" s="725">
        <f t="shared" si="258"/>
        <v>0.95600000000000007</v>
      </c>
      <c r="E334" s="725">
        <f t="shared" si="258"/>
        <v>0.95799999999999996</v>
      </c>
      <c r="F334" s="725">
        <f t="shared" si="258"/>
        <v>0.80600000000000005</v>
      </c>
      <c r="G334" s="725">
        <f t="shared" si="259"/>
        <v>1.1120000000000001</v>
      </c>
      <c r="H334" s="725">
        <f t="shared" si="260"/>
        <v>1.2039999999999997</v>
      </c>
      <c r="I334" s="725">
        <f t="shared" si="260"/>
        <v>1.194</v>
      </c>
      <c r="J334" s="725">
        <f t="shared" si="260"/>
        <v>1.3130000000000006</v>
      </c>
      <c r="K334" s="725">
        <f t="shared" si="261"/>
        <v>1.3380000000000001</v>
      </c>
      <c r="L334" s="725">
        <f t="shared" si="262"/>
        <v>1.5819999999999999</v>
      </c>
      <c r="M334" s="725">
        <f t="shared" si="262"/>
        <v>1.5529999999999999</v>
      </c>
      <c r="N334" s="725">
        <f t="shared" si="262"/>
        <v>1.5860000000000003</v>
      </c>
      <c r="O334" s="725">
        <f t="shared" si="263"/>
        <v>1.496</v>
      </c>
      <c r="P334" s="725">
        <f t="shared" si="264"/>
        <v>1.3919999999999999</v>
      </c>
      <c r="Q334" s="725">
        <f t="shared" si="264"/>
        <v>1.5680000000000005</v>
      </c>
      <c r="R334" s="725">
        <f t="shared" si="264"/>
        <v>1.5589999999999993</v>
      </c>
      <c r="S334" s="725">
        <f t="shared" si="265"/>
        <v>1.458</v>
      </c>
      <c r="T334" s="725">
        <f t="shared" si="266"/>
        <v>1.7340000000000002</v>
      </c>
      <c r="U334" s="725">
        <f t="shared" si="266"/>
        <v>1.6840000000000002</v>
      </c>
      <c r="V334" s="725">
        <f t="shared" si="266"/>
        <v>1.4379999999999997</v>
      </c>
      <c r="W334" s="725">
        <f t="shared" si="267"/>
        <v>1.409</v>
      </c>
      <c r="X334" s="725">
        <f t="shared" si="268"/>
        <v>1.1249999999999998</v>
      </c>
      <c r="Y334" s="725">
        <f t="shared" si="268"/>
        <v>0.96700000000000008</v>
      </c>
      <c r="Z334" s="725">
        <f t="shared" si="268"/>
        <v>0.80899999999999972</v>
      </c>
      <c r="AA334" s="725">
        <f t="shared" si="269"/>
        <v>1.089</v>
      </c>
      <c r="AB334" s="725">
        <f t="shared" si="270"/>
        <v>1.33</v>
      </c>
      <c r="AC334" s="725">
        <f t="shared" si="270"/>
        <v>1.52</v>
      </c>
      <c r="AD334" s="725">
        <f t="shared" si="270"/>
        <v>1.6559999999999997</v>
      </c>
      <c r="AE334" s="725">
        <f t="shared" si="271"/>
        <v>1.256</v>
      </c>
      <c r="AF334" s="771">
        <f t="shared" si="281"/>
        <v>1.536</v>
      </c>
      <c r="AG334" s="730">
        <f t="shared" si="281"/>
        <v>1.5</v>
      </c>
      <c r="AH334" s="730">
        <f t="shared" si="281"/>
        <v>1.5</v>
      </c>
      <c r="AI334" s="730">
        <f t="shared" si="281"/>
        <v>1.5</v>
      </c>
      <c r="AJ334" s="730">
        <f t="shared" si="281"/>
        <v>1.5</v>
      </c>
      <c r="AK334" s="730">
        <f t="shared" si="281"/>
        <v>1.5</v>
      </c>
      <c r="AL334" s="730">
        <f t="shared" si="281"/>
        <v>1.5</v>
      </c>
      <c r="AM334" s="730"/>
      <c r="AN334" s="726">
        <f t="shared" ref="AN334:AX334" si="284">AN276</f>
        <v>1.6379999999999999</v>
      </c>
      <c r="AO334" s="726">
        <f t="shared" si="284"/>
        <v>2.012</v>
      </c>
      <c r="AP334" s="726">
        <f t="shared" si="284"/>
        <v>3.1</v>
      </c>
      <c r="AQ334" s="726">
        <f t="shared" si="284"/>
        <v>3.6150000000000002</v>
      </c>
      <c r="AR334" s="726">
        <f t="shared" si="284"/>
        <v>3.673</v>
      </c>
      <c r="AS334" s="726">
        <f t="shared" si="284"/>
        <v>4.8230000000000004</v>
      </c>
      <c r="AT334" s="726">
        <f t="shared" si="284"/>
        <v>6.0590000000000002</v>
      </c>
      <c r="AU334" s="726">
        <f t="shared" si="284"/>
        <v>6.0149999999999997</v>
      </c>
      <c r="AV334" s="726">
        <f t="shared" si="284"/>
        <v>6.3140000000000001</v>
      </c>
      <c r="AW334" s="726">
        <f t="shared" si="284"/>
        <v>4.3099999999999996</v>
      </c>
      <c r="AX334" s="925">
        <f t="shared" si="284"/>
        <v>5.5949999999999998</v>
      </c>
      <c r="AY334" s="729">
        <f t="shared" si="274"/>
        <v>5.7919999999999998</v>
      </c>
      <c r="AZ334" s="729">
        <f t="shared" si="275"/>
        <v>6</v>
      </c>
      <c r="BA334" s="729">
        <f t="shared" si="283"/>
        <v>6</v>
      </c>
      <c r="BB334" s="729">
        <f t="shared" si="283"/>
        <v>6</v>
      </c>
      <c r="BC334" s="729">
        <f t="shared" si="283"/>
        <v>6</v>
      </c>
      <c r="BD334" s="631"/>
    </row>
    <row r="335" spans="1:56" s="39" customFormat="1" x14ac:dyDescent="0.25">
      <c r="A335" s="307" t="str">
        <f t="shared" si="256"/>
        <v>Deferred income taxes</v>
      </c>
      <c r="B335" s="225"/>
      <c r="C335" s="725">
        <f t="shared" si="257"/>
        <v>-0.27400000000000002</v>
      </c>
      <c r="D335" s="725">
        <f t="shared" si="258"/>
        <v>1.0000000000000009E-3</v>
      </c>
      <c r="E335" s="725">
        <f t="shared" si="258"/>
        <v>5.7000000000000023E-2</v>
      </c>
      <c r="F335" s="725">
        <f t="shared" si="258"/>
        <v>-6.8999999999999978E-2</v>
      </c>
      <c r="G335" s="725">
        <f t="shared" si="259"/>
        <v>0</v>
      </c>
      <c r="H335" s="725">
        <f t="shared" si="260"/>
        <v>0</v>
      </c>
      <c r="I335" s="725">
        <f t="shared" si="260"/>
        <v>0.36599999999999999</v>
      </c>
      <c r="J335" s="725">
        <f t="shared" si="260"/>
        <v>-0.47899999999999998</v>
      </c>
      <c r="K335" s="725">
        <f t="shared" si="261"/>
        <v>0</v>
      </c>
      <c r="L335" s="725">
        <f t="shared" si="262"/>
        <v>0</v>
      </c>
      <c r="M335" s="725">
        <f t="shared" si="262"/>
        <v>0</v>
      </c>
      <c r="N335" s="725">
        <f t="shared" si="262"/>
        <v>-1.0960000000000001</v>
      </c>
      <c r="O335" s="725">
        <f t="shared" si="263"/>
        <v>0</v>
      </c>
      <c r="P335" s="725">
        <f t="shared" si="264"/>
        <v>0</v>
      </c>
      <c r="Q335" s="725">
        <f t="shared" si="264"/>
        <v>-1.5960000000000001</v>
      </c>
      <c r="R335" s="725">
        <f t="shared" si="264"/>
        <v>-0.16499999999999981</v>
      </c>
      <c r="S335" s="725">
        <f t="shared" si="265"/>
        <v>0.11799999999999999</v>
      </c>
      <c r="T335" s="725">
        <f t="shared" si="266"/>
        <v>-0.55099999999999993</v>
      </c>
      <c r="U335" s="725">
        <f t="shared" si="266"/>
        <v>1.2000000000000011E-2</v>
      </c>
      <c r="V335" s="725">
        <f t="shared" si="266"/>
        <v>0.10799999999999998</v>
      </c>
      <c r="W335" s="725">
        <f t="shared" si="267"/>
        <v>-0.108</v>
      </c>
      <c r="X335" s="725">
        <f t="shared" si="268"/>
        <v>-6.1000000000000013E-2</v>
      </c>
      <c r="Y335" s="725">
        <f t="shared" si="268"/>
        <v>-0.44099999999999995</v>
      </c>
      <c r="Z335" s="725">
        <f t="shared" si="268"/>
        <v>1.486</v>
      </c>
      <c r="AA335" s="725">
        <f t="shared" si="269"/>
        <v>-0.10199999999999999</v>
      </c>
      <c r="AB335" s="725">
        <f t="shared" si="270"/>
        <v>-0.45400000000000007</v>
      </c>
      <c r="AC335" s="725">
        <f t="shared" si="270"/>
        <v>0.29800000000000004</v>
      </c>
      <c r="AD335" s="725">
        <f t="shared" si="270"/>
        <v>-0.82800000000000007</v>
      </c>
      <c r="AE335" s="725">
        <f t="shared" si="271"/>
        <v>-0.41399999999999998</v>
      </c>
      <c r="AF335" s="771">
        <f t="shared" ref="AF335:AL335" si="285">AF182</f>
        <v>-8.9549999999999796E-2</v>
      </c>
      <c r="AG335" s="730">
        <f t="shared" si="285"/>
        <v>1.6290507431693947E-2</v>
      </c>
      <c r="AH335" s="730">
        <f t="shared" ca="1" si="285"/>
        <v>3.4031461784534783E-2</v>
      </c>
      <c r="AI335" s="730">
        <f t="shared" ca="1" si="285"/>
        <v>1.7015176128066037E-2</v>
      </c>
      <c r="AJ335" s="730">
        <f t="shared" ca="1" si="285"/>
        <v>2.2964609139256673E-2</v>
      </c>
      <c r="AK335" s="730">
        <f t="shared" ca="1" si="285"/>
        <v>2.7617424782935846E-2</v>
      </c>
      <c r="AL335" s="730">
        <f t="shared" ca="1" si="285"/>
        <v>6.0416591284596512E-2</v>
      </c>
      <c r="AM335" s="730"/>
      <c r="AN335" s="726">
        <f t="shared" ref="AN335:AX335" si="286">AN277</f>
        <v>1.8620000000000001</v>
      </c>
      <c r="AO335" s="726">
        <f t="shared" si="286"/>
        <v>1.0640000000000001</v>
      </c>
      <c r="AP335" s="726">
        <f t="shared" si="286"/>
        <v>0.14699999999999999</v>
      </c>
      <c r="AQ335" s="726">
        <f t="shared" si="286"/>
        <v>0.71599999999999997</v>
      </c>
      <c r="AR335" s="726">
        <f t="shared" si="286"/>
        <v>-0.28499999999999998</v>
      </c>
      <c r="AS335" s="726">
        <f t="shared" si="286"/>
        <v>-0.113</v>
      </c>
      <c r="AT335" s="726">
        <f t="shared" si="286"/>
        <v>-1.0960000000000001</v>
      </c>
      <c r="AU335" s="726">
        <f t="shared" si="286"/>
        <v>-1.7609999999999999</v>
      </c>
      <c r="AV335" s="726">
        <f t="shared" si="286"/>
        <v>-0.313</v>
      </c>
      <c r="AW335" s="726">
        <f t="shared" si="286"/>
        <v>0.876</v>
      </c>
      <c r="AX335" s="925">
        <f t="shared" si="286"/>
        <v>-1.0860000000000001</v>
      </c>
      <c r="AY335" s="729">
        <f t="shared" ca="1" si="274"/>
        <v>-0.45322803078377094</v>
      </c>
      <c r="AZ335" s="729">
        <f t="shared" ca="1" si="275"/>
        <v>0.12801380133485507</v>
      </c>
      <c r="BA335" s="729">
        <f ca="1">BA182</f>
        <v>0.22862005931830351</v>
      </c>
      <c r="BB335" s="729">
        <f ca="1">BB182</f>
        <v>0.32682829020420712</v>
      </c>
      <c r="BC335" s="729">
        <f ca="1">BC182</f>
        <v>0.34814143426397137</v>
      </c>
      <c r="BD335" s="631"/>
    </row>
    <row r="336" spans="1:56" s="38" customFormat="1" x14ac:dyDescent="0.25">
      <c r="A336" s="259" t="str">
        <f t="shared" si="256"/>
        <v>CFO before WC</v>
      </c>
      <c r="B336" s="260"/>
      <c r="C336" s="747">
        <f t="shared" ref="C336:AL336" si="287">SUM(C327:C335)</f>
        <v>7.3150000000000004</v>
      </c>
      <c r="D336" s="747">
        <f t="shared" si="287"/>
        <v>8.1509999999999998</v>
      </c>
      <c r="E336" s="747">
        <f t="shared" si="287"/>
        <v>9.3280000000000012</v>
      </c>
      <c r="F336" s="747">
        <f t="shared" si="287"/>
        <v>9.2909999999999986</v>
      </c>
      <c r="G336" s="747">
        <f t="shared" si="287"/>
        <v>7.4600000000000009</v>
      </c>
      <c r="H336" s="747">
        <f t="shared" si="287"/>
        <v>11.378999999999998</v>
      </c>
      <c r="I336" s="747">
        <f t="shared" si="287"/>
        <v>10.675000000000001</v>
      </c>
      <c r="J336" s="747">
        <f t="shared" si="287"/>
        <v>10.66</v>
      </c>
      <c r="K336" s="747">
        <f t="shared" si="287"/>
        <v>7.7160000000000002</v>
      </c>
      <c r="L336" s="747">
        <f t="shared" si="287"/>
        <v>8.3349999999999973</v>
      </c>
      <c r="M336" s="747">
        <f t="shared" si="287"/>
        <v>7.2870000000000017</v>
      </c>
      <c r="N336" s="747">
        <f t="shared" si="287"/>
        <v>8.65</v>
      </c>
      <c r="O336" s="747">
        <f t="shared" si="287"/>
        <v>7.2199999999999989</v>
      </c>
      <c r="P336" s="747">
        <f t="shared" si="287"/>
        <v>7.9269999999999996</v>
      </c>
      <c r="Q336" s="747">
        <f t="shared" si="287"/>
        <v>6.2710000000000017</v>
      </c>
      <c r="R336" s="747">
        <f t="shared" si="287"/>
        <v>9.6809999999999992</v>
      </c>
      <c r="S336" s="747">
        <f t="shared" si="287"/>
        <v>6.9080000000000013</v>
      </c>
      <c r="T336" s="747">
        <f t="shared" si="287"/>
        <v>8.9049999999999994</v>
      </c>
      <c r="U336" s="747">
        <f t="shared" si="287"/>
        <v>6.6560000000000006</v>
      </c>
      <c r="V336" s="747">
        <f t="shared" si="287"/>
        <v>1.7769999999999997</v>
      </c>
      <c r="W336" s="747">
        <f t="shared" si="287"/>
        <v>3.2230000000000003</v>
      </c>
      <c r="X336" s="747">
        <f t="shared" si="287"/>
        <v>5.6639999999999997</v>
      </c>
      <c r="Y336" s="747">
        <f t="shared" si="287"/>
        <v>5.1530000000000014</v>
      </c>
      <c r="Z336" s="747">
        <f t="shared" si="287"/>
        <v>4.4649999999999999</v>
      </c>
      <c r="AA336" s="747">
        <f t="shared" si="287"/>
        <v>3.6120000000000001</v>
      </c>
      <c r="AB336" s="747">
        <f t="shared" si="287"/>
        <v>5.7839999999999998</v>
      </c>
      <c r="AC336" s="747">
        <f t="shared" si="287"/>
        <v>6.2940000000000005</v>
      </c>
      <c r="AD336" s="747">
        <f t="shared" si="287"/>
        <v>0.6870000000000005</v>
      </c>
      <c r="AE336" s="747">
        <f t="shared" si="287"/>
        <v>0.66100000000000003</v>
      </c>
      <c r="AF336" s="772">
        <f t="shared" si="287"/>
        <v>2.9174500000000041</v>
      </c>
      <c r="AG336" s="747">
        <f t="shared" si="287"/>
        <v>4.8543690722404333</v>
      </c>
      <c r="AH336" s="747">
        <f t="shared" ca="1" si="287"/>
        <v>6.2204225574091776</v>
      </c>
      <c r="AI336" s="747">
        <f t="shared" ca="1" si="287"/>
        <v>4.9101685618610844</v>
      </c>
      <c r="AJ336" s="747">
        <f t="shared" ca="1" si="287"/>
        <v>5.3682749037227637</v>
      </c>
      <c r="AK336" s="747">
        <f t="shared" ca="1" si="287"/>
        <v>5.726541708286061</v>
      </c>
      <c r="AL336" s="747">
        <f t="shared" ca="1" si="287"/>
        <v>8.2520775289139312</v>
      </c>
      <c r="AM336" s="747"/>
      <c r="AN336" s="748">
        <f t="shared" ref="AN336:BC336" si="288">SUM(AN327:AN335)</f>
        <v>15.853000000000002</v>
      </c>
      <c r="AO336" s="748">
        <f t="shared" si="288"/>
        <v>18.724999999999998</v>
      </c>
      <c r="AP336" s="748">
        <f t="shared" si="288"/>
        <v>24.844999999999999</v>
      </c>
      <c r="AQ336" s="748">
        <f t="shared" si="288"/>
        <v>34.177</v>
      </c>
      <c r="AR336" s="748">
        <f t="shared" si="288"/>
        <v>34.085000000000008</v>
      </c>
      <c r="AS336" s="748">
        <f t="shared" si="288"/>
        <v>40.173999999999999</v>
      </c>
      <c r="AT336" s="748">
        <f t="shared" si="288"/>
        <v>31.987999999999996</v>
      </c>
      <c r="AU336" s="748">
        <f t="shared" si="288"/>
        <v>31.099</v>
      </c>
      <c r="AV336" s="748">
        <f t="shared" si="288"/>
        <v>24.246000000000002</v>
      </c>
      <c r="AW336" s="748">
        <f t="shared" si="288"/>
        <v>18.505000000000003</v>
      </c>
      <c r="AX336" s="960">
        <f t="shared" si="288"/>
        <v>16.377000000000002</v>
      </c>
      <c r="AY336" s="748">
        <f t="shared" ca="1" si="288"/>
        <v>14.653241629649616</v>
      </c>
      <c r="AZ336" s="748">
        <f t="shared" ca="1" si="288"/>
        <v>24.257062702783841</v>
      </c>
      <c r="BA336" s="748">
        <f t="shared" ca="1" si="288"/>
        <v>32.003744567509393</v>
      </c>
      <c r="BB336" s="748">
        <f t="shared" ca="1" si="288"/>
        <v>39.565778345723977</v>
      </c>
      <c r="BC336" s="748">
        <f t="shared" ca="1" si="288"/>
        <v>41.206890438325836</v>
      </c>
      <c r="BD336" s="632"/>
    </row>
    <row r="337" spans="1:56" s="39" customFormat="1" x14ac:dyDescent="0.25">
      <c r="A337" s="307" t="str">
        <f t="shared" si="256"/>
        <v>Accounts and other receivables</v>
      </c>
      <c r="B337" s="225"/>
      <c r="C337" s="725">
        <f t="shared" ref="C337:C345" si="289">C279</f>
        <v>12.507999999999999</v>
      </c>
      <c r="D337" s="725">
        <f t="shared" ref="D337:F345" si="290">D279-C279</f>
        <v>-6.7219999999999995</v>
      </c>
      <c r="E337" s="725">
        <f t="shared" si="290"/>
        <v>-4.8689999999999998</v>
      </c>
      <c r="F337" s="725">
        <f t="shared" si="290"/>
        <v>-10.074999999999999</v>
      </c>
      <c r="G337" s="725">
        <f t="shared" ref="G337:G345" si="291">G279</f>
        <v>-0.54200000000000004</v>
      </c>
      <c r="H337" s="725">
        <f t="shared" ref="H337:J345" si="292">H279-G279</f>
        <v>-15.517000000000001</v>
      </c>
      <c r="I337" s="725">
        <f t="shared" si="292"/>
        <v>22.222999999999999</v>
      </c>
      <c r="J337" s="725">
        <f t="shared" si="292"/>
        <v>-12.187999999999999</v>
      </c>
      <c r="K337" s="725">
        <f t="shared" ref="K337:K345" si="293">K279</f>
        <v>11.43</v>
      </c>
      <c r="L337" s="725">
        <f t="shared" ref="L337:N345" si="294">L279-K279</f>
        <v>-8.9260000000000002</v>
      </c>
      <c r="M337" s="725">
        <f t="shared" si="294"/>
        <v>-3.9219999999999997</v>
      </c>
      <c r="N337" s="725">
        <f t="shared" si="294"/>
        <v>7.915</v>
      </c>
      <c r="O337" s="725">
        <f t="shared" ref="O337:O345" si="295">O279</f>
        <v>4.6440000000000001</v>
      </c>
      <c r="P337" s="725">
        <f t="shared" ref="P337:R345" si="296">P279-O279</f>
        <v>-3.839</v>
      </c>
      <c r="Q337" s="725">
        <f t="shared" si="296"/>
        <v>-1.859</v>
      </c>
      <c r="R337" s="725">
        <f t="shared" si="296"/>
        <v>-16.911000000000001</v>
      </c>
      <c r="S337" s="725">
        <f t="shared" ref="S337:S345" si="297">S279</f>
        <v>5.7530000000000001</v>
      </c>
      <c r="T337" s="725">
        <f t="shared" ref="T337:V345" si="298">T279-S279</f>
        <v>1.6819999999999995</v>
      </c>
      <c r="U337" s="725">
        <f t="shared" si="298"/>
        <v>4.37</v>
      </c>
      <c r="V337" s="725">
        <f t="shared" si="298"/>
        <v>-22.782</v>
      </c>
      <c r="W337" s="725">
        <f t="shared" ref="W337:W345" si="299">W279</f>
        <v>12.817</v>
      </c>
      <c r="X337" s="725">
        <f t="shared" ref="X337:Z345" si="300">X279-W279</f>
        <v>-2.2490000000000006</v>
      </c>
      <c r="Y337" s="725">
        <f t="shared" si="300"/>
        <v>-15.212</v>
      </c>
      <c r="Z337" s="725">
        <f t="shared" si="300"/>
        <v>27.735999999999997</v>
      </c>
      <c r="AA337" s="725">
        <f t="shared" ref="AA337:AA345" si="301">AA279</f>
        <v>6.1040000000000001</v>
      </c>
      <c r="AB337" s="725">
        <f t="shared" ref="AB337:AD345" si="302">AB279-AA279</f>
        <v>-16.632000000000001</v>
      </c>
      <c r="AC337" s="725">
        <f t="shared" si="302"/>
        <v>-0.46899999999999942</v>
      </c>
      <c r="AD337" s="725">
        <f t="shared" si="302"/>
        <v>-12.806000000000001</v>
      </c>
      <c r="AE337" s="725">
        <f t="shared" ref="AE337:AE345" si="303">AE279</f>
        <v>25.29</v>
      </c>
      <c r="AF337" s="771">
        <f>AE399-AF399</f>
        <v>4.3669999999999902</v>
      </c>
      <c r="AG337" s="730">
        <f>AF399-AG399</f>
        <v>13.134873881468437</v>
      </c>
      <c r="AH337" s="730">
        <f>AG399-AH399</f>
        <v>-18.685377430303504</v>
      </c>
      <c r="AI337" s="730">
        <f>AY399-AI399</f>
        <v>10.598300523042283</v>
      </c>
      <c r="AJ337" s="730">
        <f>AI399-AJ399</f>
        <v>-7.4608441872760949</v>
      </c>
      <c r="AK337" s="730">
        <f>AJ399-AK399</f>
        <v>11.530689072221961</v>
      </c>
      <c r="AL337" s="730">
        <f>AK399-AL399</f>
        <v>-21.920420021055421</v>
      </c>
      <c r="AM337" s="730"/>
      <c r="AN337" s="726">
        <f t="shared" ref="AN337:AX337" si="304">AN279</f>
        <v>2.3290000000000002</v>
      </c>
      <c r="AO337" s="726">
        <f t="shared" si="304"/>
        <v>-1.2999999999999999E-2</v>
      </c>
      <c r="AP337" s="726">
        <f t="shared" si="304"/>
        <v>-4.9550000000000001</v>
      </c>
      <c r="AQ337" s="726">
        <f t="shared" si="304"/>
        <v>-11.262</v>
      </c>
      <c r="AR337" s="726">
        <f t="shared" si="304"/>
        <v>-9.1579999999999995</v>
      </c>
      <c r="AS337" s="726">
        <f t="shared" si="304"/>
        <v>-6.024</v>
      </c>
      <c r="AT337" s="726">
        <f t="shared" si="304"/>
        <v>6.4969999999999999</v>
      </c>
      <c r="AU337" s="726">
        <f t="shared" si="304"/>
        <v>-17.965</v>
      </c>
      <c r="AV337" s="726">
        <f t="shared" si="304"/>
        <v>-10.977</v>
      </c>
      <c r="AW337" s="726">
        <f t="shared" si="304"/>
        <v>23.091999999999999</v>
      </c>
      <c r="AX337" s="925">
        <f t="shared" si="304"/>
        <v>-23.803000000000001</v>
      </c>
      <c r="AY337" s="729">
        <f t="shared" ref="AY337:AY345" si="305">SUM(AE337,AF337,AG337,AH337)</f>
        <v>24.106496451164922</v>
      </c>
      <c r="AZ337" s="729">
        <f t="shared" ref="AZ337:AZ345" si="306">SUM(AI337,AJ337,AK337,AL337)</f>
        <v>-7.2522746130672715</v>
      </c>
      <c r="BA337" s="729">
        <f>AZ399-BA399</f>
        <v>-11.263077816190233</v>
      </c>
      <c r="BB337" s="729">
        <f>BA399-BB399</f>
        <v>-12.38938559780928</v>
      </c>
      <c r="BC337" s="729">
        <f>BB399-BC399</f>
        <v>-6.8141620787950785</v>
      </c>
      <c r="BD337" s="631"/>
    </row>
    <row r="338" spans="1:56" s="39" customFormat="1" x14ac:dyDescent="0.25">
      <c r="A338" s="307" t="str">
        <f t="shared" si="256"/>
        <v>Inventories</v>
      </c>
      <c r="B338" s="225"/>
      <c r="C338" s="725">
        <f t="shared" si="289"/>
        <v>0</v>
      </c>
      <c r="D338" s="725">
        <f t="shared" si="290"/>
        <v>0</v>
      </c>
      <c r="E338" s="725">
        <f t="shared" si="290"/>
        <v>0</v>
      </c>
      <c r="F338" s="725">
        <f t="shared" si="290"/>
        <v>0</v>
      </c>
      <c r="G338" s="725">
        <f t="shared" si="291"/>
        <v>0</v>
      </c>
      <c r="H338" s="725">
        <f t="shared" si="292"/>
        <v>0</v>
      </c>
      <c r="I338" s="725">
        <f t="shared" si="292"/>
        <v>0</v>
      </c>
      <c r="J338" s="725">
        <f t="shared" si="292"/>
        <v>0</v>
      </c>
      <c r="K338" s="725">
        <f t="shared" si="293"/>
        <v>0</v>
      </c>
      <c r="L338" s="725">
        <f t="shared" si="294"/>
        <v>0</v>
      </c>
      <c r="M338" s="725">
        <f t="shared" si="294"/>
        <v>0</v>
      </c>
      <c r="N338" s="725">
        <f t="shared" si="294"/>
        <v>0</v>
      </c>
      <c r="O338" s="725">
        <f t="shared" si="295"/>
        <v>0</v>
      </c>
      <c r="P338" s="725">
        <f t="shared" si="296"/>
        <v>0</v>
      </c>
      <c r="Q338" s="725">
        <f t="shared" si="296"/>
        <v>0</v>
      </c>
      <c r="R338" s="725">
        <f t="shared" si="296"/>
        <v>0</v>
      </c>
      <c r="S338" s="725">
        <f t="shared" si="297"/>
        <v>0</v>
      </c>
      <c r="T338" s="725">
        <f t="shared" si="298"/>
        <v>0</v>
      </c>
      <c r="U338" s="725">
        <f t="shared" si="298"/>
        <v>0</v>
      </c>
      <c r="V338" s="725">
        <f t="shared" si="298"/>
        <v>0</v>
      </c>
      <c r="W338" s="725">
        <f t="shared" si="299"/>
        <v>0</v>
      </c>
      <c r="X338" s="725">
        <f t="shared" si="300"/>
        <v>0</v>
      </c>
      <c r="Y338" s="725">
        <f t="shared" si="300"/>
        <v>0</v>
      </c>
      <c r="Z338" s="725">
        <f t="shared" si="300"/>
        <v>0</v>
      </c>
      <c r="AA338" s="725">
        <f t="shared" si="301"/>
        <v>0</v>
      </c>
      <c r="AB338" s="725">
        <f t="shared" si="302"/>
        <v>0</v>
      </c>
      <c r="AC338" s="725">
        <f t="shared" si="302"/>
        <v>0</v>
      </c>
      <c r="AD338" s="725">
        <f t="shared" si="302"/>
        <v>0</v>
      </c>
      <c r="AE338" s="725">
        <f t="shared" si="303"/>
        <v>0</v>
      </c>
      <c r="AF338" s="779"/>
      <c r="AG338" s="728"/>
      <c r="AH338" s="728"/>
      <c r="AI338" s="728"/>
      <c r="AJ338" s="728"/>
      <c r="AK338" s="728"/>
      <c r="AL338" s="728"/>
      <c r="AM338" s="728"/>
      <c r="AN338" s="726">
        <f t="shared" ref="AN338:AX338" si="307">AN280</f>
        <v>-0.02</v>
      </c>
      <c r="AO338" s="726">
        <f t="shared" si="307"/>
        <v>0</v>
      </c>
      <c r="AP338" s="726">
        <f t="shared" si="307"/>
        <v>0</v>
      </c>
      <c r="AQ338" s="726">
        <f t="shared" si="307"/>
        <v>0</v>
      </c>
      <c r="AR338" s="726">
        <f t="shared" si="307"/>
        <v>0</v>
      </c>
      <c r="AS338" s="726">
        <f t="shared" si="307"/>
        <v>0</v>
      </c>
      <c r="AT338" s="726">
        <f t="shared" si="307"/>
        <v>0</v>
      </c>
      <c r="AU338" s="726">
        <f t="shared" si="307"/>
        <v>0</v>
      </c>
      <c r="AV338" s="726">
        <f t="shared" si="307"/>
        <v>0</v>
      </c>
      <c r="AW338" s="726">
        <f t="shared" si="307"/>
        <v>0</v>
      </c>
      <c r="AX338" s="925">
        <f t="shared" si="307"/>
        <v>0</v>
      </c>
      <c r="AY338" s="729">
        <f t="shared" si="305"/>
        <v>0</v>
      </c>
      <c r="AZ338" s="729">
        <f t="shared" si="306"/>
        <v>0</v>
      </c>
      <c r="BA338" s="773"/>
      <c r="BB338" s="773"/>
      <c r="BC338" s="773"/>
      <c r="BD338" s="631"/>
    </row>
    <row r="339" spans="1:56" s="39" customFormat="1" x14ac:dyDescent="0.25">
      <c r="A339" s="307" t="str">
        <f t="shared" si="256"/>
        <v>Costs and estimated earnings in excess of billings on uncompleted contracts</v>
      </c>
      <c r="B339" s="225"/>
      <c r="C339" s="725">
        <f t="shared" si="289"/>
        <v>-3.887</v>
      </c>
      <c r="D339" s="725">
        <f t="shared" si="290"/>
        <v>-0.31399999999999961</v>
      </c>
      <c r="E339" s="725">
        <f t="shared" si="290"/>
        <v>-5.0680000000000005</v>
      </c>
      <c r="F339" s="725">
        <f t="shared" si="290"/>
        <v>4.3280000000000003</v>
      </c>
      <c r="G339" s="725">
        <f t="shared" si="291"/>
        <v>-10.337999999999999</v>
      </c>
      <c r="H339" s="725">
        <f t="shared" si="292"/>
        <v>-1.1350000000000016</v>
      </c>
      <c r="I339" s="725">
        <f t="shared" si="292"/>
        <v>-4.4639999999999986</v>
      </c>
      <c r="J339" s="725">
        <f t="shared" si="292"/>
        <v>7.645999999999999</v>
      </c>
      <c r="K339" s="725">
        <f t="shared" si="293"/>
        <v>-6.7329999999999997</v>
      </c>
      <c r="L339" s="725">
        <f t="shared" si="294"/>
        <v>-5.0729999999999995</v>
      </c>
      <c r="M339" s="725">
        <f t="shared" si="294"/>
        <v>1.8919999999999995</v>
      </c>
      <c r="N339" s="725">
        <f t="shared" si="294"/>
        <v>-7.0280000000000005</v>
      </c>
      <c r="O339" s="725">
        <f t="shared" si="295"/>
        <v>3.9140000000000001</v>
      </c>
      <c r="P339" s="725">
        <f t="shared" si="296"/>
        <v>-4.4710000000000001</v>
      </c>
      <c r="Q339" s="725">
        <f t="shared" si="296"/>
        <v>-8.097999999999999</v>
      </c>
      <c r="R339" s="725">
        <f t="shared" si="296"/>
        <v>12.888999999999999</v>
      </c>
      <c r="S339" s="725">
        <f t="shared" si="297"/>
        <v>-7.57</v>
      </c>
      <c r="T339" s="725">
        <f t="shared" si="298"/>
        <v>2.4170000000000007</v>
      </c>
      <c r="U339" s="725">
        <f t="shared" si="298"/>
        <v>-6.5170000000000003</v>
      </c>
      <c r="V339" s="725">
        <f t="shared" si="298"/>
        <v>9.7769999999999992</v>
      </c>
      <c r="W339" s="725">
        <f t="shared" si="299"/>
        <v>0.22700000000000001</v>
      </c>
      <c r="X339" s="725">
        <f t="shared" si="300"/>
        <v>-2.98</v>
      </c>
      <c r="Y339" s="725">
        <f t="shared" si="300"/>
        <v>9.0970000000000013</v>
      </c>
      <c r="Z339" s="725">
        <f t="shared" si="300"/>
        <v>-43.212000000000003</v>
      </c>
      <c r="AA339" s="725">
        <f t="shared" si="301"/>
        <v>-2.5529999999999999</v>
      </c>
      <c r="AB339" s="725">
        <f t="shared" si="302"/>
        <v>10.818999999999999</v>
      </c>
      <c r="AC339" s="725">
        <f t="shared" si="302"/>
        <v>11.03</v>
      </c>
      <c r="AD339" s="725">
        <f t="shared" si="302"/>
        <v>4.1769999999999996</v>
      </c>
      <c r="AE339" s="725">
        <f t="shared" si="303"/>
        <v>-5.2519999999999998</v>
      </c>
      <c r="AF339" s="771">
        <f>AE400-AF400</f>
        <v>20.625999999999998</v>
      </c>
      <c r="AG339" s="730">
        <f>AF400-AG400</f>
        <v>-15.5508851705358</v>
      </c>
      <c r="AH339" s="730">
        <f>AG400-AH400</f>
        <v>5.4018582456785253</v>
      </c>
      <c r="AI339" s="730">
        <f>AY400-AI400</f>
        <v>-4.9963405066841773</v>
      </c>
      <c r="AJ339" s="730">
        <f>AI400-AJ400</f>
        <v>14.177784520014278</v>
      </c>
      <c r="AK339" s="730">
        <f>AJ400-AK400</f>
        <v>-17.158792433378508</v>
      </c>
      <c r="AL339" s="730">
        <f>AK400-AL400</f>
        <v>4.5240366102796798</v>
      </c>
      <c r="AM339" s="730"/>
      <c r="AN339" s="726">
        <f t="shared" ref="AN339:AX339" si="308">AN281</f>
        <v>-1.163</v>
      </c>
      <c r="AO339" s="726">
        <f t="shared" si="308"/>
        <v>-1.7709999999999999</v>
      </c>
      <c r="AP339" s="726">
        <f t="shared" si="308"/>
        <v>-0.70099999999999996</v>
      </c>
      <c r="AQ339" s="726">
        <f t="shared" si="308"/>
        <v>-1.256</v>
      </c>
      <c r="AR339" s="726">
        <f t="shared" si="308"/>
        <v>-4.9409999999999998</v>
      </c>
      <c r="AS339" s="726">
        <f t="shared" si="308"/>
        <v>-8.2910000000000004</v>
      </c>
      <c r="AT339" s="726">
        <f t="shared" si="308"/>
        <v>-16.942</v>
      </c>
      <c r="AU339" s="726">
        <f t="shared" si="308"/>
        <v>4.234</v>
      </c>
      <c r="AV339" s="726">
        <f t="shared" si="308"/>
        <v>-1.893</v>
      </c>
      <c r="AW339" s="726">
        <f t="shared" si="308"/>
        <v>-36.868000000000002</v>
      </c>
      <c r="AX339" s="925">
        <f t="shared" si="308"/>
        <v>23.472999999999999</v>
      </c>
      <c r="AY339" s="729">
        <f t="shared" si="305"/>
        <v>5.2249730751427244</v>
      </c>
      <c r="AZ339" s="729">
        <f t="shared" si="306"/>
        <v>-3.4533118097687279</v>
      </c>
      <c r="BA339" s="729">
        <f>AZ400-BA400</f>
        <v>-5.3631338734626013</v>
      </c>
      <c r="BB339" s="729">
        <f>BA400-BB400</f>
        <v>-5.899447260808877</v>
      </c>
      <c r="BC339" s="729">
        <f>BB400-BC400</f>
        <v>-3.2446959934448643</v>
      </c>
      <c r="BD339" s="631"/>
    </row>
    <row r="340" spans="1:56" s="39" customFormat="1" x14ac:dyDescent="0.25">
      <c r="A340" s="307" t="str">
        <f t="shared" si="256"/>
        <v>Prepaid expenses and other current assets</v>
      </c>
      <c r="B340" s="225"/>
      <c r="C340" s="725">
        <f t="shared" si="289"/>
        <v>-0.13600000000000001</v>
      </c>
      <c r="D340" s="725">
        <f t="shared" si="290"/>
        <v>-1.6309999999999998</v>
      </c>
      <c r="E340" s="725">
        <f t="shared" si="290"/>
        <v>-0.81899999999999995</v>
      </c>
      <c r="F340" s="725">
        <f t="shared" si="290"/>
        <v>-0.22100000000000009</v>
      </c>
      <c r="G340" s="725">
        <f t="shared" si="291"/>
        <v>-1.383</v>
      </c>
      <c r="H340" s="725">
        <f t="shared" si="292"/>
        <v>1.73</v>
      </c>
      <c r="I340" s="725">
        <f t="shared" si="292"/>
        <v>-3.0720000000000001</v>
      </c>
      <c r="J340" s="725">
        <f t="shared" si="292"/>
        <v>0.75800000000000001</v>
      </c>
      <c r="K340" s="725">
        <f t="shared" si="293"/>
        <v>-3.8660000000000001</v>
      </c>
      <c r="L340" s="725">
        <f t="shared" si="294"/>
        <v>3.419</v>
      </c>
      <c r="M340" s="725">
        <f t="shared" si="294"/>
        <v>0.66700000000000004</v>
      </c>
      <c r="N340" s="725">
        <f t="shared" si="294"/>
        <v>4.891</v>
      </c>
      <c r="O340" s="725">
        <f t="shared" si="295"/>
        <v>-2.641</v>
      </c>
      <c r="P340" s="725">
        <f t="shared" si="296"/>
        <v>1.157</v>
      </c>
      <c r="Q340" s="725">
        <f t="shared" si="296"/>
        <v>-3.3090000000000002</v>
      </c>
      <c r="R340" s="725">
        <f t="shared" si="296"/>
        <v>2.3029999999999999</v>
      </c>
      <c r="S340" s="725">
        <f t="shared" si="297"/>
        <v>-0.33</v>
      </c>
      <c r="T340" s="725">
        <f t="shared" si="298"/>
        <v>-1.4849999999999999</v>
      </c>
      <c r="U340" s="725">
        <f t="shared" si="298"/>
        <v>-4.4169999999999998</v>
      </c>
      <c r="V340" s="725">
        <f t="shared" si="298"/>
        <v>3.9350000000000001</v>
      </c>
      <c r="W340" s="725">
        <f t="shared" si="299"/>
        <v>-6.024</v>
      </c>
      <c r="X340" s="725">
        <f t="shared" si="300"/>
        <v>4.2690000000000001</v>
      </c>
      <c r="Y340" s="725">
        <f t="shared" si="300"/>
        <v>-3.3760000000000003</v>
      </c>
      <c r="Z340" s="725">
        <f t="shared" si="300"/>
        <v>5.8360000000000003</v>
      </c>
      <c r="AA340" s="725">
        <f t="shared" si="301"/>
        <v>-5.6</v>
      </c>
      <c r="AB340" s="725">
        <f t="shared" si="302"/>
        <v>3.1509999999999998</v>
      </c>
      <c r="AC340" s="725">
        <f t="shared" si="302"/>
        <v>-4.1790000000000003</v>
      </c>
      <c r="AD340" s="725">
        <f t="shared" si="302"/>
        <v>7.0490000000000004</v>
      </c>
      <c r="AE340" s="725">
        <f t="shared" si="303"/>
        <v>-3.6019999999999999</v>
      </c>
      <c r="AF340" s="771">
        <f>AE402-AF402</f>
        <v>3.4000000000002473E-2</v>
      </c>
      <c r="AG340" s="730">
        <f>AF402-AG402</f>
        <v>-2.7650002246942584</v>
      </c>
      <c r="AH340" s="730">
        <f>AG402-AH402</f>
        <v>7.2770885598277211</v>
      </c>
      <c r="AI340" s="730">
        <f>AY402-AI402</f>
        <v>-2.6209320000650003</v>
      </c>
      <c r="AJ340" s="730">
        <f>AI402-AJ402</f>
        <v>-2.4053441412591248</v>
      </c>
      <c r="AK340" s="730">
        <f>AJ402-AK402</f>
        <v>-3.3646516736599743</v>
      </c>
      <c r="AL340" s="730">
        <f>AK402-AL402</f>
        <v>7.2374906547379112</v>
      </c>
      <c r="AM340" s="730"/>
      <c r="AN340" s="726">
        <f t="shared" ref="AN340:AX340" si="309">AN282</f>
        <v>0.63700000000000001</v>
      </c>
      <c r="AO340" s="726">
        <f t="shared" si="309"/>
        <v>1.754</v>
      </c>
      <c r="AP340" s="726">
        <f t="shared" si="309"/>
        <v>-1.599</v>
      </c>
      <c r="AQ340" s="726">
        <f t="shared" si="309"/>
        <v>-1.2270000000000001</v>
      </c>
      <c r="AR340" s="726">
        <f t="shared" si="309"/>
        <v>-2.8069999999999999</v>
      </c>
      <c r="AS340" s="726">
        <f t="shared" si="309"/>
        <v>-1.9670000000000001</v>
      </c>
      <c r="AT340" s="726">
        <f t="shared" si="309"/>
        <v>5.1109999999999998</v>
      </c>
      <c r="AU340" s="726">
        <f t="shared" si="309"/>
        <v>-2.4900000000000002</v>
      </c>
      <c r="AV340" s="726">
        <f t="shared" si="309"/>
        <v>-2.2970000000000002</v>
      </c>
      <c r="AW340" s="726">
        <f t="shared" si="309"/>
        <v>0.70499999999999996</v>
      </c>
      <c r="AX340" s="925">
        <f t="shared" si="309"/>
        <v>0.42099999999999999</v>
      </c>
      <c r="AY340" s="729">
        <f t="shared" si="305"/>
        <v>0.9440883351334648</v>
      </c>
      <c r="AZ340" s="729">
        <f t="shared" si="306"/>
        <v>-1.1534371602461881</v>
      </c>
      <c r="BA340" s="729">
        <f>AZ402-BA402</f>
        <v>-1.7913348825112756</v>
      </c>
      <c r="BB340" s="729">
        <f>BA402-BB402</f>
        <v>-1.9704683707624007</v>
      </c>
      <c r="BC340" s="729">
        <f>BB402-BC402</f>
        <v>-1.0837576039193202</v>
      </c>
      <c r="BD340" s="631"/>
    </row>
    <row r="341" spans="1:56" s="39" customFormat="1" x14ac:dyDescent="0.25">
      <c r="A341" s="307" t="str">
        <f t="shared" si="256"/>
        <v>Accounts payable and accrued expenses</v>
      </c>
      <c r="B341" s="225"/>
      <c r="C341" s="725">
        <f t="shared" si="289"/>
        <v>-6.0419999999999998</v>
      </c>
      <c r="D341" s="725">
        <f t="shared" si="290"/>
        <v>2.476</v>
      </c>
      <c r="E341" s="725">
        <f t="shared" si="290"/>
        <v>3.4949999999999997</v>
      </c>
      <c r="F341" s="725">
        <f t="shared" si="290"/>
        <v>1.2449999999999999</v>
      </c>
      <c r="G341" s="725">
        <f t="shared" si="291"/>
        <v>1.9379999999999999</v>
      </c>
      <c r="H341" s="725">
        <f t="shared" si="292"/>
        <v>5.2380000000000004</v>
      </c>
      <c r="I341" s="725">
        <f t="shared" si="292"/>
        <v>-1.0470000000000006</v>
      </c>
      <c r="J341" s="725">
        <f t="shared" si="292"/>
        <v>2.6650000000000009</v>
      </c>
      <c r="K341" s="725">
        <f t="shared" si="293"/>
        <v>-1.6739999999999999</v>
      </c>
      <c r="L341" s="725">
        <f t="shared" si="294"/>
        <v>3.0460000000000003</v>
      </c>
      <c r="M341" s="725">
        <f t="shared" si="294"/>
        <v>3.9030000000000005</v>
      </c>
      <c r="N341" s="725">
        <f t="shared" si="294"/>
        <v>-1.4190000000000005</v>
      </c>
      <c r="O341" s="725">
        <f t="shared" si="295"/>
        <v>-3.6539999999999999</v>
      </c>
      <c r="P341" s="725">
        <f t="shared" si="296"/>
        <v>3.2229999999999999</v>
      </c>
      <c r="Q341" s="725">
        <f t="shared" si="296"/>
        <v>11.222</v>
      </c>
      <c r="R341" s="725">
        <f t="shared" si="296"/>
        <v>-7.0590000000000002</v>
      </c>
      <c r="S341" s="725">
        <f t="shared" si="297"/>
        <v>-2.4809999999999999</v>
      </c>
      <c r="T341" s="725">
        <f t="shared" si="298"/>
        <v>7.2130000000000001</v>
      </c>
      <c r="U341" s="725">
        <f t="shared" si="298"/>
        <v>3.4129999999999994</v>
      </c>
      <c r="V341" s="725">
        <f t="shared" si="298"/>
        <v>7.2469999999999999</v>
      </c>
      <c r="W341" s="725">
        <f t="shared" si="299"/>
        <v>1.643</v>
      </c>
      <c r="X341" s="725">
        <f t="shared" si="300"/>
        <v>-3.4180000000000001</v>
      </c>
      <c r="Y341" s="725">
        <f t="shared" si="300"/>
        <v>-3.7520000000000002</v>
      </c>
      <c r="Z341" s="725">
        <f t="shared" si="300"/>
        <v>13.637</v>
      </c>
      <c r="AA341" s="725">
        <f t="shared" si="301"/>
        <v>0.498</v>
      </c>
      <c r="AB341" s="725">
        <f t="shared" si="302"/>
        <v>-12.27</v>
      </c>
      <c r="AC341" s="725">
        <f t="shared" si="302"/>
        <v>-0.41600000000000037</v>
      </c>
      <c r="AD341" s="725">
        <f t="shared" si="302"/>
        <v>7.3290000000000006</v>
      </c>
      <c r="AE341" s="725">
        <f t="shared" si="303"/>
        <v>-10.917</v>
      </c>
      <c r="AF341" s="771">
        <f>AF422-AE422</f>
        <v>-2.8089999999999975</v>
      </c>
      <c r="AG341" s="730">
        <f>AG422-AF422</f>
        <v>-0.47288902957048151</v>
      </c>
      <c r="AH341" s="730">
        <f>AH422-AG422</f>
        <v>8.9100053696414534</v>
      </c>
      <c r="AI341" s="730">
        <f>AI422-AY422</f>
        <v>-12.434564120416297</v>
      </c>
      <c r="AJ341" s="730">
        <f>AJ422-AI422</f>
        <v>5.7503805331255364</v>
      </c>
      <c r="AK341" s="730">
        <f>AK422-AJ422</f>
        <v>1.1126890896413499</v>
      </c>
      <c r="AL341" s="730">
        <f>AL422-AK422</f>
        <v>11.142991221680333</v>
      </c>
      <c r="AM341" s="730"/>
      <c r="AN341" s="726">
        <f t="shared" ref="AN341:AX341" si="310">AN283</f>
        <v>-2.0760000000000001</v>
      </c>
      <c r="AO341" s="726">
        <f t="shared" si="310"/>
        <v>5.1449999999999996</v>
      </c>
      <c r="AP341" s="726">
        <f t="shared" si="310"/>
        <v>-0.216</v>
      </c>
      <c r="AQ341" s="726">
        <f t="shared" si="310"/>
        <v>4.0030000000000001</v>
      </c>
      <c r="AR341" s="726">
        <f t="shared" si="310"/>
        <v>1.1739999999999999</v>
      </c>
      <c r="AS341" s="726">
        <f t="shared" si="310"/>
        <v>8.7940000000000005</v>
      </c>
      <c r="AT341" s="726">
        <f t="shared" si="310"/>
        <v>3.8559999999999999</v>
      </c>
      <c r="AU341" s="726">
        <f t="shared" si="310"/>
        <v>3.7320000000000002</v>
      </c>
      <c r="AV341" s="726">
        <f t="shared" si="310"/>
        <v>15.391999999999999</v>
      </c>
      <c r="AW341" s="726">
        <f t="shared" si="310"/>
        <v>8.11</v>
      </c>
      <c r="AX341" s="925">
        <f t="shared" si="310"/>
        <v>-4.859</v>
      </c>
      <c r="AY341" s="729">
        <f t="shared" si="305"/>
        <v>-5.2888836599290254</v>
      </c>
      <c r="AZ341" s="729">
        <f t="shared" si="306"/>
        <v>5.5714967240309221</v>
      </c>
      <c r="BA341" s="729">
        <f>BA422-AZ422</f>
        <v>8.6527613064101985</v>
      </c>
      <c r="BB341" s="729">
        <f>BB422-BA422</f>
        <v>9.5180374370512197</v>
      </c>
      <c r="BC341" s="729">
        <f>BC422-BB422</f>
        <v>5.2349205903781666</v>
      </c>
      <c r="BD341" s="631"/>
    </row>
    <row r="342" spans="1:56" s="39" customFormat="1" x14ac:dyDescent="0.25">
      <c r="A342" s="307" t="str">
        <f t="shared" si="256"/>
        <v>Deferred revenue</v>
      </c>
      <c r="B342" s="225"/>
      <c r="C342" s="725">
        <f t="shared" si="289"/>
        <v>-3.9140000000000001</v>
      </c>
      <c r="D342" s="725">
        <f t="shared" si="290"/>
        <v>-1.3660000000000001</v>
      </c>
      <c r="E342" s="725">
        <f t="shared" si="290"/>
        <v>3.1700000000000004</v>
      </c>
      <c r="F342" s="725">
        <f t="shared" si="290"/>
        <v>0.6319999999999999</v>
      </c>
      <c r="G342" s="725">
        <f t="shared" si="291"/>
        <v>4.3159999999999998</v>
      </c>
      <c r="H342" s="725">
        <f t="shared" si="292"/>
        <v>-4.08</v>
      </c>
      <c r="I342" s="725">
        <f t="shared" si="292"/>
        <v>-4.0140000000000002</v>
      </c>
      <c r="J342" s="725">
        <f t="shared" si="292"/>
        <v>5.194</v>
      </c>
      <c r="K342" s="725">
        <f t="shared" si="293"/>
        <v>-3.286</v>
      </c>
      <c r="L342" s="725">
        <f t="shared" si="294"/>
        <v>-0.35199999999999987</v>
      </c>
      <c r="M342" s="725">
        <f t="shared" si="294"/>
        <v>-3.0570000000000004</v>
      </c>
      <c r="N342" s="725">
        <f t="shared" si="294"/>
        <v>2.032</v>
      </c>
      <c r="O342" s="725">
        <f t="shared" si="295"/>
        <v>-0.376</v>
      </c>
      <c r="P342" s="725">
        <f t="shared" si="296"/>
        <v>-1.8660000000000001</v>
      </c>
      <c r="Q342" s="725">
        <f t="shared" si="296"/>
        <v>-2.1189999999999998</v>
      </c>
      <c r="R342" s="725">
        <f t="shared" si="296"/>
        <v>4.7439999999999998</v>
      </c>
      <c r="S342" s="725">
        <f t="shared" si="297"/>
        <v>2.0470000000000002</v>
      </c>
      <c r="T342" s="725">
        <f t="shared" si="298"/>
        <v>-3.1390000000000002</v>
      </c>
      <c r="U342" s="725">
        <f t="shared" si="298"/>
        <v>-2.1109999999999998</v>
      </c>
      <c r="V342" s="725">
        <f t="shared" si="298"/>
        <v>5.7229999999999999</v>
      </c>
      <c r="W342" s="725">
        <f t="shared" si="299"/>
        <v>-2.4849999999999999</v>
      </c>
      <c r="X342" s="725">
        <f t="shared" si="300"/>
        <v>-4.5820000000000007</v>
      </c>
      <c r="Y342" s="725">
        <f t="shared" si="300"/>
        <v>4.8520000000000003</v>
      </c>
      <c r="Z342" s="725">
        <f t="shared" si="300"/>
        <v>0.121</v>
      </c>
      <c r="AA342" s="725">
        <f t="shared" si="301"/>
        <v>-5.5890000000000004</v>
      </c>
      <c r="AB342" s="725">
        <f t="shared" si="302"/>
        <v>5.73</v>
      </c>
      <c r="AC342" s="725">
        <f t="shared" si="302"/>
        <v>-1.9810000000000001</v>
      </c>
      <c r="AD342" s="725">
        <f t="shared" si="302"/>
        <v>1.514</v>
      </c>
      <c r="AE342" s="725">
        <f t="shared" si="303"/>
        <v>4.4290000000000003</v>
      </c>
      <c r="AF342" s="779"/>
      <c r="AG342" s="728"/>
      <c r="AH342" s="728"/>
      <c r="AI342" s="728"/>
      <c r="AJ342" s="728"/>
      <c r="AK342" s="728"/>
      <c r="AL342" s="728"/>
      <c r="AM342" s="728"/>
      <c r="AN342" s="726">
        <f t="shared" ref="AN342:AX342" si="311">AN284</f>
        <v>2.8149999999999999</v>
      </c>
      <c r="AO342" s="726">
        <f t="shared" si="311"/>
        <v>2.0840000000000001</v>
      </c>
      <c r="AP342" s="726">
        <f t="shared" si="311"/>
        <v>0.16800000000000001</v>
      </c>
      <c r="AQ342" s="726">
        <f t="shared" si="311"/>
        <v>3.218</v>
      </c>
      <c r="AR342" s="726">
        <f t="shared" si="311"/>
        <v>-1.478</v>
      </c>
      <c r="AS342" s="726">
        <f t="shared" si="311"/>
        <v>1.4159999999999999</v>
      </c>
      <c r="AT342" s="726">
        <f t="shared" si="311"/>
        <v>-4.6630000000000003</v>
      </c>
      <c r="AU342" s="726">
        <f t="shared" si="311"/>
        <v>0.38300000000000001</v>
      </c>
      <c r="AV342" s="726">
        <f t="shared" si="311"/>
        <v>2.52</v>
      </c>
      <c r="AW342" s="726">
        <f t="shared" si="311"/>
        <v>-2.0939999999999999</v>
      </c>
      <c r="AX342" s="925">
        <f t="shared" si="311"/>
        <v>-0.32600000000000001</v>
      </c>
      <c r="AY342" s="729">
        <f t="shared" si="305"/>
        <v>4.4290000000000003</v>
      </c>
      <c r="AZ342" s="729">
        <f t="shared" si="306"/>
        <v>0</v>
      </c>
      <c r="BA342" s="773"/>
      <c r="BB342" s="773"/>
      <c r="BC342" s="773"/>
      <c r="BD342" s="631"/>
    </row>
    <row r="343" spans="1:56" s="39" customFormat="1" x14ac:dyDescent="0.25">
      <c r="A343" s="307" t="str">
        <f t="shared" si="256"/>
        <v>Excess Tax Benefit from Share-based Compensation, Operating Activities</v>
      </c>
      <c r="B343" s="225"/>
      <c r="C343" s="725">
        <f t="shared" si="289"/>
        <v>0</v>
      </c>
      <c r="D343" s="725">
        <f t="shared" si="290"/>
        <v>0</v>
      </c>
      <c r="E343" s="725">
        <f t="shared" si="290"/>
        <v>-0.249</v>
      </c>
      <c r="F343" s="725">
        <f t="shared" si="290"/>
        <v>-0.10999999999999999</v>
      </c>
      <c r="G343" s="725">
        <f t="shared" si="291"/>
        <v>0</v>
      </c>
      <c r="H343" s="725">
        <f t="shared" si="292"/>
        <v>0</v>
      </c>
      <c r="I343" s="725">
        <f t="shared" si="292"/>
        <v>-1.5389999999999999</v>
      </c>
      <c r="J343" s="725">
        <f t="shared" si="292"/>
        <v>-0.96699999999999986</v>
      </c>
      <c r="K343" s="725">
        <f t="shared" si="293"/>
        <v>0</v>
      </c>
      <c r="L343" s="725">
        <f t="shared" si="294"/>
        <v>0</v>
      </c>
      <c r="M343" s="725">
        <f t="shared" si="294"/>
        <v>-0.435</v>
      </c>
      <c r="N343" s="725">
        <f t="shared" si="294"/>
        <v>-0.39999999999999997</v>
      </c>
      <c r="O343" s="725">
        <f t="shared" si="295"/>
        <v>0</v>
      </c>
      <c r="P343" s="725">
        <f t="shared" si="296"/>
        <v>0</v>
      </c>
      <c r="Q343" s="725">
        <f t="shared" si="296"/>
        <v>0</v>
      </c>
      <c r="R343" s="725">
        <f t="shared" si="296"/>
        <v>-0.13700000000000001</v>
      </c>
      <c r="S343" s="725">
        <f t="shared" si="297"/>
        <v>0</v>
      </c>
      <c r="T343" s="725">
        <f t="shared" si="298"/>
        <v>0</v>
      </c>
      <c r="U343" s="725">
        <f t="shared" si="298"/>
        <v>0</v>
      </c>
      <c r="V343" s="725">
        <f t="shared" si="298"/>
        <v>0</v>
      </c>
      <c r="W343" s="725">
        <f t="shared" si="299"/>
        <v>0</v>
      </c>
      <c r="X343" s="725">
        <f t="shared" si="300"/>
        <v>0</v>
      </c>
      <c r="Y343" s="725">
        <f t="shared" si="300"/>
        <v>0</v>
      </c>
      <c r="Z343" s="725">
        <f t="shared" si="300"/>
        <v>0</v>
      </c>
      <c r="AA343" s="725">
        <f t="shared" si="301"/>
        <v>0</v>
      </c>
      <c r="AB343" s="725">
        <f t="shared" si="302"/>
        <v>0</v>
      </c>
      <c r="AC343" s="725">
        <f t="shared" si="302"/>
        <v>0</v>
      </c>
      <c r="AD343" s="725">
        <f t="shared" si="302"/>
        <v>0</v>
      </c>
      <c r="AE343" s="725">
        <f t="shared" si="303"/>
        <v>0</v>
      </c>
      <c r="AF343" s="779"/>
      <c r="AG343" s="728"/>
      <c r="AH343" s="728"/>
      <c r="AI343" s="728"/>
      <c r="AJ343" s="728"/>
      <c r="AK343" s="728"/>
      <c r="AL343" s="728"/>
      <c r="AM343" s="728"/>
      <c r="AN343" s="726">
        <f t="shared" ref="AN343:AX343" si="312">AN285</f>
        <v>0</v>
      </c>
      <c r="AO343" s="726">
        <f t="shared" si="312"/>
        <v>0</v>
      </c>
      <c r="AP343" s="726">
        <f t="shared" si="312"/>
        <v>-0.13100000000000001</v>
      </c>
      <c r="AQ343" s="726">
        <f t="shared" si="312"/>
        <v>-2.0339999999999998</v>
      </c>
      <c r="AR343" s="726">
        <f t="shared" si="312"/>
        <v>-0.35899999999999999</v>
      </c>
      <c r="AS343" s="726">
        <f t="shared" si="312"/>
        <v>-2.5059999999999998</v>
      </c>
      <c r="AT343" s="726">
        <f t="shared" si="312"/>
        <v>-0.83499999999999996</v>
      </c>
      <c r="AU343" s="726">
        <f t="shared" si="312"/>
        <v>-0.13700000000000001</v>
      </c>
      <c r="AV343" s="726">
        <f t="shared" si="312"/>
        <v>0</v>
      </c>
      <c r="AW343" s="726">
        <f t="shared" si="312"/>
        <v>0</v>
      </c>
      <c r="AX343" s="925">
        <f t="shared" si="312"/>
        <v>0</v>
      </c>
      <c r="AY343" s="729">
        <f t="shared" si="305"/>
        <v>0</v>
      </c>
      <c r="AZ343" s="729">
        <f t="shared" si="306"/>
        <v>0</v>
      </c>
      <c r="BA343" s="773"/>
      <c r="BB343" s="773"/>
      <c r="BC343" s="773"/>
      <c r="BD343" s="631"/>
    </row>
    <row r="344" spans="1:56" s="39" customFormat="1" x14ac:dyDescent="0.25">
      <c r="A344" s="307" t="str">
        <f t="shared" si="256"/>
        <v>Contingent consideration payments in excess of fair value on acquisition date</v>
      </c>
      <c r="B344" s="225"/>
      <c r="C344" s="725">
        <f t="shared" si="289"/>
        <v>-0.373</v>
      </c>
      <c r="D344" s="725">
        <f t="shared" si="290"/>
        <v>0</v>
      </c>
      <c r="E344" s="725">
        <f t="shared" si="290"/>
        <v>-0.33499999999999996</v>
      </c>
      <c r="F344" s="725">
        <f t="shared" si="290"/>
        <v>0</v>
      </c>
      <c r="G344" s="725">
        <f t="shared" si="291"/>
        <v>-0.66700000000000004</v>
      </c>
      <c r="H344" s="725">
        <f t="shared" si="292"/>
        <v>-0.37599999999999989</v>
      </c>
      <c r="I344" s="725">
        <f t="shared" si="292"/>
        <v>0</v>
      </c>
      <c r="J344" s="725">
        <f t="shared" si="292"/>
        <v>0</v>
      </c>
      <c r="K344" s="725">
        <f t="shared" si="293"/>
        <v>0</v>
      </c>
      <c r="L344" s="725">
        <f t="shared" si="294"/>
        <v>-0.32500000000000001</v>
      </c>
      <c r="M344" s="725">
        <f t="shared" si="294"/>
        <v>0</v>
      </c>
      <c r="N344" s="725">
        <f t="shared" si="294"/>
        <v>0</v>
      </c>
      <c r="O344" s="725">
        <f t="shared" si="295"/>
        <v>0</v>
      </c>
      <c r="P344" s="725">
        <f t="shared" si="296"/>
        <v>-0.54</v>
      </c>
      <c r="Q344" s="725">
        <f t="shared" si="296"/>
        <v>0</v>
      </c>
      <c r="R344" s="725">
        <f t="shared" si="296"/>
        <v>1.0000000000000009E-3</v>
      </c>
      <c r="S344" s="725">
        <f t="shared" si="297"/>
        <v>0</v>
      </c>
      <c r="T344" s="725">
        <f t="shared" si="298"/>
        <v>0</v>
      </c>
      <c r="U344" s="725">
        <f t="shared" si="298"/>
        <v>0</v>
      </c>
      <c r="V344" s="725">
        <f t="shared" si="298"/>
        <v>-0.40799999999999997</v>
      </c>
      <c r="W344" s="725">
        <f t="shared" si="299"/>
        <v>0</v>
      </c>
      <c r="X344" s="725">
        <f t="shared" si="300"/>
        <v>0</v>
      </c>
      <c r="Y344" s="725">
        <f t="shared" si="300"/>
        <v>0</v>
      </c>
      <c r="Z344" s="725">
        <f t="shared" si="300"/>
        <v>0</v>
      </c>
      <c r="AA344" s="725">
        <f t="shared" si="301"/>
        <v>0</v>
      </c>
      <c r="AB344" s="725">
        <f t="shared" si="302"/>
        <v>0</v>
      </c>
      <c r="AC344" s="725">
        <f t="shared" si="302"/>
        <v>0</v>
      </c>
      <c r="AD344" s="725">
        <f t="shared" si="302"/>
        <v>0</v>
      </c>
      <c r="AE344" s="725">
        <f t="shared" si="303"/>
        <v>0</v>
      </c>
      <c r="AF344" s="779"/>
      <c r="AG344" s="728"/>
      <c r="AH344" s="728"/>
      <c r="AI344" s="728"/>
      <c r="AJ344" s="728"/>
      <c r="AK344" s="728"/>
      <c r="AL344" s="728"/>
      <c r="AM344" s="728"/>
      <c r="AN344" s="726">
        <f t="shared" ref="AN344:AX344" si="313">AN286</f>
        <v>0</v>
      </c>
      <c r="AO344" s="726">
        <f t="shared" si="313"/>
        <v>0</v>
      </c>
      <c r="AP344" s="726">
        <f t="shared" si="313"/>
        <v>-0.72099999999999997</v>
      </c>
      <c r="AQ344" s="726">
        <f t="shared" si="313"/>
        <v>-0.60199999999999998</v>
      </c>
      <c r="AR344" s="726">
        <f t="shared" si="313"/>
        <v>-0.70799999999999996</v>
      </c>
      <c r="AS344" s="726">
        <f t="shared" si="313"/>
        <v>-1.0429999999999999</v>
      </c>
      <c r="AT344" s="726">
        <f t="shared" si="313"/>
        <v>-0.32500000000000001</v>
      </c>
      <c r="AU344" s="726">
        <f t="shared" si="313"/>
        <v>-0.53900000000000003</v>
      </c>
      <c r="AV344" s="726">
        <f t="shared" si="313"/>
        <v>-0.40799999999999997</v>
      </c>
      <c r="AW344" s="726">
        <f t="shared" si="313"/>
        <v>0</v>
      </c>
      <c r="AX344" s="925">
        <f t="shared" si="313"/>
        <v>0</v>
      </c>
      <c r="AY344" s="729">
        <f t="shared" si="305"/>
        <v>0</v>
      </c>
      <c r="AZ344" s="729">
        <f t="shared" si="306"/>
        <v>0</v>
      </c>
      <c r="BA344" s="773"/>
      <c r="BB344" s="773"/>
      <c r="BC344" s="773"/>
      <c r="BD344" s="631"/>
    </row>
    <row r="345" spans="1:56" s="39" customFormat="1" x14ac:dyDescent="0.25">
      <c r="A345" s="307" t="str">
        <f t="shared" si="256"/>
        <v>Other</v>
      </c>
      <c r="B345" s="225"/>
      <c r="C345" s="725">
        <f t="shared" si="289"/>
        <v>-0.155</v>
      </c>
      <c r="D345" s="725">
        <f t="shared" si="290"/>
        <v>-0.43099999999999994</v>
      </c>
      <c r="E345" s="725">
        <f t="shared" si="290"/>
        <v>0.11699999999999999</v>
      </c>
      <c r="F345" s="725">
        <f t="shared" si="290"/>
        <v>0.91399999999999992</v>
      </c>
      <c r="G345" s="725">
        <f t="shared" si="291"/>
        <v>-6.3E-2</v>
      </c>
      <c r="H345" s="725">
        <f t="shared" si="292"/>
        <v>0.123</v>
      </c>
      <c r="I345" s="725">
        <f t="shared" si="292"/>
        <v>-0.18099999999999999</v>
      </c>
      <c r="J345" s="725">
        <f t="shared" si="292"/>
        <v>0.56600000000000006</v>
      </c>
      <c r="K345" s="725">
        <f t="shared" si="293"/>
        <v>-0.39</v>
      </c>
      <c r="L345" s="725">
        <f t="shared" si="294"/>
        <v>-0.19599999999999995</v>
      </c>
      <c r="M345" s="725">
        <f t="shared" si="294"/>
        <v>6.7999999999999949E-2</v>
      </c>
      <c r="N345" s="725">
        <f t="shared" si="294"/>
        <v>1.385</v>
      </c>
      <c r="O345" s="725">
        <f t="shared" si="295"/>
        <v>-0.54400000000000004</v>
      </c>
      <c r="P345" s="725">
        <f t="shared" si="296"/>
        <v>-0.17199999999999993</v>
      </c>
      <c r="Q345" s="725">
        <f t="shared" si="296"/>
        <v>-0.19200000000000006</v>
      </c>
      <c r="R345" s="725">
        <f t="shared" si="296"/>
        <v>0.66800000000000004</v>
      </c>
      <c r="S345" s="725">
        <f t="shared" si="297"/>
        <v>-0.20899999999999999</v>
      </c>
      <c r="T345" s="725">
        <f t="shared" si="298"/>
        <v>4.6999999999999986E-2</v>
      </c>
      <c r="U345" s="725">
        <f t="shared" si="298"/>
        <v>2.1999999999999992E-2</v>
      </c>
      <c r="V345" s="725">
        <f t="shared" si="298"/>
        <v>-0.183</v>
      </c>
      <c r="W345" s="725">
        <f t="shared" si="299"/>
        <v>5.0000000000000001E-3</v>
      </c>
      <c r="X345" s="725">
        <f t="shared" si="300"/>
        <v>1.0150000000000001</v>
      </c>
      <c r="Y345" s="725">
        <f t="shared" si="300"/>
        <v>-0.377</v>
      </c>
      <c r="Z345" s="725">
        <f t="shared" si="300"/>
        <v>-0.88300000000000001</v>
      </c>
      <c r="AA345" s="725">
        <f t="shared" si="301"/>
        <v>0.92300000000000004</v>
      </c>
      <c r="AB345" s="725">
        <f t="shared" si="302"/>
        <v>-0.28000000000000003</v>
      </c>
      <c r="AC345" s="725">
        <f t="shared" si="302"/>
        <v>0.57499999999999996</v>
      </c>
      <c r="AD345" s="725">
        <f t="shared" si="302"/>
        <v>0.89900000000000002</v>
      </c>
      <c r="AE345" s="725">
        <f t="shared" si="303"/>
        <v>-0.76200000000000001</v>
      </c>
      <c r="AF345" s="779">
        <f>22.918-SUM(AF336:AF344)</f>
        <v>-2.2174499999999959</v>
      </c>
      <c r="AG345" s="728"/>
      <c r="AH345" s="728"/>
      <c r="AI345" s="728"/>
      <c r="AJ345" s="728"/>
      <c r="AK345" s="728"/>
      <c r="AL345" s="728"/>
      <c r="AM345" s="728"/>
      <c r="AN345" s="726">
        <f t="shared" ref="AN345:AX345" si="314">AN287</f>
        <v>0.40100000000000002</v>
      </c>
      <c r="AO345" s="726">
        <f t="shared" si="314"/>
        <v>0.26600000000000001</v>
      </c>
      <c r="AP345" s="726">
        <f t="shared" si="314"/>
        <v>-0.49099999999999999</v>
      </c>
      <c r="AQ345" s="726">
        <f t="shared" si="314"/>
        <v>0.29499999999999998</v>
      </c>
      <c r="AR345" s="726">
        <f t="shared" si="314"/>
        <v>0.44500000000000001</v>
      </c>
      <c r="AS345" s="726">
        <f t="shared" si="314"/>
        <v>0.44500000000000001</v>
      </c>
      <c r="AT345" s="726">
        <f t="shared" si="314"/>
        <v>0.86699999999999999</v>
      </c>
      <c r="AU345" s="726">
        <f t="shared" si="314"/>
        <v>-0.24</v>
      </c>
      <c r="AV345" s="726">
        <f t="shared" si="314"/>
        <v>-0.32300000000000001</v>
      </c>
      <c r="AW345" s="726">
        <f t="shared" si="314"/>
        <v>-0.24</v>
      </c>
      <c r="AX345" s="925">
        <f t="shared" si="314"/>
        <v>2.117</v>
      </c>
      <c r="AY345" s="729">
        <f t="shared" si="305"/>
        <v>-2.9794499999999959</v>
      </c>
      <c r="AZ345" s="729">
        <f t="shared" si="306"/>
        <v>0</v>
      </c>
      <c r="BA345" s="773"/>
      <c r="BB345" s="773"/>
      <c r="BC345" s="773"/>
      <c r="BD345" s="631"/>
    </row>
    <row r="346" spans="1:56" s="38" customFormat="1" x14ac:dyDescent="0.25">
      <c r="A346" s="259" t="str">
        <f t="shared" si="256"/>
        <v>Net CFO</v>
      </c>
      <c r="B346" s="260"/>
      <c r="C346" s="747">
        <f t="shared" ref="C346:AL346" si="315">SUM(C336:C345)</f>
        <v>5.3160000000000007</v>
      </c>
      <c r="D346" s="747">
        <f t="shared" si="315"/>
        <v>0.16300000000000081</v>
      </c>
      <c r="E346" s="747">
        <f t="shared" si="315"/>
        <v>4.7700000000000014</v>
      </c>
      <c r="F346" s="747">
        <f t="shared" si="315"/>
        <v>6.0039999999999987</v>
      </c>
      <c r="G346" s="747">
        <f t="shared" si="315"/>
        <v>0.72100000000000142</v>
      </c>
      <c r="H346" s="747">
        <f t="shared" si="315"/>
        <v>-2.6380000000000043</v>
      </c>
      <c r="I346" s="747">
        <f t="shared" si="315"/>
        <v>18.580999999999996</v>
      </c>
      <c r="J346" s="747">
        <f t="shared" si="315"/>
        <v>14.334</v>
      </c>
      <c r="K346" s="747">
        <f t="shared" si="315"/>
        <v>3.197000000000001</v>
      </c>
      <c r="L346" s="747">
        <f t="shared" si="315"/>
        <v>-7.2000000000001896E-2</v>
      </c>
      <c r="M346" s="747">
        <f t="shared" si="315"/>
        <v>6.4030000000000014</v>
      </c>
      <c r="N346" s="747">
        <f t="shared" si="315"/>
        <v>16.026</v>
      </c>
      <c r="O346" s="747">
        <f t="shared" si="315"/>
        <v>8.5629999999999988</v>
      </c>
      <c r="P346" s="747">
        <f t="shared" si="315"/>
        <v>1.4189999999999989</v>
      </c>
      <c r="Q346" s="747">
        <f t="shared" si="315"/>
        <v>1.9160000000000021</v>
      </c>
      <c r="R346" s="747">
        <f t="shared" si="315"/>
        <v>6.1789999999999967</v>
      </c>
      <c r="S346" s="747">
        <f t="shared" si="315"/>
        <v>4.1180000000000021</v>
      </c>
      <c r="T346" s="747">
        <f t="shared" si="315"/>
        <v>15.640000000000004</v>
      </c>
      <c r="U346" s="747">
        <f t="shared" si="315"/>
        <v>1.4159999999999993</v>
      </c>
      <c r="V346" s="747">
        <f t="shared" si="315"/>
        <v>5.0860000000000003</v>
      </c>
      <c r="W346" s="747">
        <f t="shared" si="315"/>
        <v>9.4060000000000006</v>
      </c>
      <c r="X346" s="747">
        <f t="shared" si="315"/>
        <v>-2.2810000000000019</v>
      </c>
      <c r="Y346" s="747">
        <f t="shared" si="315"/>
        <v>-3.6149999999999958</v>
      </c>
      <c r="Z346" s="747">
        <f t="shared" si="315"/>
        <v>7.6999999999999913</v>
      </c>
      <c r="AA346" s="747">
        <f t="shared" si="315"/>
        <v>-2.6049999999999986</v>
      </c>
      <c r="AB346" s="747">
        <f t="shared" si="315"/>
        <v>-3.6980000000000031</v>
      </c>
      <c r="AC346" s="747">
        <f t="shared" si="315"/>
        <v>10.853999999999999</v>
      </c>
      <c r="AD346" s="747">
        <f t="shared" si="315"/>
        <v>8.8490000000000002</v>
      </c>
      <c r="AE346" s="747">
        <f t="shared" si="315"/>
        <v>9.8470000000000013</v>
      </c>
      <c r="AF346" s="772">
        <f t="shared" si="315"/>
        <v>22.917999999999999</v>
      </c>
      <c r="AG346" s="747">
        <f t="shared" si="315"/>
        <v>-0.79953147109166878</v>
      </c>
      <c r="AH346" s="747">
        <f t="shared" ca="1" si="315"/>
        <v>9.1239973022533736</v>
      </c>
      <c r="AI346" s="747">
        <f t="shared" ca="1" si="315"/>
        <v>-4.5433675422621072</v>
      </c>
      <c r="AJ346" s="747">
        <f t="shared" ca="1" si="315"/>
        <v>15.430251628327358</v>
      </c>
      <c r="AK346" s="747">
        <f t="shared" ca="1" si="315"/>
        <v>-2.1535242368891119</v>
      </c>
      <c r="AL346" s="747">
        <f t="shared" ca="1" si="315"/>
        <v>9.2361759945564348</v>
      </c>
      <c r="AM346" s="747"/>
      <c r="AN346" s="748">
        <f t="shared" ref="AN346:BC346" si="316">SUM(AN336:AN345)</f>
        <v>18.776000000000003</v>
      </c>
      <c r="AO346" s="748">
        <f t="shared" si="316"/>
        <v>26.189999999999998</v>
      </c>
      <c r="AP346" s="748">
        <f t="shared" si="316"/>
        <v>16.198999999999998</v>
      </c>
      <c r="AQ346" s="748">
        <f t="shared" si="316"/>
        <v>25.312000000000001</v>
      </c>
      <c r="AR346" s="748">
        <f t="shared" si="316"/>
        <v>16.253000000000004</v>
      </c>
      <c r="AS346" s="748">
        <f t="shared" si="316"/>
        <v>30.997999999999998</v>
      </c>
      <c r="AT346" s="748">
        <f t="shared" si="316"/>
        <v>25.553999999999998</v>
      </c>
      <c r="AU346" s="748">
        <f t="shared" si="316"/>
        <v>18.077000000000002</v>
      </c>
      <c r="AV346" s="748">
        <f t="shared" si="316"/>
        <v>26.259999999999998</v>
      </c>
      <c r="AW346" s="748">
        <f t="shared" si="316"/>
        <v>11.209999999999999</v>
      </c>
      <c r="AX346" s="960">
        <f t="shared" si="316"/>
        <v>13.399999999999999</v>
      </c>
      <c r="AY346" s="748">
        <f t="shared" ca="1" si="316"/>
        <v>41.089465831161704</v>
      </c>
      <c r="AZ346" s="748">
        <f t="shared" ca="1" si="316"/>
        <v>17.969535843732576</v>
      </c>
      <c r="BA346" s="748">
        <f t="shared" ca="1" si="316"/>
        <v>22.238959301755482</v>
      </c>
      <c r="BB346" s="748">
        <f t="shared" ca="1" si="316"/>
        <v>28.824514553394639</v>
      </c>
      <c r="BC346" s="748">
        <f t="shared" ca="1" si="316"/>
        <v>35.299195352544743</v>
      </c>
      <c r="BD346" s="632"/>
    </row>
    <row r="347" spans="1:56" s="38" customFormat="1" x14ac:dyDescent="0.25">
      <c r="A347" s="503"/>
      <c r="B347" s="504"/>
      <c r="C347" s="757"/>
      <c r="D347" s="757"/>
      <c r="E347" s="757"/>
      <c r="F347" s="757"/>
      <c r="G347" s="757"/>
      <c r="H347" s="757"/>
      <c r="I347" s="757"/>
      <c r="J347" s="757"/>
      <c r="K347" s="757"/>
      <c r="L347" s="757"/>
      <c r="M347" s="757"/>
      <c r="N347" s="757"/>
      <c r="O347" s="757"/>
      <c r="P347" s="757"/>
      <c r="Q347" s="757"/>
      <c r="R347" s="757"/>
      <c r="S347" s="757"/>
      <c r="T347" s="757"/>
      <c r="U347" s="757"/>
      <c r="V347" s="757"/>
      <c r="W347" s="757"/>
      <c r="X347" s="757"/>
      <c r="Y347" s="757"/>
      <c r="Z347" s="757"/>
      <c r="AA347" s="757"/>
      <c r="AB347" s="757"/>
      <c r="AC347" s="757"/>
      <c r="AD347" s="757"/>
      <c r="AE347" s="757"/>
      <c r="AF347" s="797"/>
      <c r="AG347" s="769"/>
      <c r="AH347" s="769"/>
      <c r="AI347" s="769"/>
      <c r="AJ347" s="769"/>
      <c r="AK347" s="769"/>
      <c r="AL347" s="769"/>
      <c r="AM347" s="769"/>
      <c r="AN347" s="756"/>
      <c r="AO347" s="756"/>
      <c r="AP347" s="756"/>
      <c r="AQ347" s="756"/>
      <c r="AR347" s="756"/>
      <c r="AS347" s="756"/>
      <c r="AT347" s="756"/>
      <c r="AU347" s="756"/>
      <c r="AV347" s="756"/>
      <c r="AW347" s="756"/>
      <c r="AX347" s="947"/>
      <c r="AY347" s="770"/>
      <c r="AZ347" s="770"/>
      <c r="BA347" s="770"/>
      <c r="BB347" s="770"/>
      <c r="BC347" s="770"/>
      <c r="BD347" s="632"/>
    </row>
    <row r="348" spans="1:56" s="38" customFormat="1" x14ac:dyDescent="0.25">
      <c r="A348" s="503" t="str">
        <f t="shared" ref="A348:A357" si="317">A290</f>
        <v>CFI</v>
      </c>
      <c r="B348" s="504"/>
      <c r="C348" s="757"/>
      <c r="D348" s="757"/>
      <c r="E348" s="757"/>
      <c r="F348" s="757"/>
      <c r="G348" s="757"/>
      <c r="H348" s="757"/>
      <c r="I348" s="757"/>
      <c r="J348" s="757"/>
      <c r="K348" s="757"/>
      <c r="L348" s="757"/>
      <c r="M348" s="757"/>
      <c r="N348" s="757"/>
      <c r="O348" s="757"/>
      <c r="P348" s="757"/>
      <c r="Q348" s="757"/>
      <c r="R348" s="757"/>
      <c r="S348" s="757"/>
      <c r="T348" s="757"/>
      <c r="U348" s="757"/>
      <c r="V348" s="757"/>
      <c r="W348" s="757"/>
      <c r="X348" s="757"/>
      <c r="Y348" s="757"/>
      <c r="Z348" s="757"/>
      <c r="AA348" s="757"/>
      <c r="AB348" s="757"/>
      <c r="AC348" s="757"/>
      <c r="AD348" s="757"/>
      <c r="AE348" s="757"/>
      <c r="AF348" s="797"/>
      <c r="AG348" s="769"/>
      <c r="AH348" s="769"/>
      <c r="AI348" s="769"/>
      <c r="AJ348" s="769"/>
      <c r="AK348" s="769"/>
      <c r="AL348" s="769"/>
      <c r="AM348" s="769"/>
      <c r="AN348" s="756"/>
      <c r="AO348" s="756"/>
      <c r="AP348" s="756"/>
      <c r="AQ348" s="756"/>
      <c r="AR348" s="756"/>
      <c r="AS348" s="756"/>
      <c r="AT348" s="756"/>
      <c r="AU348" s="756"/>
      <c r="AV348" s="756"/>
      <c r="AW348" s="756"/>
      <c r="AX348" s="947"/>
      <c r="AY348" s="770"/>
      <c r="AZ348" s="770"/>
      <c r="BA348" s="770"/>
      <c r="BB348" s="770"/>
      <c r="BC348" s="770"/>
      <c r="BD348" s="632"/>
    </row>
    <row r="349" spans="1:56" s="39" customFormat="1" x14ac:dyDescent="0.25">
      <c r="A349" s="307" t="str">
        <f t="shared" si="317"/>
        <v>Additions to property, plant and equipment</v>
      </c>
      <c r="B349" s="630"/>
      <c r="C349" s="725">
        <f t="shared" ref="C349:C356" si="318">C291</f>
        <v>-0.83</v>
      </c>
      <c r="D349" s="725">
        <f t="shared" ref="D349:F356" si="319">D291-C291</f>
        <v>-1.331</v>
      </c>
      <c r="E349" s="725">
        <f t="shared" si="319"/>
        <v>-2.4469999999999996</v>
      </c>
      <c r="F349" s="725">
        <f t="shared" si="319"/>
        <v>-2.1060000000000008</v>
      </c>
      <c r="G349" s="725">
        <f t="shared" ref="G349:G356" si="320">G291</f>
        <v>-0.91600000000000004</v>
      </c>
      <c r="H349" s="725">
        <f t="shared" ref="H349:J356" si="321">H291-G291</f>
        <v>-0.52799999999999991</v>
      </c>
      <c r="I349" s="725">
        <f t="shared" si="321"/>
        <v>-0.871</v>
      </c>
      <c r="J349" s="725">
        <f t="shared" si="321"/>
        <v>-0.44200000000000017</v>
      </c>
      <c r="K349" s="725">
        <f t="shared" ref="K349:K356" si="322">K291</f>
        <v>-0.6</v>
      </c>
      <c r="L349" s="725">
        <f t="shared" ref="L349:N356" si="323">L291-K291</f>
        <v>-0.75000000000000011</v>
      </c>
      <c r="M349" s="725">
        <f t="shared" si="323"/>
        <v>-0.48099999999999987</v>
      </c>
      <c r="N349" s="725">
        <f t="shared" si="323"/>
        <v>-0.52600000000000025</v>
      </c>
      <c r="O349" s="725">
        <f t="shared" ref="O349:O356" si="324">O291</f>
        <v>-0.57499999999999996</v>
      </c>
      <c r="P349" s="725">
        <f t="shared" ref="P349:R356" si="325">P291-O291</f>
        <v>-0.34700000000000009</v>
      </c>
      <c r="Q349" s="725">
        <f t="shared" si="325"/>
        <v>-0.2619999999999999</v>
      </c>
      <c r="R349" s="725">
        <f t="shared" si="325"/>
        <v>-0.21799999999999997</v>
      </c>
      <c r="S349" s="725">
        <f t="shared" ref="S349:S356" si="326">S291</f>
        <v>-0.52500000000000002</v>
      </c>
      <c r="T349" s="725">
        <f t="shared" ref="T349:V356" si="327">T291-S291</f>
        <v>-1.2439999999999998</v>
      </c>
      <c r="U349" s="725">
        <f t="shared" si="327"/>
        <v>-0.55499999999999994</v>
      </c>
      <c r="V349" s="725">
        <f t="shared" si="327"/>
        <v>-0.41000000000000014</v>
      </c>
      <c r="W349" s="725">
        <f t="shared" ref="W349:W356" si="328">W291</f>
        <v>-0.37</v>
      </c>
      <c r="X349" s="725">
        <f t="shared" ref="X349:Z356" si="329">X291-W291</f>
        <v>-1.1440000000000001</v>
      </c>
      <c r="Y349" s="725">
        <f t="shared" si="329"/>
        <v>-0.75299999999999989</v>
      </c>
      <c r="Z349" s="725">
        <f t="shared" si="329"/>
        <v>-0.56700000000000017</v>
      </c>
      <c r="AA349" s="725">
        <f t="shared" ref="AA349:AA356" si="330">AA291</f>
        <v>-0.54200000000000004</v>
      </c>
      <c r="AB349" s="725">
        <f t="shared" ref="AB349:AD356" si="331">AB291-AA291</f>
        <v>-0.48499999999999988</v>
      </c>
      <c r="AC349" s="725">
        <f t="shared" si="331"/>
        <v>-0.87800000000000011</v>
      </c>
      <c r="AD349" s="725">
        <f t="shared" si="331"/>
        <v>-0.40999999999999992</v>
      </c>
      <c r="AE349" s="725">
        <f t="shared" ref="AE349:AE356" si="332">AE291</f>
        <v>-0.46700000000000003</v>
      </c>
      <c r="AF349" s="771">
        <f t="shared" ref="AF349:AL349" si="333">AF210</f>
        <v>-0.57899999999999996</v>
      </c>
      <c r="AG349" s="730">
        <f t="shared" si="333"/>
        <v>-0.4</v>
      </c>
      <c r="AH349" s="730">
        <f t="shared" si="333"/>
        <v>-0.4</v>
      </c>
      <c r="AI349" s="730">
        <f t="shared" si="333"/>
        <v>-0.8</v>
      </c>
      <c r="AJ349" s="730">
        <f t="shared" si="333"/>
        <v>-0.8</v>
      </c>
      <c r="AK349" s="730">
        <f t="shared" si="333"/>
        <v>-0.8</v>
      </c>
      <c r="AL349" s="730">
        <f t="shared" si="333"/>
        <v>-0.8</v>
      </c>
      <c r="AM349" s="730"/>
      <c r="AN349" s="726">
        <f t="shared" ref="AN349:AX349" si="334">AN291</f>
        <v>-1.1739999999999999</v>
      </c>
      <c r="AO349" s="726">
        <f t="shared" si="334"/>
        <v>-1.5309999999999999</v>
      </c>
      <c r="AP349" s="726">
        <f t="shared" si="334"/>
        <v>-3.9750000000000001</v>
      </c>
      <c r="AQ349" s="726">
        <f t="shared" si="334"/>
        <v>-2.536</v>
      </c>
      <c r="AR349" s="726">
        <f t="shared" si="334"/>
        <v>-6.7140000000000004</v>
      </c>
      <c r="AS349" s="726">
        <f t="shared" si="334"/>
        <v>-2.7570000000000001</v>
      </c>
      <c r="AT349" s="726">
        <f t="shared" si="334"/>
        <v>-2.3570000000000002</v>
      </c>
      <c r="AU349" s="726">
        <f t="shared" si="334"/>
        <v>-1.4019999999999999</v>
      </c>
      <c r="AV349" s="726">
        <f t="shared" si="334"/>
        <v>-2.734</v>
      </c>
      <c r="AW349" s="726">
        <f t="shared" si="334"/>
        <v>-2.8340000000000001</v>
      </c>
      <c r="AX349" s="925">
        <f t="shared" si="334"/>
        <v>-2.3149999999999999</v>
      </c>
      <c r="AY349" s="729">
        <f t="shared" ref="AY349:AY356" si="335">SUM(AE349,AF349,AG349,AH349)</f>
        <v>-1.8460000000000001</v>
      </c>
      <c r="AZ349" s="729">
        <f t="shared" ref="AZ349:AZ356" si="336">SUM(AI349,AJ349,AK349,AL349)</f>
        <v>-3.2</v>
      </c>
      <c r="BA349" s="729">
        <f>BA210</f>
        <v>-3.2</v>
      </c>
      <c r="BB349" s="729">
        <f>BB210</f>
        <v>-3.2</v>
      </c>
      <c r="BC349" s="729">
        <f>BC210</f>
        <v>-3.2</v>
      </c>
      <c r="BD349" s="631"/>
    </row>
    <row r="350" spans="1:56" s="39" customFormat="1" x14ac:dyDescent="0.25">
      <c r="A350" s="307" t="str">
        <f t="shared" si="317"/>
        <v>Acquisitions, net of cash acquired</v>
      </c>
      <c r="B350" s="630"/>
      <c r="C350" s="725">
        <f t="shared" si="318"/>
        <v>0</v>
      </c>
      <c r="D350" s="725">
        <f t="shared" si="319"/>
        <v>-13.523999999999999</v>
      </c>
      <c r="E350" s="725">
        <f t="shared" si="319"/>
        <v>0</v>
      </c>
      <c r="F350" s="725">
        <f t="shared" si="319"/>
        <v>1.8999999999998352E-2</v>
      </c>
      <c r="G350" s="725">
        <f t="shared" si="320"/>
        <v>0</v>
      </c>
      <c r="H350" s="725">
        <f t="shared" si="321"/>
        <v>-8.6660000000000004</v>
      </c>
      <c r="I350" s="725">
        <f t="shared" si="321"/>
        <v>0</v>
      </c>
      <c r="J350" s="725">
        <f t="shared" si="321"/>
        <v>-3.9999999999995595E-3</v>
      </c>
      <c r="K350" s="725">
        <f t="shared" si="322"/>
        <v>0</v>
      </c>
      <c r="L350" s="725">
        <f t="shared" si="323"/>
        <v>0</v>
      </c>
      <c r="M350" s="725">
        <f t="shared" si="323"/>
        <v>0</v>
      </c>
      <c r="N350" s="725">
        <f t="shared" si="323"/>
        <v>0</v>
      </c>
      <c r="O350" s="725">
        <f t="shared" si="324"/>
        <v>-2.33</v>
      </c>
      <c r="P350" s="725">
        <f t="shared" si="325"/>
        <v>0</v>
      </c>
      <c r="Q350" s="725">
        <f t="shared" si="325"/>
        <v>0.16900000000000004</v>
      </c>
      <c r="R350" s="725">
        <f t="shared" si="325"/>
        <v>-4.6400000000000006</v>
      </c>
      <c r="S350" s="725">
        <f t="shared" si="326"/>
        <v>-3.1930000000000001</v>
      </c>
      <c r="T350" s="725">
        <f t="shared" si="327"/>
        <v>-3.1910000000000003</v>
      </c>
      <c r="U350" s="725">
        <f t="shared" si="327"/>
        <v>-4.7279999999999998</v>
      </c>
      <c r="V350" s="725">
        <f t="shared" si="327"/>
        <v>9.9999999999944578E-4</v>
      </c>
      <c r="W350" s="725">
        <f t="shared" si="328"/>
        <v>-10</v>
      </c>
      <c r="X350" s="725">
        <f t="shared" si="329"/>
        <v>-29.957000000000001</v>
      </c>
      <c r="Y350" s="725">
        <f t="shared" si="329"/>
        <v>-2.9149999999999991</v>
      </c>
      <c r="Z350" s="725">
        <f t="shared" si="329"/>
        <v>-12.417999999999999</v>
      </c>
      <c r="AA350" s="725">
        <f t="shared" si="330"/>
        <v>0</v>
      </c>
      <c r="AB350" s="725">
        <f t="shared" si="331"/>
        <v>0</v>
      </c>
      <c r="AC350" s="725">
        <f t="shared" si="331"/>
        <v>0.85</v>
      </c>
      <c r="AD350" s="725">
        <f t="shared" si="331"/>
        <v>0</v>
      </c>
      <c r="AE350" s="725">
        <f t="shared" si="332"/>
        <v>0</v>
      </c>
      <c r="AF350" s="771">
        <f t="shared" ref="AF350:AL350" si="337">AF212</f>
        <v>0</v>
      </c>
      <c r="AG350" s="730">
        <f t="shared" si="337"/>
        <v>0</v>
      </c>
      <c r="AH350" s="730">
        <f t="shared" si="337"/>
        <v>0</v>
      </c>
      <c r="AI350" s="730">
        <f t="shared" si="337"/>
        <v>0</v>
      </c>
      <c r="AJ350" s="730">
        <f t="shared" si="337"/>
        <v>0</v>
      </c>
      <c r="AK350" s="730">
        <f t="shared" si="337"/>
        <v>0</v>
      </c>
      <c r="AL350" s="730">
        <f t="shared" si="337"/>
        <v>0</v>
      </c>
      <c r="AM350" s="730"/>
      <c r="AN350" s="726">
        <f t="shared" ref="AN350:AX350" si="338">AN292</f>
        <v>-20.773</v>
      </c>
      <c r="AO350" s="726">
        <f t="shared" si="338"/>
        <v>-5.1210000000000004</v>
      </c>
      <c r="AP350" s="726">
        <f t="shared" si="338"/>
        <v>-36.076999999999998</v>
      </c>
      <c r="AQ350" s="726">
        <f t="shared" si="338"/>
        <v>-12.183999999999999</v>
      </c>
      <c r="AR350" s="726">
        <f t="shared" si="338"/>
        <v>-13.505000000000001</v>
      </c>
      <c r="AS350" s="726">
        <f t="shared" si="338"/>
        <v>-8.67</v>
      </c>
      <c r="AT350" s="726">
        <f t="shared" si="338"/>
        <v>0</v>
      </c>
      <c r="AU350" s="726">
        <f t="shared" si="338"/>
        <v>-6.8010000000000002</v>
      </c>
      <c r="AV350" s="726">
        <f t="shared" si="338"/>
        <v>-11.111000000000001</v>
      </c>
      <c r="AW350" s="726">
        <f t="shared" si="338"/>
        <v>-55.29</v>
      </c>
      <c r="AX350" s="925">
        <f t="shared" si="338"/>
        <v>0.85</v>
      </c>
      <c r="AY350" s="729">
        <f t="shared" si="335"/>
        <v>0</v>
      </c>
      <c r="AZ350" s="729">
        <f t="shared" si="336"/>
        <v>0</v>
      </c>
      <c r="BA350" s="729">
        <f>BA212</f>
        <v>0</v>
      </c>
      <c r="BB350" s="729">
        <f>BB212</f>
        <v>0</v>
      </c>
      <c r="BC350" s="729">
        <f>BC212</f>
        <v>0</v>
      </c>
      <c r="BD350" s="631"/>
    </row>
    <row r="351" spans="1:56" s="39" customFormat="1" x14ac:dyDescent="0.25">
      <c r="A351" s="307" t="str">
        <f t="shared" si="317"/>
        <v>Proceeds from sale of business</v>
      </c>
      <c r="B351" s="630"/>
      <c r="C351" s="725">
        <f t="shared" si="318"/>
        <v>0</v>
      </c>
      <c r="D351" s="725">
        <f t="shared" si="319"/>
        <v>0</v>
      </c>
      <c r="E351" s="725">
        <f t="shared" si="319"/>
        <v>0</v>
      </c>
      <c r="F351" s="725">
        <f t="shared" si="319"/>
        <v>0</v>
      </c>
      <c r="G351" s="725">
        <f t="shared" si="320"/>
        <v>0</v>
      </c>
      <c r="H351" s="725">
        <f t="shared" si="321"/>
        <v>0</v>
      </c>
      <c r="I351" s="725">
        <f t="shared" si="321"/>
        <v>0</v>
      </c>
      <c r="J351" s="725">
        <f t="shared" si="321"/>
        <v>0</v>
      </c>
      <c r="K351" s="725">
        <f t="shared" si="322"/>
        <v>0</v>
      </c>
      <c r="L351" s="725">
        <f t="shared" si="323"/>
        <v>0</v>
      </c>
      <c r="M351" s="725">
        <f t="shared" si="323"/>
        <v>0</v>
      </c>
      <c r="N351" s="725">
        <f t="shared" si="323"/>
        <v>0</v>
      </c>
      <c r="O351" s="725">
        <f t="shared" si="324"/>
        <v>0</v>
      </c>
      <c r="P351" s="725">
        <f t="shared" si="325"/>
        <v>0</v>
      </c>
      <c r="Q351" s="725">
        <f t="shared" si="325"/>
        <v>0</v>
      </c>
      <c r="R351" s="725">
        <f t="shared" si="325"/>
        <v>0</v>
      </c>
      <c r="S351" s="725">
        <f t="shared" si="326"/>
        <v>0</v>
      </c>
      <c r="T351" s="725">
        <f t="shared" si="327"/>
        <v>0</v>
      </c>
      <c r="U351" s="725">
        <f t="shared" si="327"/>
        <v>0</v>
      </c>
      <c r="V351" s="725">
        <f t="shared" si="327"/>
        <v>0</v>
      </c>
      <c r="W351" s="725">
        <f t="shared" si="328"/>
        <v>0</v>
      </c>
      <c r="X351" s="725">
        <f t="shared" si="329"/>
        <v>0</v>
      </c>
      <c r="Y351" s="725">
        <f t="shared" si="329"/>
        <v>0</v>
      </c>
      <c r="Z351" s="725">
        <f t="shared" si="329"/>
        <v>0</v>
      </c>
      <c r="AA351" s="725">
        <f t="shared" si="330"/>
        <v>0</v>
      </c>
      <c r="AB351" s="725">
        <f t="shared" si="331"/>
        <v>0</v>
      </c>
      <c r="AC351" s="725">
        <f t="shared" si="331"/>
        <v>0</v>
      </c>
      <c r="AD351" s="725">
        <f t="shared" si="331"/>
        <v>20.047999999999998</v>
      </c>
      <c r="AE351" s="725">
        <f t="shared" si="332"/>
        <v>3.3279999999999998</v>
      </c>
      <c r="AF351" s="779"/>
      <c r="AG351" s="728"/>
      <c r="AH351" s="728"/>
      <c r="AI351" s="728"/>
      <c r="AJ351" s="728"/>
      <c r="AK351" s="728"/>
      <c r="AL351" s="728"/>
      <c r="AM351" s="728"/>
      <c r="AN351" s="726">
        <f t="shared" ref="AN351:AX351" si="339">AN293</f>
        <v>0</v>
      </c>
      <c r="AO351" s="726">
        <f t="shared" si="339"/>
        <v>0</v>
      </c>
      <c r="AP351" s="726">
        <f t="shared" si="339"/>
        <v>0</v>
      </c>
      <c r="AQ351" s="726">
        <f t="shared" si="339"/>
        <v>0</v>
      </c>
      <c r="AR351" s="726">
        <f t="shared" si="339"/>
        <v>0</v>
      </c>
      <c r="AS351" s="726">
        <f t="shared" si="339"/>
        <v>0</v>
      </c>
      <c r="AT351" s="726">
        <f t="shared" si="339"/>
        <v>0</v>
      </c>
      <c r="AU351" s="726">
        <f t="shared" si="339"/>
        <v>0</v>
      </c>
      <c r="AV351" s="726">
        <f t="shared" si="339"/>
        <v>0</v>
      </c>
      <c r="AW351" s="726">
        <f t="shared" si="339"/>
        <v>0</v>
      </c>
      <c r="AX351" s="925">
        <f t="shared" si="339"/>
        <v>20.047999999999998</v>
      </c>
      <c r="AY351" s="729">
        <f t="shared" si="335"/>
        <v>3.3279999999999998</v>
      </c>
      <c r="AZ351" s="729">
        <f t="shared" si="336"/>
        <v>0</v>
      </c>
      <c r="BA351" s="773"/>
      <c r="BB351" s="773"/>
      <c r="BC351" s="773"/>
      <c r="BD351" s="631"/>
    </row>
    <row r="352" spans="1:56" s="39" customFormat="1" x14ac:dyDescent="0.25">
      <c r="A352" s="307" t="str">
        <f t="shared" si="317"/>
        <v>Proceeds from Sale of Productive Assets</v>
      </c>
      <c r="B352" s="630"/>
      <c r="C352" s="725">
        <f t="shared" si="318"/>
        <v>0</v>
      </c>
      <c r="D352" s="725">
        <f t="shared" si="319"/>
        <v>0</v>
      </c>
      <c r="E352" s="725">
        <f t="shared" si="319"/>
        <v>0</v>
      </c>
      <c r="F352" s="725">
        <f t="shared" si="319"/>
        <v>0</v>
      </c>
      <c r="G352" s="725">
        <f t="shared" si="320"/>
        <v>0</v>
      </c>
      <c r="H352" s="725">
        <f t="shared" si="321"/>
        <v>0</v>
      </c>
      <c r="I352" s="725">
        <f t="shared" si="321"/>
        <v>0</v>
      </c>
      <c r="J352" s="725">
        <f t="shared" si="321"/>
        <v>0</v>
      </c>
      <c r="K352" s="725">
        <f t="shared" si="322"/>
        <v>0</v>
      </c>
      <c r="L352" s="725">
        <f t="shared" si="323"/>
        <v>0</v>
      </c>
      <c r="M352" s="725">
        <f t="shared" si="323"/>
        <v>0</v>
      </c>
      <c r="N352" s="725">
        <f t="shared" si="323"/>
        <v>0</v>
      </c>
      <c r="O352" s="725">
        <f t="shared" si="324"/>
        <v>0</v>
      </c>
      <c r="P352" s="725">
        <f t="shared" si="325"/>
        <v>0</v>
      </c>
      <c r="Q352" s="725">
        <f t="shared" si="325"/>
        <v>0</v>
      </c>
      <c r="R352" s="725">
        <f t="shared" si="325"/>
        <v>0</v>
      </c>
      <c r="S352" s="725">
        <f t="shared" si="326"/>
        <v>0</v>
      </c>
      <c r="T352" s="725">
        <f t="shared" si="327"/>
        <v>0</v>
      </c>
      <c r="U352" s="725">
        <f t="shared" si="327"/>
        <v>0</v>
      </c>
      <c r="V352" s="725">
        <f t="shared" si="327"/>
        <v>0</v>
      </c>
      <c r="W352" s="725">
        <f t="shared" si="328"/>
        <v>0</v>
      </c>
      <c r="X352" s="725">
        <f t="shared" si="329"/>
        <v>0</v>
      </c>
      <c r="Y352" s="725">
        <f t="shared" si="329"/>
        <v>0</v>
      </c>
      <c r="Z352" s="725">
        <f t="shared" si="329"/>
        <v>0</v>
      </c>
      <c r="AA352" s="725">
        <f t="shared" si="330"/>
        <v>0</v>
      </c>
      <c r="AB352" s="725">
        <f t="shared" si="331"/>
        <v>0</v>
      </c>
      <c r="AC352" s="725">
        <f t="shared" si="331"/>
        <v>0</v>
      </c>
      <c r="AD352" s="725">
        <f t="shared" si="331"/>
        <v>0</v>
      </c>
      <c r="AE352" s="725">
        <f t="shared" si="332"/>
        <v>0</v>
      </c>
      <c r="AF352" s="771">
        <f t="shared" ref="AF352:AL352" si="340">AF213</f>
        <v>0</v>
      </c>
      <c r="AG352" s="730">
        <f t="shared" si="340"/>
        <v>0</v>
      </c>
      <c r="AH352" s="730">
        <f t="shared" si="340"/>
        <v>0</v>
      </c>
      <c r="AI352" s="730">
        <f t="shared" si="340"/>
        <v>0</v>
      </c>
      <c r="AJ352" s="730">
        <f t="shared" si="340"/>
        <v>0</v>
      </c>
      <c r="AK352" s="730">
        <f t="shared" si="340"/>
        <v>0</v>
      </c>
      <c r="AL352" s="730">
        <f t="shared" si="340"/>
        <v>0</v>
      </c>
      <c r="AM352" s="730"/>
      <c r="AN352" s="726">
        <f t="shared" ref="AN352:AX352" si="341">AN294</f>
        <v>0</v>
      </c>
      <c r="AO352" s="726">
        <f t="shared" si="341"/>
        <v>0</v>
      </c>
      <c r="AP352" s="726">
        <f t="shared" si="341"/>
        <v>0</v>
      </c>
      <c r="AQ352" s="726">
        <f t="shared" si="341"/>
        <v>0</v>
      </c>
      <c r="AR352" s="726">
        <f t="shared" si="341"/>
        <v>0</v>
      </c>
      <c r="AS352" s="726">
        <f t="shared" si="341"/>
        <v>0</v>
      </c>
      <c r="AT352" s="726">
        <f t="shared" si="341"/>
        <v>0</v>
      </c>
      <c r="AU352" s="726">
        <f t="shared" si="341"/>
        <v>0</v>
      </c>
      <c r="AV352" s="726">
        <f t="shared" si="341"/>
        <v>0</v>
      </c>
      <c r="AW352" s="726">
        <f t="shared" si="341"/>
        <v>0</v>
      </c>
      <c r="AX352" s="925">
        <f t="shared" si="341"/>
        <v>0</v>
      </c>
      <c r="AY352" s="729">
        <f t="shared" si="335"/>
        <v>0</v>
      </c>
      <c r="AZ352" s="729">
        <f t="shared" si="336"/>
        <v>0</v>
      </c>
      <c r="BA352" s="729">
        <f>BA213</f>
        <v>0</v>
      </c>
      <c r="BB352" s="729">
        <f>BB213</f>
        <v>0</v>
      </c>
      <c r="BC352" s="729">
        <f>BC213</f>
        <v>0</v>
      </c>
      <c r="BD352" s="631"/>
    </row>
    <row r="353" spans="1:56" s="39" customFormat="1" x14ac:dyDescent="0.25">
      <c r="A353" s="307" t="str">
        <f t="shared" si="317"/>
        <v>Investment in joint venture</v>
      </c>
      <c r="B353" s="630"/>
      <c r="C353" s="725">
        <f t="shared" si="318"/>
        <v>0</v>
      </c>
      <c r="D353" s="725">
        <f t="shared" si="319"/>
        <v>0</v>
      </c>
      <c r="E353" s="725">
        <f t="shared" si="319"/>
        <v>0</v>
      </c>
      <c r="F353" s="725">
        <f t="shared" si="319"/>
        <v>0</v>
      </c>
      <c r="G353" s="725">
        <f t="shared" si="320"/>
        <v>0</v>
      </c>
      <c r="H353" s="725">
        <f t="shared" si="321"/>
        <v>0</v>
      </c>
      <c r="I353" s="725">
        <f t="shared" si="321"/>
        <v>0</v>
      </c>
      <c r="J353" s="725">
        <f t="shared" si="321"/>
        <v>0</v>
      </c>
      <c r="K353" s="725">
        <f t="shared" si="322"/>
        <v>0</v>
      </c>
      <c r="L353" s="725">
        <f t="shared" si="323"/>
        <v>0</v>
      </c>
      <c r="M353" s="725">
        <f t="shared" si="323"/>
        <v>0</v>
      </c>
      <c r="N353" s="725">
        <f t="shared" si="323"/>
        <v>0</v>
      </c>
      <c r="O353" s="725">
        <f t="shared" si="324"/>
        <v>0</v>
      </c>
      <c r="P353" s="725">
        <f t="shared" si="325"/>
        <v>0</v>
      </c>
      <c r="Q353" s="725">
        <f t="shared" si="325"/>
        <v>0</v>
      </c>
      <c r="R353" s="725">
        <f t="shared" si="325"/>
        <v>-1.6</v>
      </c>
      <c r="S353" s="725">
        <f t="shared" si="326"/>
        <v>0</v>
      </c>
      <c r="T353" s="725">
        <f t="shared" si="327"/>
        <v>0</v>
      </c>
      <c r="U353" s="725">
        <f t="shared" si="327"/>
        <v>0</v>
      </c>
      <c r="V353" s="725">
        <f t="shared" si="327"/>
        <v>0</v>
      </c>
      <c r="W353" s="725">
        <f t="shared" si="328"/>
        <v>0</v>
      </c>
      <c r="X353" s="725">
        <f t="shared" si="329"/>
        <v>0</v>
      </c>
      <c r="Y353" s="725">
        <f t="shared" si="329"/>
        <v>0</v>
      </c>
      <c r="Z353" s="725">
        <f t="shared" si="329"/>
        <v>0</v>
      </c>
      <c r="AA353" s="725">
        <f t="shared" si="330"/>
        <v>0</v>
      </c>
      <c r="AB353" s="725">
        <f t="shared" si="331"/>
        <v>0</v>
      </c>
      <c r="AC353" s="725">
        <f t="shared" si="331"/>
        <v>0</v>
      </c>
      <c r="AD353" s="725">
        <f t="shared" si="331"/>
        <v>0</v>
      </c>
      <c r="AE353" s="725">
        <f t="shared" si="332"/>
        <v>0</v>
      </c>
      <c r="AF353" s="779"/>
      <c r="AG353" s="728"/>
      <c r="AH353" s="728"/>
      <c r="AI353" s="728"/>
      <c r="AJ353" s="728"/>
      <c r="AK353" s="728"/>
      <c r="AL353" s="728"/>
      <c r="AM353" s="728"/>
      <c r="AN353" s="726">
        <f t="shared" ref="AN353:AX353" si="342">AN295</f>
        <v>0</v>
      </c>
      <c r="AO353" s="726">
        <f t="shared" si="342"/>
        <v>0</v>
      </c>
      <c r="AP353" s="726">
        <f t="shared" si="342"/>
        <v>0</v>
      </c>
      <c r="AQ353" s="726">
        <f t="shared" si="342"/>
        <v>0</v>
      </c>
      <c r="AR353" s="726">
        <f t="shared" si="342"/>
        <v>0</v>
      </c>
      <c r="AS353" s="726">
        <f t="shared" si="342"/>
        <v>0</v>
      </c>
      <c r="AT353" s="726">
        <f t="shared" si="342"/>
        <v>0</v>
      </c>
      <c r="AU353" s="726">
        <f t="shared" si="342"/>
        <v>-1.6</v>
      </c>
      <c r="AV353" s="726">
        <f t="shared" si="342"/>
        <v>0</v>
      </c>
      <c r="AW353" s="726">
        <f t="shared" si="342"/>
        <v>0</v>
      </c>
      <c r="AX353" s="925">
        <f t="shared" si="342"/>
        <v>0</v>
      </c>
      <c r="AY353" s="729">
        <f t="shared" si="335"/>
        <v>0</v>
      </c>
      <c r="AZ353" s="729">
        <f t="shared" si="336"/>
        <v>0</v>
      </c>
      <c r="BA353" s="773"/>
      <c r="BB353" s="773"/>
      <c r="BC353" s="773"/>
      <c r="BD353" s="631"/>
    </row>
    <row r="354" spans="1:56" s="39" customFormat="1" x14ac:dyDescent="0.25">
      <c r="A354" s="307" t="str">
        <f t="shared" si="317"/>
        <v>Capitalized software development costs</v>
      </c>
      <c r="B354" s="630"/>
      <c r="C354" s="725">
        <f t="shared" si="318"/>
        <v>0</v>
      </c>
      <c r="D354" s="725">
        <f t="shared" si="319"/>
        <v>0</v>
      </c>
      <c r="E354" s="725">
        <f t="shared" si="319"/>
        <v>0</v>
      </c>
      <c r="F354" s="725">
        <f t="shared" si="319"/>
        <v>0</v>
      </c>
      <c r="G354" s="725">
        <f t="shared" si="320"/>
        <v>0</v>
      </c>
      <c r="H354" s="725">
        <f t="shared" si="321"/>
        <v>0</v>
      </c>
      <c r="I354" s="725">
        <f t="shared" si="321"/>
        <v>0</v>
      </c>
      <c r="J354" s="725">
        <f t="shared" si="321"/>
        <v>0</v>
      </c>
      <c r="K354" s="725">
        <f t="shared" si="322"/>
        <v>0</v>
      </c>
      <c r="L354" s="725">
        <f t="shared" si="323"/>
        <v>0</v>
      </c>
      <c r="M354" s="725">
        <f t="shared" si="323"/>
        <v>0</v>
      </c>
      <c r="N354" s="725">
        <f t="shared" si="323"/>
        <v>0</v>
      </c>
      <c r="O354" s="725">
        <f t="shared" si="324"/>
        <v>0</v>
      </c>
      <c r="P354" s="725">
        <f t="shared" si="325"/>
        <v>0</v>
      </c>
      <c r="Q354" s="725">
        <f t="shared" si="325"/>
        <v>0</v>
      </c>
      <c r="R354" s="725">
        <f t="shared" si="325"/>
        <v>-0.93300000000000005</v>
      </c>
      <c r="S354" s="725">
        <f t="shared" si="326"/>
        <v>0</v>
      </c>
      <c r="T354" s="725">
        <f t="shared" si="327"/>
        <v>0</v>
      </c>
      <c r="U354" s="725">
        <f t="shared" si="327"/>
        <v>0</v>
      </c>
      <c r="V354" s="725">
        <f t="shared" si="327"/>
        <v>-1.3129999999999999</v>
      </c>
      <c r="W354" s="725">
        <f t="shared" si="328"/>
        <v>0</v>
      </c>
      <c r="X354" s="725">
        <f t="shared" si="329"/>
        <v>0</v>
      </c>
      <c r="Y354" s="725">
        <f t="shared" si="329"/>
        <v>0</v>
      </c>
      <c r="Z354" s="725">
        <f t="shared" si="329"/>
        <v>-3.544</v>
      </c>
      <c r="AA354" s="725">
        <f t="shared" si="330"/>
        <v>0</v>
      </c>
      <c r="AB354" s="725">
        <f t="shared" si="331"/>
        <v>0</v>
      </c>
      <c r="AC354" s="725">
        <f t="shared" si="331"/>
        <v>0</v>
      </c>
      <c r="AD354" s="725">
        <f t="shared" si="331"/>
        <v>-2.6320000000000001</v>
      </c>
      <c r="AE354" s="725">
        <f t="shared" si="332"/>
        <v>-2.4E-2</v>
      </c>
      <c r="AF354" s="779"/>
      <c r="AG354" s="728"/>
      <c r="AH354" s="728"/>
      <c r="AI354" s="728"/>
      <c r="AJ354" s="728"/>
      <c r="AK354" s="728"/>
      <c r="AL354" s="728"/>
      <c r="AM354" s="728"/>
      <c r="AN354" s="726">
        <f t="shared" ref="AN354:AX354" si="343">AN296</f>
        <v>0</v>
      </c>
      <c r="AO354" s="726">
        <f t="shared" si="343"/>
        <v>0</v>
      </c>
      <c r="AP354" s="726">
        <f t="shared" si="343"/>
        <v>0</v>
      </c>
      <c r="AQ354" s="726">
        <f t="shared" si="343"/>
        <v>0</v>
      </c>
      <c r="AR354" s="726">
        <f t="shared" si="343"/>
        <v>0</v>
      </c>
      <c r="AS354" s="726">
        <f t="shared" si="343"/>
        <v>0</v>
      </c>
      <c r="AT354" s="726">
        <f t="shared" si="343"/>
        <v>0</v>
      </c>
      <c r="AU354" s="726">
        <f t="shared" si="343"/>
        <v>-0.93300000000000005</v>
      </c>
      <c r="AV354" s="726">
        <f t="shared" si="343"/>
        <v>-1.3129999999999999</v>
      </c>
      <c r="AW354" s="726">
        <f t="shared" si="343"/>
        <v>-3.544</v>
      </c>
      <c r="AX354" s="925">
        <f t="shared" si="343"/>
        <v>-2.6320000000000001</v>
      </c>
      <c r="AY354" s="729">
        <f t="shared" si="335"/>
        <v>-2.4E-2</v>
      </c>
      <c r="AZ354" s="729">
        <f t="shared" si="336"/>
        <v>0</v>
      </c>
      <c r="BA354" s="773"/>
      <c r="BB354" s="773"/>
      <c r="BC354" s="773"/>
      <c r="BD354" s="631"/>
    </row>
    <row r="355" spans="1:56" s="39" customFormat="1" x14ac:dyDescent="0.25">
      <c r="A355" s="307" t="str">
        <f t="shared" si="317"/>
        <v>Other investing activities</v>
      </c>
      <c r="B355" s="630"/>
      <c r="C355" s="725">
        <f t="shared" si="318"/>
        <v>0</v>
      </c>
      <c r="D355" s="725">
        <f t="shared" si="319"/>
        <v>0</v>
      </c>
      <c r="E355" s="725">
        <f t="shared" si="319"/>
        <v>0</v>
      </c>
      <c r="F355" s="725">
        <f t="shared" si="319"/>
        <v>0</v>
      </c>
      <c r="G355" s="725">
        <f t="shared" si="320"/>
        <v>0</v>
      </c>
      <c r="H355" s="725">
        <f t="shared" si="321"/>
        <v>0</v>
      </c>
      <c r="I355" s="725">
        <f t="shared" si="321"/>
        <v>0.246</v>
      </c>
      <c r="J355" s="725">
        <f t="shared" si="321"/>
        <v>0</v>
      </c>
      <c r="K355" s="725">
        <f t="shared" si="322"/>
        <v>0</v>
      </c>
      <c r="L355" s="725">
        <f t="shared" si="323"/>
        <v>-0.17299999999999999</v>
      </c>
      <c r="M355" s="725">
        <f t="shared" si="323"/>
        <v>0.25800000000000001</v>
      </c>
      <c r="N355" s="725">
        <f t="shared" si="323"/>
        <v>0.10099999999999999</v>
      </c>
      <c r="O355" s="725">
        <f t="shared" si="324"/>
        <v>1.2999999999999999E-2</v>
      </c>
      <c r="P355" s="725">
        <f t="shared" si="325"/>
        <v>-1.5999999999999999</v>
      </c>
      <c r="Q355" s="725">
        <f t="shared" si="325"/>
        <v>-0.44999999999999996</v>
      </c>
      <c r="R355" s="725">
        <f t="shared" si="325"/>
        <v>2.0509999999999997</v>
      </c>
      <c r="S355" s="725">
        <f t="shared" si="326"/>
        <v>-0.34399999999999997</v>
      </c>
      <c r="T355" s="725">
        <f t="shared" si="327"/>
        <v>-0.5</v>
      </c>
      <c r="U355" s="725">
        <f t="shared" si="327"/>
        <v>-0.13700000000000001</v>
      </c>
      <c r="V355" s="725">
        <f t="shared" si="327"/>
        <v>0.68599999999999994</v>
      </c>
      <c r="W355" s="725">
        <f t="shared" si="328"/>
        <v>-0.83399999999999996</v>
      </c>
      <c r="X355" s="725">
        <f t="shared" si="329"/>
        <v>-1.2170000000000001</v>
      </c>
      <c r="Y355" s="725">
        <f t="shared" si="329"/>
        <v>-1.1779999999999999</v>
      </c>
      <c r="Z355" s="725">
        <f t="shared" si="329"/>
        <v>3.1430000000000002</v>
      </c>
      <c r="AA355" s="725">
        <f t="shared" si="330"/>
        <v>-0.22600000000000001</v>
      </c>
      <c r="AB355" s="725">
        <f t="shared" si="331"/>
        <v>-1.0000000000000009E-3</v>
      </c>
      <c r="AC355" s="725">
        <f t="shared" si="331"/>
        <v>-2.0340000000000003</v>
      </c>
      <c r="AD355" s="725">
        <f t="shared" si="331"/>
        <v>2.2610000000000001</v>
      </c>
      <c r="AE355" s="725">
        <f t="shared" si="332"/>
        <v>0</v>
      </c>
      <c r="AF355" s="779"/>
      <c r="AG355" s="728"/>
      <c r="AH355" s="728"/>
      <c r="AI355" s="728"/>
      <c r="AJ355" s="728"/>
      <c r="AK355" s="728"/>
      <c r="AL355" s="728"/>
      <c r="AM355" s="728"/>
      <c r="AN355" s="726">
        <f t="shared" ref="AN355:AX355" si="344">AN297</f>
        <v>-3.464</v>
      </c>
      <c r="AO355" s="726">
        <f t="shared" si="344"/>
        <v>0</v>
      </c>
      <c r="AP355" s="726">
        <f t="shared" si="344"/>
        <v>-0.157</v>
      </c>
      <c r="AQ355" s="726">
        <f t="shared" si="344"/>
        <v>0</v>
      </c>
      <c r="AR355" s="726">
        <f t="shared" si="344"/>
        <v>0</v>
      </c>
      <c r="AS355" s="726">
        <f t="shared" si="344"/>
        <v>0.246</v>
      </c>
      <c r="AT355" s="726">
        <f t="shared" si="344"/>
        <v>0.186</v>
      </c>
      <c r="AU355" s="726">
        <f t="shared" si="344"/>
        <v>1.4E-2</v>
      </c>
      <c r="AV355" s="726">
        <f t="shared" si="344"/>
        <v>-0.29499999999999998</v>
      </c>
      <c r="AW355" s="726">
        <f t="shared" si="344"/>
        <v>-8.5999999999999993E-2</v>
      </c>
      <c r="AX355" s="925">
        <f t="shared" si="344"/>
        <v>0</v>
      </c>
      <c r="AY355" s="729">
        <f t="shared" si="335"/>
        <v>0</v>
      </c>
      <c r="AZ355" s="729">
        <f t="shared" si="336"/>
        <v>0</v>
      </c>
      <c r="BA355" s="773"/>
      <c r="BB355" s="773"/>
      <c r="BC355" s="773"/>
      <c r="BD355" s="631"/>
    </row>
    <row r="356" spans="1:56" s="39" customFormat="1" x14ac:dyDescent="0.25">
      <c r="A356" s="307" t="str">
        <f t="shared" si="317"/>
        <v>Change in negative cash book balances</v>
      </c>
      <c r="B356" s="630"/>
      <c r="C356" s="725">
        <f t="shared" si="318"/>
        <v>0</v>
      </c>
      <c r="D356" s="725">
        <f t="shared" si="319"/>
        <v>0</v>
      </c>
      <c r="E356" s="725">
        <f t="shared" si="319"/>
        <v>0</v>
      </c>
      <c r="F356" s="725">
        <f t="shared" si="319"/>
        <v>0</v>
      </c>
      <c r="G356" s="725">
        <f t="shared" si="320"/>
        <v>0</v>
      </c>
      <c r="H356" s="725">
        <f t="shared" si="321"/>
        <v>0</v>
      </c>
      <c r="I356" s="725">
        <f t="shared" si="321"/>
        <v>0</v>
      </c>
      <c r="J356" s="725">
        <f t="shared" si="321"/>
        <v>0</v>
      </c>
      <c r="K356" s="725">
        <f t="shared" si="322"/>
        <v>0</v>
      </c>
      <c r="L356" s="725">
        <f t="shared" si="323"/>
        <v>0</v>
      </c>
      <c r="M356" s="725">
        <f t="shared" si="323"/>
        <v>0</v>
      </c>
      <c r="N356" s="725">
        <f t="shared" si="323"/>
        <v>0</v>
      </c>
      <c r="O356" s="725">
        <f t="shared" si="324"/>
        <v>0</v>
      </c>
      <c r="P356" s="725">
        <f t="shared" si="325"/>
        <v>0</v>
      </c>
      <c r="Q356" s="725">
        <f t="shared" si="325"/>
        <v>0</v>
      </c>
      <c r="R356" s="725">
        <f t="shared" si="325"/>
        <v>0</v>
      </c>
      <c r="S356" s="725">
        <f t="shared" si="326"/>
        <v>0</v>
      </c>
      <c r="T356" s="725">
        <f t="shared" si="327"/>
        <v>0</v>
      </c>
      <c r="U356" s="725">
        <f t="shared" si="327"/>
        <v>0</v>
      </c>
      <c r="V356" s="725">
        <f t="shared" si="327"/>
        <v>0</v>
      </c>
      <c r="W356" s="725">
        <f t="shared" si="328"/>
        <v>0</v>
      </c>
      <c r="X356" s="725">
        <f t="shared" si="329"/>
        <v>0</v>
      </c>
      <c r="Y356" s="725">
        <f t="shared" si="329"/>
        <v>0</v>
      </c>
      <c r="Z356" s="725">
        <f t="shared" si="329"/>
        <v>0</v>
      </c>
      <c r="AA356" s="725">
        <f t="shared" si="330"/>
        <v>0</v>
      </c>
      <c r="AB356" s="725">
        <f t="shared" si="331"/>
        <v>0</v>
      </c>
      <c r="AC356" s="725">
        <f t="shared" si="331"/>
        <v>0</v>
      </c>
      <c r="AD356" s="725">
        <f t="shared" si="331"/>
        <v>0</v>
      </c>
      <c r="AE356" s="725">
        <f t="shared" si="332"/>
        <v>0</v>
      </c>
      <c r="AF356" s="779"/>
      <c r="AG356" s="728"/>
      <c r="AH356" s="728"/>
      <c r="AI356" s="728"/>
      <c r="AJ356" s="728"/>
      <c r="AK356" s="728"/>
      <c r="AL356" s="728"/>
      <c r="AM356" s="728"/>
      <c r="AN356" s="726">
        <f t="shared" ref="AN356:AX356" si="345">AN298</f>
        <v>0</v>
      </c>
      <c r="AO356" s="726">
        <f t="shared" si="345"/>
        <v>5.0000000000000001E-3</v>
      </c>
      <c r="AP356" s="726">
        <f t="shared" si="345"/>
        <v>0</v>
      </c>
      <c r="AQ356" s="726">
        <f t="shared" si="345"/>
        <v>0</v>
      </c>
      <c r="AR356" s="726">
        <f t="shared" si="345"/>
        <v>0</v>
      </c>
      <c r="AS356" s="726">
        <f t="shared" si="345"/>
        <v>0</v>
      </c>
      <c r="AT356" s="726">
        <f t="shared" si="345"/>
        <v>0</v>
      </c>
      <c r="AU356" s="726">
        <f t="shared" si="345"/>
        <v>0</v>
      </c>
      <c r="AV356" s="726">
        <f t="shared" si="345"/>
        <v>0</v>
      </c>
      <c r="AW356" s="726">
        <f t="shared" si="345"/>
        <v>0</v>
      </c>
      <c r="AX356" s="925">
        <f t="shared" si="345"/>
        <v>0</v>
      </c>
      <c r="AY356" s="729">
        <f t="shared" si="335"/>
        <v>0</v>
      </c>
      <c r="AZ356" s="729">
        <f t="shared" si="336"/>
        <v>0</v>
      </c>
      <c r="BA356" s="773"/>
      <c r="BB356" s="773"/>
      <c r="BC356" s="773"/>
      <c r="BD356" s="631"/>
    </row>
    <row r="357" spans="1:56" s="38" customFormat="1" x14ac:dyDescent="0.25">
      <c r="A357" s="259" t="str">
        <f t="shared" si="317"/>
        <v>Net CFI</v>
      </c>
      <c r="B357" s="260"/>
      <c r="C357" s="747">
        <f t="shared" ref="C357:AL357" si="346">SUM(C349:C356)</f>
        <v>-0.83</v>
      </c>
      <c r="D357" s="747">
        <f t="shared" si="346"/>
        <v>-14.854999999999999</v>
      </c>
      <c r="E357" s="747">
        <f t="shared" si="346"/>
        <v>-2.4469999999999996</v>
      </c>
      <c r="F357" s="747">
        <f t="shared" si="346"/>
        <v>-2.0870000000000024</v>
      </c>
      <c r="G357" s="747">
        <f t="shared" si="346"/>
        <v>-0.91600000000000004</v>
      </c>
      <c r="H357" s="747">
        <f t="shared" si="346"/>
        <v>-9.1940000000000008</v>
      </c>
      <c r="I357" s="747">
        <f t="shared" si="346"/>
        <v>-0.625</v>
      </c>
      <c r="J357" s="747">
        <f t="shared" si="346"/>
        <v>-0.44599999999999973</v>
      </c>
      <c r="K357" s="747">
        <f t="shared" si="346"/>
        <v>-0.6</v>
      </c>
      <c r="L357" s="747">
        <f t="shared" si="346"/>
        <v>-0.92300000000000004</v>
      </c>
      <c r="M357" s="747">
        <f t="shared" si="346"/>
        <v>-0.22299999999999986</v>
      </c>
      <c r="N357" s="747">
        <f t="shared" si="346"/>
        <v>-0.42500000000000027</v>
      </c>
      <c r="O357" s="747">
        <f t="shared" si="346"/>
        <v>-2.8920000000000003</v>
      </c>
      <c r="P357" s="747">
        <f t="shared" si="346"/>
        <v>-1.9470000000000001</v>
      </c>
      <c r="Q357" s="747">
        <f t="shared" si="346"/>
        <v>-0.54299999999999982</v>
      </c>
      <c r="R357" s="747">
        <f t="shared" si="346"/>
        <v>-5.34</v>
      </c>
      <c r="S357" s="747">
        <f t="shared" si="346"/>
        <v>-4.0620000000000003</v>
      </c>
      <c r="T357" s="747">
        <f t="shared" si="346"/>
        <v>-4.9350000000000005</v>
      </c>
      <c r="U357" s="747">
        <f t="shared" si="346"/>
        <v>-5.42</v>
      </c>
      <c r="V357" s="747">
        <f t="shared" si="346"/>
        <v>-1.0360000000000007</v>
      </c>
      <c r="W357" s="747">
        <f t="shared" si="346"/>
        <v>-11.203999999999999</v>
      </c>
      <c r="X357" s="747">
        <f t="shared" si="346"/>
        <v>-32.317999999999998</v>
      </c>
      <c r="Y357" s="747">
        <f t="shared" si="346"/>
        <v>-4.8459999999999992</v>
      </c>
      <c r="Z357" s="747">
        <f t="shared" si="346"/>
        <v>-13.385999999999999</v>
      </c>
      <c r="AA357" s="747">
        <f t="shared" si="346"/>
        <v>-0.76800000000000002</v>
      </c>
      <c r="AB357" s="747">
        <f t="shared" si="346"/>
        <v>-0.48599999999999988</v>
      </c>
      <c r="AC357" s="747">
        <f t="shared" si="346"/>
        <v>-2.0620000000000003</v>
      </c>
      <c r="AD357" s="747">
        <f t="shared" si="346"/>
        <v>19.266999999999996</v>
      </c>
      <c r="AE357" s="747">
        <f t="shared" si="346"/>
        <v>2.8369999999999997</v>
      </c>
      <c r="AF357" s="772">
        <f t="shared" si="346"/>
        <v>-0.57899999999999996</v>
      </c>
      <c r="AG357" s="747">
        <f t="shared" si="346"/>
        <v>-0.4</v>
      </c>
      <c r="AH357" s="747">
        <f t="shared" si="346"/>
        <v>-0.4</v>
      </c>
      <c r="AI357" s="747">
        <f t="shared" si="346"/>
        <v>-0.8</v>
      </c>
      <c r="AJ357" s="747">
        <f t="shared" si="346"/>
        <v>-0.8</v>
      </c>
      <c r="AK357" s="747">
        <f t="shared" si="346"/>
        <v>-0.8</v>
      </c>
      <c r="AL357" s="747">
        <f t="shared" si="346"/>
        <v>-0.8</v>
      </c>
      <c r="AM357" s="747"/>
      <c r="AN357" s="748">
        <f t="shared" ref="AN357:BC357" si="347">SUM(AN349:AN356)</f>
        <v>-25.410999999999998</v>
      </c>
      <c r="AO357" s="748">
        <f t="shared" si="347"/>
        <v>-6.6470000000000002</v>
      </c>
      <c r="AP357" s="748">
        <f t="shared" si="347"/>
        <v>-40.208999999999996</v>
      </c>
      <c r="AQ357" s="748">
        <f t="shared" si="347"/>
        <v>-14.719999999999999</v>
      </c>
      <c r="AR357" s="748">
        <f t="shared" si="347"/>
        <v>-20.219000000000001</v>
      </c>
      <c r="AS357" s="748">
        <f t="shared" si="347"/>
        <v>-11.180999999999999</v>
      </c>
      <c r="AT357" s="748">
        <f t="shared" si="347"/>
        <v>-2.1710000000000003</v>
      </c>
      <c r="AU357" s="748">
        <f t="shared" si="347"/>
        <v>-10.722</v>
      </c>
      <c r="AV357" s="748">
        <f t="shared" si="347"/>
        <v>-15.453000000000001</v>
      </c>
      <c r="AW357" s="748">
        <f t="shared" si="347"/>
        <v>-61.753999999999998</v>
      </c>
      <c r="AX357" s="960">
        <f t="shared" si="347"/>
        <v>15.950999999999999</v>
      </c>
      <c r="AY357" s="748">
        <f t="shared" si="347"/>
        <v>1.4579999999999997</v>
      </c>
      <c r="AZ357" s="748">
        <f t="shared" si="347"/>
        <v>-3.2</v>
      </c>
      <c r="BA357" s="748">
        <f t="shared" si="347"/>
        <v>-3.2</v>
      </c>
      <c r="BB357" s="748">
        <f t="shared" si="347"/>
        <v>-3.2</v>
      </c>
      <c r="BC357" s="748">
        <f t="shared" si="347"/>
        <v>-3.2</v>
      </c>
      <c r="BD357" s="632"/>
    </row>
    <row r="358" spans="1:56" s="38" customFormat="1" x14ac:dyDescent="0.25">
      <c r="A358" s="503"/>
      <c r="B358" s="504"/>
      <c r="C358" s="757"/>
      <c r="D358" s="757"/>
      <c r="E358" s="757"/>
      <c r="F358" s="757"/>
      <c r="G358" s="757"/>
      <c r="H358" s="757"/>
      <c r="I358" s="757"/>
      <c r="J358" s="757"/>
      <c r="K358" s="757"/>
      <c r="L358" s="757"/>
      <c r="M358" s="757"/>
      <c r="N358" s="757"/>
      <c r="O358" s="757"/>
      <c r="P358" s="757"/>
      <c r="Q358" s="757"/>
      <c r="R358" s="757"/>
      <c r="S358" s="757"/>
      <c r="T358" s="757"/>
      <c r="U358" s="757"/>
      <c r="V358" s="757"/>
      <c r="W358" s="757"/>
      <c r="X358" s="757"/>
      <c r="Y358" s="757"/>
      <c r="Z358" s="757"/>
      <c r="AA358" s="757"/>
      <c r="AB358" s="757"/>
      <c r="AC358" s="757"/>
      <c r="AD358" s="757"/>
      <c r="AE358" s="757"/>
      <c r="AF358" s="797"/>
      <c r="AG358" s="769"/>
      <c r="AH358" s="769"/>
      <c r="AI358" s="769"/>
      <c r="AJ358" s="769"/>
      <c r="AK358" s="769"/>
      <c r="AL358" s="769"/>
      <c r="AM358" s="769"/>
      <c r="AN358" s="756"/>
      <c r="AO358" s="756"/>
      <c r="AP358" s="756"/>
      <c r="AQ358" s="756"/>
      <c r="AR358" s="756"/>
      <c r="AS358" s="756"/>
      <c r="AT358" s="756"/>
      <c r="AU358" s="756"/>
      <c r="AV358" s="756"/>
      <c r="AW358" s="756"/>
      <c r="AX358" s="947"/>
      <c r="AY358" s="770"/>
      <c r="AZ358" s="770"/>
      <c r="BA358" s="770"/>
      <c r="BB358" s="770"/>
      <c r="BC358" s="770"/>
      <c r="BD358" s="632"/>
    </row>
    <row r="359" spans="1:56" s="38" customFormat="1" x14ac:dyDescent="0.25">
      <c r="A359" s="503" t="str">
        <f t="shared" ref="A359:A375" si="348">A301</f>
        <v>CFF</v>
      </c>
      <c r="B359" s="504"/>
      <c r="C359" s="757"/>
      <c r="D359" s="757"/>
      <c r="E359" s="757"/>
      <c r="F359" s="757"/>
      <c r="G359" s="757"/>
      <c r="H359" s="757"/>
      <c r="I359" s="757"/>
      <c r="J359" s="757"/>
      <c r="K359" s="757"/>
      <c r="L359" s="757"/>
      <c r="M359" s="757"/>
      <c r="N359" s="757"/>
      <c r="O359" s="757"/>
      <c r="P359" s="757"/>
      <c r="Q359" s="757"/>
      <c r="R359" s="757"/>
      <c r="S359" s="757"/>
      <c r="T359" s="757"/>
      <c r="U359" s="757"/>
      <c r="V359" s="757"/>
      <c r="W359" s="757"/>
      <c r="X359" s="757"/>
      <c r="Y359" s="757"/>
      <c r="Z359" s="757"/>
      <c r="AA359" s="757"/>
      <c r="AB359" s="757"/>
      <c r="AC359" s="757"/>
      <c r="AD359" s="757"/>
      <c r="AE359" s="757"/>
      <c r="AF359" s="797"/>
      <c r="AG359" s="769"/>
      <c r="AH359" s="769"/>
      <c r="AI359" s="769"/>
      <c r="AJ359" s="769"/>
      <c r="AK359" s="769"/>
      <c r="AL359" s="769"/>
      <c r="AM359" s="769"/>
      <c r="AN359" s="756"/>
      <c r="AO359" s="756"/>
      <c r="AP359" s="756"/>
      <c r="AQ359" s="756"/>
      <c r="AR359" s="756"/>
      <c r="AS359" s="756"/>
      <c r="AT359" s="756"/>
      <c r="AU359" s="756"/>
      <c r="AV359" s="756"/>
      <c r="AW359" s="756"/>
      <c r="AX359" s="947"/>
      <c r="AY359" s="770"/>
      <c r="AZ359" s="770"/>
      <c r="BA359" s="770"/>
      <c r="BB359" s="770"/>
      <c r="BC359" s="770"/>
      <c r="BD359" s="632"/>
    </row>
    <row r="360" spans="1:56" s="39" customFormat="1" x14ac:dyDescent="0.25">
      <c r="A360" s="307" t="str">
        <f t="shared" si="348"/>
        <v>Proceeds from (repayment of) short-term borrowings</v>
      </c>
      <c r="B360" s="630"/>
      <c r="C360" s="725">
        <f t="shared" ref="C360:C374" si="349">C302</f>
        <v>0</v>
      </c>
      <c r="D360" s="725">
        <f t="shared" ref="D360:F374" si="350">D302-C302</f>
        <v>6.77</v>
      </c>
      <c r="E360" s="725">
        <f t="shared" si="350"/>
        <v>-1.9499999999999993</v>
      </c>
      <c r="F360" s="725">
        <f t="shared" si="350"/>
        <v>-4.4130000000000003</v>
      </c>
      <c r="G360" s="725">
        <f t="shared" ref="G360:G374" si="351">G302</f>
        <v>2.37</v>
      </c>
      <c r="H360" s="725">
        <f t="shared" ref="H360:J374" si="352">H302-G302</f>
        <v>14.994</v>
      </c>
      <c r="I360" s="725">
        <f t="shared" si="352"/>
        <v>-12.891000000000002</v>
      </c>
      <c r="J360" s="725">
        <f t="shared" si="352"/>
        <v>15.919</v>
      </c>
      <c r="K360" s="725">
        <f t="shared" ref="K360:K374" si="353">K302</f>
        <v>0.73499999999999999</v>
      </c>
      <c r="L360" s="725">
        <f t="shared" ref="L360:N374" si="354">L302-K302</f>
        <v>7.2639999999999993</v>
      </c>
      <c r="M360" s="725">
        <f t="shared" si="354"/>
        <v>4.1090000000000009</v>
      </c>
      <c r="N360" s="725">
        <f t="shared" si="354"/>
        <v>1.1769999999999996</v>
      </c>
      <c r="O360" s="725">
        <f t="shared" ref="O360:O374" si="355">O302</f>
        <v>-0.99199999999999999</v>
      </c>
      <c r="P360" s="725">
        <f t="shared" ref="P360:R374" si="356">P302-O302</f>
        <v>9.5770000000000017</v>
      </c>
      <c r="Q360" s="725">
        <f t="shared" si="356"/>
        <v>2.1799999999999997</v>
      </c>
      <c r="R360" s="725">
        <f t="shared" si="356"/>
        <v>-26.891999999999999</v>
      </c>
      <c r="S360" s="725">
        <f t="shared" ref="S360:S374" si="357">S302</f>
        <v>5.82</v>
      </c>
      <c r="T360" s="725">
        <f t="shared" ref="T360:V374" si="358">T302-S302</f>
        <v>0.90700000000000003</v>
      </c>
      <c r="U360" s="725">
        <f t="shared" si="358"/>
        <v>3.0220000000000002</v>
      </c>
      <c r="V360" s="725">
        <f t="shared" si="358"/>
        <v>10.115</v>
      </c>
      <c r="W360" s="725">
        <f t="shared" ref="W360:W374" si="359">W302</f>
        <v>6.0220000000000002</v>
      </c>
      <c r="X360" s="725">
        <f t="shared" ref="X360:Z374" si="360">X302-W302</f>
        <v>18.174999999999997</v>
      </c>
      <c r="Y360" s="725">
        <f t="shared" si="360"/>
        <v>7.213000000000001</v>
      </c>
      <c r="Z360" s="725">
        <f t="shared" si="360"/>
        <v>-68.986999999999995</v>
      </c>
      <c r="AA360" s="725">
        <f t="shared" ref="AA360:AA374" si="361">AA302</f>
        <v>0</v>
      </c>
      <c r="AB360" s="725">
        <f t="shared" ref="AB360:AD374" si="362">AB302-AA302</f>
        <v>0</v>
      </c>
      <c r="AC360" s="725">
        <f t="shared" si="362"/>
        <v>0</v>
      </c>
      <c r="AD360" s="725">
        <f t="shared" si="362"/>
        <v>0</v>
      </c>
      <c r="AE360" s="725">
        <f t="shared" ref="AE360:AE374" si="363">AE302</f>
        <v>0</v>
      </c>
      <c r="AF360" s="779"/>
      <c r="AG360" s="728"/>
      <c r="AH360" s="728"/>
      <c r="AI360" s="728"/>
      <c r="AJ360" s="728"/>
      <c r="AK360" s="728"/>
      <c r="AL360" s="728"/>
      <c r="AM360" s="728"/>
      <c r="AN360" s="726">
        <f t="shared" ref="AN360:AX360" si="364">AN302</f>
        <v>-3.234</v>
      </c>
      <c r="AO360" s="726">
        <f t="shared" si="364"/>
        <v>0</v>
      </c>
      <c r="AP360" s="726">
        <f t="shared" si="364"/>
        <v>0</v>
      </c>
      <c r="AQ360" s="726">
        <f t="shared" si="364"/>
        <v>0</v>
      </c>
      <c r="AR360" s="726">
        <f t="shared" si="364"/>
        <v>0.40699999999999997</v>
      </c>
      <c r="AS360" s="726">
        <f t="shared" si="364"/>
        <v>20.391999999999999</v>
      </c>
      <c r="AT360" s="726">
        <f t="shared" si="364"/>
        <v>13.285</v>
      </c>
      <c r="AU360" s="726">
        <f t="shared" si="364"/>
        <v>-16.126999999999999</v>
      </c>
      <c r="AV360" s="726">
        <f t="shared" si="364"/>
        <v>19.864000000000001</v>
      </c>
      <c r="AW360" s="726">
        <f t="shared" si="364"/>
        <v>-37.576999999999998</v>
      </c>
      <c r="AX360" s="925">
        <f t="shared" si="364"/>
        <v>0</v>
      </c>
      <c r="AY360" s="729">
        <f t="shared" ref="AY360:AY374" si="365">SUM(AE360,AF360,AG360,AH360)</f>
        <v>0</v>
      </c>
      <c r="AZ360" s="729">
        <f t="shared" ref="AZ360:AZ374" si="366">SUM(AI360,AJ360,AK360,AL360)</f>
        <v>0</v>
      </c>
      <c r="BA360" s="773"/>
      <c r="BB360" s="773"/>
      <c r="BC360" s="773"/>
      <c r="BD360" s="631"/>
    </row>
    <row r="361" spans="1:56" s="39" customFormat="1" x14ac:dyDescent="0.25">
      <c r="A361" s="307" t="str">
        <f t="shared" si="348"/>
        <v>Proceeds from long-term debt</v>
      </c>
      <c r="B361" s="630"/>
      <c r="C361" s="725">
        <f t="shared" si="349"/>
        <v>0</v>
      </c>
      <c r="D361" s="725">
        <f t="shared" si="350"/>
        <v>0</v>
      </c>
      <c r="E361" s="725">
        <f t="shared" si="350"/>
        <v>0</v>
      </c>
      <c r="F361" s="725">
        <f t="shared" si="350"/>
        <v>0</v>
      </c>
      <c r="G361" s="725">
        <f t="shared" si="351"/>
        <v>0</v>
      </c>
      <c r="H361" s="725">
        <f t="shared" si="352"/>
        <v>0</v>
      </c>
      <c r="I361" s="725">
        <f t="shared" si="352"/>
        <v>0</v>
      </c>
      <c r="J361" s="725">
        <f t="shared" si="352"/>
        <v>40</v>
      </c>
      <c r="K361" s="725">
        <f t="shared" si="353"/>
        <v>0</v>
      </c>
      <c r="L361" s="725">
        <f t="shared" si="354"/>
        <v>0</v>
      </c>
      <c r="M361" s="725">
        <f t="shared" si="354"/>
        <v>0</v>
      </c>
      <c r="N361" s="725">
        <f t="shared" si="354"/>
        <v>0</v>
      </c>
      <c r="O361" s="725">
        <f t="shared" si="355"/>
        <v>0</v>
      </c>
      <c r="P361" s="725">
        <f t="shared" si="356"/>
        <v>0</v>
      </c>
      <c r="Q361" s="725">
        <f t="shared" si="356"/>
        <v>0</v>
      </c>
      <c r="R361" s="725">
        <f t="shared" si="356"/>
        <v>40</v>
      </c>
      <c r="S361" s="725">
        <f t="shared" si="357"/>
        <v>0</v>
      </c>
      <c r="T361" s="725">
        <f t="shared" si="358"/>
        <v>0</v>
      </c>
      <c r="U361" s="725">
        <f t="shared" si="358"/>
        <v>0</v>
      </c>
      <c r="V361" s="725">
        <f t="shared" si="358"/>
        <v>0</v>
      </c>
      <c r="W361" s="725">
        <f t="shared" si="359"/>
        <v>0</v>
      </c>
      <c r="X361" s="725">
        <f t="shared" si="360"/>
        <v>18</v>
      </c>
      <c r="Y361" s="725">
        <f t="shared" si="360"/>
        <v>0</v>
      </c>
      <c r="Z361" s="725">
        <f t="shared" si="360"/>
        <v>128</v>
      </c>
      <c r="AA361" s="725">
        <f t="shared" si="361"/>
        <v>33.037999999999997</v>
      </c>
      <c r="AB361" s="725">
        <f t="shared" si="362"/>
        <v>44.012</v>
      </c>
      <c r="AC361" s="725">
        <f t="shared" si="362"/>
        <v>43.3</v>
      </c>
      <c r="AD361" s="725">
        <f t="shared" si="362"/>
        <v>58.400000000000006</v>
      </c>
      <c r="AE361" s="725">
        <f t="shared" si="363"/>
        <v>62.186999999999998</v>
      </c>
      <c r="AF361" s="779"/>
      <c r="AG361" s="728"/>
      <c r="AH361" s="728"/>
      <c r="AI361" s="728"/>
      <c r="AJ361" s="728"/>
      <c r="AK361" s="728"/>
      <c r="AL361" s="728"/>
      <c r="AM361" s="728"/>
      <c r="AN361" s="726">
        <f t="shared" ref="AN361:AX361" si="367">AN303</f>
        <v>0</v>
      </c>
      <c r="AO361" s="726">
        <f t="shared" si="367"/>
        <v>0</v>
      </c>
      <c r="AP361" s="726">
        <f t="shared" si="367"/>
        <v>0</v>
      </c>
      <c r="AQ361" s="726">
        <f t="shared" si="367"/>
        <v>0</v>
      </c>
      <c r="AR361" s="726">
        <f t="shared" si="367"/>
        <v>0</v>
      </c>
      <c r="AS361" s="726">
        <f t="shared" si="367"/>
        <v>40</v>
      </c>
      <c r="AT361" s="726">
        <f t="shared" si="367"/>
        <v>0</v>
      </c>
      <c r="AU361" s="726">
        <f t="shared" si="367"/>
        <v>40</v>
      </c>
      <c r="AV361" s="726">
        <f t="shared" si="367"/>
        <v>0</v>
      </c>
      <c r="AW361" s="726">
        <f t="shared" si="367"/>
        <v>146</v>
      </c>
      <c r="AX361" s="925">
        <f t="shared" si="367"/>
        <v>178.75</v>
      </c>
      <c r="AY361" s="729">
        <f t="shared" si="365"/>
        <v>62.186999999999998</v>
      </c>
      <c r="AZ361" s="729">
        <f t="shared" si="366"/>
        <v>0</v>
      </c>
      <c r="BA361" s="773"/>
      <c r="BB361" s="773"/>
      <c r="BC361" s="773"/>
      <c r="BD361" s="631"/>
    </row>
    <row r="362" spans="1:56" s="39" customFormat="1" x14ac:dyDescent="0.25">
      <c r="A362" s="307" t="str">
        <f t="shared" si="348"/>
        <v>Repayment of long-term debt</v>
      </c>
      <c r="B362" s="630"/>
      <c r="C362" s="725">
        <f t="shared" si="349"/>
        <v>0</v>
      </c>
      <c r="D362" s="725">
        <f t="shared" si="350"/>
        <v>0</v>
      </c>
      <c r="E362" s="725">
        <f t="shared" si="350"/>
        <v>0</v>
      </c>
      <c r="F362" s="725">
        <f t="shared" si="350"/>
        <v>0</v>
      </c>
      <c r="G362" s="725">
        <f t="shared" si="351"/>
        <v>0</v>
      </c>
      <c r="H362" s="725">
        <f t="shared" si="352"/>
        <v>0</v>
      </c>
      <c r="I362" s="725">
        <f t="shared" si="352"/>
        <v>0</v>
      </c>
      <c r="J362" s="725">
        <f t="shared" si="352"/>
        <v>-2.2229999999999999</v>
      </c>
      <c r="K362" s="725">
        <f t="shared" si="353"/>
        <v>-3.3330000000000002</v>
      </c>
      <c r="L362" s="725">
        <f t="shared" si="354"/>
        <v>-3.3330000000000002</v>
      </c>
      <c r="M362" s="725">
        <f t="shared" si="354"/>
        <v>-3.3339999999999996</v>
      </c>
      <c r="N362" s="725">
        <f t="shared" si="354"/>
        <v>-3.3330000000000002</v>
      </c>
      <c r="O362" s="725">
        <f t="shared" si="355"/>
        <v>-3.3330000000000002</v>
      </c>
      <c r="P362" s="725">
        <f t="shared" si="356"/>
        <v>-3.3330000000000002</v>
      </c>
      <c r="Q362" s="725">
        <f t="shared" si="356"/>
        <v>-3.3339999999999996</v>
      </c>
      <c r="R362" s="725">
        <f t="shared" si="356"/>
        <v>-14.443999999999999</v>
      </c>
      <c r="S362" s="725">
        <f t="shared" si="357"/>
        <v>-3</v>
      </c>
      <c r="T362" s="725">
        <f t="shared" si="358"/>
        <v>-3</v>
      </c>
      <c r="U362" s="725">
        <f t="shared" si="358"/>
        <v>-3</v>
      </c>
      <c r="V362" s="725">
        <f t="shared" si="358"/>
        <v>-3</v>
      </c>
      <c r="W362" s="725">
        <f t="shared" si="359"/>
        <v>-3</v>
      </c>
      <c r="X362" s="725">
        <f t="shared" si="360"/>
        <v>-3</v>
      </c>
      <c r="Y362" s="725">
        <f t="shared" si="360"/>
        <v>-3</v>
      </c>
      <c r="Z362" s="725">
        <f t="shared" si="360"/>
        <v>-48.5</v>
      </c>
      <c r="AA362" s="725">
        <f t="shared" si="361"/>
        <v>-33</v>
      </c>
      <c r="AB362" s="725">
        <f t="shared" si="362"/>
        <v>-40.900000000000006</v>
      </c>
      <c r="AC362" s="725">
        <f t="shared" si="362"/>
        <v>-49.8</v>
      </c>
      <c r="AD362" s="725">
        <f t="shared" si="362"/>
        <v>-88.679999999999993</v>
      </c>
      <c r="AE362" s="725">
        <f t="shared" si="363"/>
        <v>-70.22</v>
      </c>
      <c r="AF362" s="771">
        <f t="shared" ref="AF362:AL362" si="368">AF217</f>
        <v>0</v>
      </c>
      <c r="AG362" s="730">
        <f t="shared" si="368"/>
        <v>0</v>
      </c>
      <c r="AH362" s="730">
        <f t="shared" si="368"/>
        <v>0</v>
      </c>
      <c r="AI362" s="730">
        <f t="shared" si="368"/>
        <v>0</v>
      </c>
      <c r="AJ362" s="730">
        <f t="shared" si="368"/>
        <v>0</v>
      </c>
      <c r="AK362" s="730">
        <f t="shared" si="368"/>
        <v>0</v>
      </c>
      <c r="AL362" s="730">
        <f t="shared" si="368"/>
        <v>0</v>
      </c>
      <c r="AM362" s="730"/>
      <c r="AN362" s="726">
        <f t="shared" ref="AN362:AX362" si="369">AN304</f>
        <v>0</v>
      </c>
      <c r="AO362" s="726">
        <f t="shared" si="369"/>
        <v>0</v>
      </c>
      <c r="AP362" s="726">
        <f t="shared" si="369"/>
        <v>0</v>
      </c>
      <c r="AQ362" s="726">
        <f t="shared" si="369"/>
        <v>0</v>
      </c>
      <c r="AR362" s="726">
        <f t="shared" si="369"/>
        <v>0</v>
      </c>
      <c r="AS362" s="726">
        <f t="shared" si="369"/>
        <v>-2.2229999999999999</v>
      </c>
      <c r="AT362" s="726">
        <f t="shared" si="369"/>
        <v>-13.333</v>
      </c>
      <c r="AU362" s="726">
        <f t="shared" si="369"/>
        <v>-24.443999999999999</v>
      </c>
      <c r="AV362" s="726">
        <f t="shared" si="369"/>
        <v>-12</v>
      </c>
      <c r="AW362" s="726">
        <f t="shared" si="369"/>
        <v>-57.5</v>
      </c>
      <c r="AX362" s="925">
        <f t="shared" si="369"/>
        <v>-212.38</v>
      </c>
      <c r="AY362" s="729">
        <f t="shared" si="365"/>
        <v>-70.22</v>
      </c>
      <c r="AZ362" s="729">
        <f t="shared" si="366"/>
        <v>0</v>
      </c>
      <c r="BA362" s="729">
        <f>BA217</f>
        <v>0</v>
      </c>
      <c r="BB362" s="729">
        <f>BB217</f>
        <v>0</v>
      </c>
      <c r="BC362" s="729">
        <f>BC217</f>
        <v>0</v>
      </c>
      <c r="BD362" s="631"/>
    </row>
    <row r="363" spans="1:56" s="39" customFormat="1" x14ac:dyDescent="0.25">
      <c r="A363" s="307" t="str">
        <f t="shared" si="348"/>
        <v>Equity investment by Sagard Capital Partners, L.P.</v>
      </c>
      <c r="B363" s="630"/>
      <c r="C363" s="725">
        <f t="shared" si="349"/>
        <v>0</v>
      </c>
      <c r="D363" s="725">
        <f t="shared" si="350"/>
        <v>0</v>
      </c>
      <c r="E363" s="725">
        <f t="shared" si="350"/>
        <v>0</v>
      </c>
      <c r="F363" s="725">
        <f t="shared" si="350"/>
        <v>0</v>
      </c>
      <c r="G363" s="725">
        <f t="shared" si="351"/>
        <v>0</v>
      </c>
      <c r="H363" s="725">
        <f t="shared" si="352"/>
        <v>0</v>
      </c>
      <c r="I363" s="725">
        <f t="shared" si="352"/>
        <v>0</v>
      </c>
      <c r="J363" s="725">
        <f t="shared" si="352"/>
        <v>0</v>
      </c>
      <c r="K363" s="725">
        <f t="shared" si="353"/>
        <v>0</v>
      </c>
      <c r="L363" s="725">
        <f t="shared" si="354"/>
        <v>0</v>
      </c>
      <c r="M363" s="725">
        <f t="shared" si="354"/>
        <v>0</v>
      </c>
      <c r="N363" s="725">
        <f t="shared" si="354"/>
        <v>0</v>
      </c>
      <c r="O363" s="725">
        <f t="shared" si="355"/>
        <v>0</v>
      </c>
      <c r="P363" s="725">
        <f t="shared" si="356"/>
        <v>0</v>
      </c>
      <c r="Q363" s="725">
        <f t="shared" si="356"/>
        <v>0</v>
      </c>
      <c r="R363" s="725">
        <f t="shared" si="356"/>
        <v>0</v>
      </c>
      <c r="S363" s="725">
        <f t="shared" si="357"/>
        <v>0</v>
      </c>
      <c r="T363" s="725">
        <f t="shared" si="358"/>
        <v>0</v>
      </c>
      <c r="U363" s="725">
        <f t="shared" si="358"/>
        <v>0</v>
      </c>
      <c r="V363" s="725">
        <f t="shared" si="358"/>
        <v>0</v>
      </c>
      <c r="W363" s="725">
        <f t="shared" si="359"/>
        <v>0</v>
      </c>
      <c r="X363" s="725">
        <f t="shared" si="360"/>
        <v>0</v>
      </c>
      <c r="Y363" s="725">
        <f t="shared" si="360"/>
        <v>0</v>
      </c>
      <c r="Z363" s="725">
        <f t="shared" si="360"/>
        <v>0</v>
      </c>
      <c r="AA363" s="725">
        <f t="shared" si="361"/>
        <v>0</v>
      </c>
      <c r="AB363" s="725">
        <f t="shared" si="362"/>
        <v>0</v>
      </c>
      <c r="AC363" s="725">
        <f t="shared" si="362"/>
        <v>0</v>
      </c>
      <c r="AD363" s="725">
        <f t="shared" si="362"/>
        <v>0</v>
      </c>
      <c r="AE363" s="725">
        <f t="shared" si="363"/>
        <v>0</v>
      </c>
      <c r="AF363" s="779"/>
      <c r="AG363" s="728"/>
      <c r="AH363" s="728"/>
      <c r="AI363" s="728"/>
      <c r="AJ363" s="728"/>
      <c r="AK363" s="728"/>
      <c r="AL363" s="728"/>
      <c r="AM363" s="728"/>
      <c r="AN363" s="726">
        <f t="shared" ref="AN363:AX363" si="370">AN305</f>
        <v>19.581</v>
      </c>
      <c r="AO363" s="726">
        <f t="shared" si="370"/>
        <v>0</v>
      </c>
      <c r="AP363" s="726">
        <f t="shared" si="370"/>
        <v>0</v>
      </c>
      <c r="AQ363" s="726">
        <f t="shared" si="370"/>
        <v>0</v>
      </c>
      <c r="AR363" s="726">
        <f t="shared" si="370"/>
        <v>0</v>
      </c>
      <c r="AS363" s="726">
        <f t="shared" si="370"/>
        <v>0</v>
      </c>
      <c r="AT363" s="726">
        <f t="shared" si="370"/>
        <v>0</v>
      </c>
      <c r="AU363" s="726">
        <f t="shared" si="370"/>
        <v>0</v>
      </c>
      <c r="AV363" s="726">
        <f t="shared" si="370"/>
        <v>0</v>
      </c>
      <c r="AW363" s="726">
        <f t="shared" si="370"/>
        <v>0</v>
      </c>
      <c r="AX363" s="925">
        <f t="shared" si="370"/>
        <v>0</v>
      </c>
      <c r="AY363" s="729">
        <f t="shared" si="365"/>
        <v>0</v>
      </c>
      <c r="AZ363" s="729">
        <f t="shared" si="366"/>
        <v>0</v>
      </c>
      <c r="BA363" s="773"/>
      <c r="BB363" s="773"/>
      <c r="BC363" s="773"/>
      <c r="BD363" s="631"/>
    </row>
    <row r="364" spans="1:56" s="39" customFormat="1" x14ac:dyDescent="0.25">
      <c r="A364" s="307" t="str">
        <f t="shared" si="348"/>
        <v>Contingent consideration payments</v>
      </c>
      <c r="B364" s="630"/>
      <c r="C364" s="725">
        <f t="shared" si="349"/>
        <v>-0.60199999999999998</v>
      </c>
      <c r="D364" s="725">
        <f t="shared" si="350"/>
        <v>0</v>
      </c>
      <c r="E364" s="725">
        <f t="shared" si="350"/>
        <v>-0.42400000000000004</v>
      </c>
      <c r="F364" s="725">
        <f t="shared" si="350"/>
        <v>0</v>
      </c>
      <c r="G364" s="725">
        <f t="shared" si="351"/>
        <v>-0.33800000000000002</v>
      </c>
      <c r="H364" s="725">
        <f t="shared" si="352"/>
        <v>-0.63900000000000001</v>
      </c>
      <c r="I364" s="725">
        <f t="shared" si="352"/>
        <v>0</v>
      </c>
      <c r="J364" s="725">
        <f t="shared" si="352"/>
        <v>0</v>
      </c>
      <c r="K364" s="725">
        <f t="shared" si="353"/>
        <v>0</v>
      </c>
      <c r="L364" s="725">
        <f t="shared" si="354"/>
        <v>-2.2839999999999998</v>
      </c>
      <c r="M364" s="725">
        <f t="shared" si="354"/>
        <v>0</v>
      </c>
      <c r="N364" s="725">
        <f t="shared" si="354"/>
        <v>0</v>
      </c>
      <c r="O364" s="725">
        <f t="shared" si="355"/>
        <v>0</v>
      </c>
      <c r="P364" s="725">
        <f t="shared" si="356"/>
        <v>-2.085</v>
      </c>
      <c r="Q364" s="725">
        <f t="shared" si="356"/>
        <v>0</v>
      </c>
      <c r="R364" s="725">
        <f t="shared" si="356"/>
        <v>-0.15900000000000025</v>
      </c>
      <c r="S364" s="725">
        <f t="shared" si="357"/>
        <v>0</v>
      </c>
      <c r="T364" s="725">
        <f t="shared" si="358"/>
        <v>0</v>
      </c>
      <c r="U364" s="725">
        <f t="shared" si="358"/>
        <v>-0.96699999999999997</v>
      </c>
      <c r="V364" s="725">
        <f t="shared" si="358"/>
        <v>-3.69</v>
      </c>
      <c r="W364" s="725">
        <f t="shared" si="359"/>
        <v>0</v>
      </c>
      <c r="X364" s="725">
        <f t="shared" si="360"/>
        <v>0</v>
      </c>
      <c r="Y364" s="725">
        <f t="shared" si="360"/>
        <v>0</v>
      </c>
      <c r="Z364" s="725">
        <f t="shared" si="360"/>
        <v>0</v>
      </c>
      <c r="AA364" s="725">
        <f t="shared" si="361"/>
        <v>0</v>
      </c>
      <c r="AB364" s="725">
        <f t="shared" si="362"/>
        <v>0</v>
      </c>
      <c r="AC364" s="725">
        <f t="shared" si="362"/>
        <v>0</v>
      </c>
      <c r="AD364" s="725">
        <f t="shared" si="362"/>
        <v>0</v>
      </c>
      <c r="AE364" s="725">
        <f t="shared" si="363"/>
        <v>0</v>
      </c>
      <c r="AF364" s="779"/>
      <c r="AG364" s="728"/>
      <c r="AH364" s="728"/>
      <c r="AI364" s="728"/>
      <c r="AJ364" s="728"/>
      <c r="AK364" s="728"/>
      <c r="AL364" s="728"/>
      <c r="AM364" s="728"/>
      <c r="AN364" s="726">
        <f t="shared" ref="AN364:AX364" si="371">AN306</f>
        <v>0</v>
      </c>
      <c r="AO364" s="726">
        <f t="shared" si="371"/>
        <v>-0.77500000000000002</v>
      </c>
      <c r="AP364" s="726">
        <f t="shared" si="371"/>
        <v>-1.238</v>
      </c>
      <c r="AQ364" s="726">
        <f t="shared" si="371"/>
        <v>-1.2629999999999999</v>
      </c>
      <c r="AR364" s="726">
        <f t="shared" si="371"/>
        <v>-1.026</v>
      </c>
      <c r="AS364" s="726">
        <f t="shared" si="371"/>
        <v>-0.97699999999999998</v>
      </c>
      <c r="AT364" s="726">
        <f t="shared" si="371"/>
        <v>-2.2839999999999998</v>
      </c>
      <c r="AU364" s="726">
        <f t="shared" si="371"/>
        <v>-2.2440000000000002</v>
      </c>
      <c r="AV364" s="726">
        <f t="shared" si="371"/>
        <v>-4.657</v>
      </c>
      <c r="AW364" s="726">
        <f t="shared" si="371"/>
        <v>0</v>
      </c>
      <c r="AX364" s="925">
        <f t="shared" si="371"/>
        <v>0</v>
      </c>
      <c r="AY364" s="729">
        <f t="shared" si="365"/>
        <v>0</v>
      </c>
      <c r="AZ364" s="729">
        <f t="shared" si="366"/>
        <v>0</v>
      </c>
      <c r="BA364" s="773"/>
      <c r="BB364" s="773"/>
      <c r="BC364" s="773"/>
      <c r="BD364" s="631"/>
    </row>
    <row r="365" spans="1:56" s="39" customFormat="1" x14ac:dyDescent="0.25">
      <c r="A365" s="307" t="str">
        <f t="shared" si="348"/>
        <v>Change in negative cash book balance</v>
      </c>
      <c r="B365" s="630"/>
      <c r="C365" s="725">
        <f t="shared" si="349"/>
        <v>0</v>
      </c>
      <c r="D365" s="725">
        <f t="shared" si="350"/>
        <v>2.0859999999999999</v>
      </c>
      <c r="E365" s="725">
        <f t="shared" si="350"/>
        <v>-0.2569999999999999</v>
      </c>
      <c r="F365" s="725">
        <f t="shared" si="350"/>
        <v>3.4320000000000004</v>
      </c>
      <c r="G365" s="725">
        <f t="shared" si="351"/>
        <v>-1.8979999999999999</v>
      </c>
      <c r="H365" s="725">
        <f t="shared" si="352"/>
        <v>-0.57899999999999996</v>
      </c>
      <c r="I365" s="725">
        <f t="shared" si="352"/>
        <v>-9.9000000000000199E-2</v>
      </c>
      <c r="J365" s="725">
        <f t="shared" si="352"/>
        <v>2.1360000000000001</v>
      </c>
      <c r="K365" s="725">
        <f t="shared" si="353"/>
        <v>-1.518</v>
      </c>
      <c r="L365" s="725">
        <f t="shared" si="354"/>
        <v>-0.2609999999999999</v>
      </c>
      <c r="M365" s="725">
        <f t="shared" si="354"/>
        <v>-8.6000000000000076E-2</v>
      </c>
      <c r="N365" s="725">
        <f t="shared" si="354"/>
        <v>0.72199999999999998</v>
      </c>
      <c r="O365" s="725">
        <f t="shared" si="355"/>
        <v>-1.659</v>
      </c>
      <c r="P365" s="725">
        <f t="shared" si="356"/>
        <v>-1.075</v>
      </c>
      <c r="Q365" s="725">
        <f t="shared" si="356"/>
        <v>1.083</v>
      </c>
      <c r="R365" s="725">
        <f t="shared" si="356"/>
        <v>3.0170000000000003</v>
      </c>
      <c r="S365" s="725">
        <f t="shared" si="357"/>
        <v>-2.3130000000000002</v>
      </c>
      <c r="T365" s="725">
        <f t="shared" si="358"/>
        <v>8.0999999999999961E-2</v>
      </c>
      <c r="U365" s="725">
        <f t="shared" si="358"/>
        <v>-0.58099999999999996</v>
      </c>
      <c r="V365" s="725">
        <f t="shared" si="358"/>
        <v>0.67500000000000027</v>
      </c>
      <c r="W365" s="725">
        <f t="shared" si="359"/>
        <v>-0.26100000000000001</v>
      </c>
      <c r="X365" s="725">
        <f t="shared" si="360"/>
        <v>-0.43399999999999994</v>
      </c>
      <c r="Y365" s="725">
        <f t="shared" si="360"/>
        <v>1.4179999999999999</v>
      </c>
      <c r="Z365" s="725">
        <f t="shared" si="360"/>
        <v>-2.0009999999999999</v>
      </c>
      <c r="AA365" s="725">
        <f t="shared" si="361"/>
        <v>-0.70099999999999996</v>
      </c>
      <c r="AB365" s="725">
        <f t="shared" si="362"/>
        <v>-0.88300000000000012</v>
      </c>
      <c r="AC365" s="725">
        <f t="shared" si="362"/>
        <v>0.25500000000000012</v>
      </c>
      <c r="AD365" s="725">
        <f t="shared" si="362"/>
        <v>3.2610000000000001</v>
      </c>
      <c r="AE365" s="725">
        <f t="shared" si="363"/>
        <v>-3.7010000000000001</v>
      </c>
      <c r="AF365" s="779"/>
      <c r="AG365" s="728"/>
      <c r="AH365" s="728"/>
      <c r="AI365" s="728"/>
      <c r="AJ365" s="728"/>
      <c r="AK365" s="728"/>
      <c r="AL365" s="728"/>
      <c r="AM365" s="728"/>
      <c r="AN365" s="726">
        <f t="shared" ref="AN365:AX365" si="372">AN307</f>
        <v>-0.59499999999999997</v>
      </c>
      <c r="AO365" s="726">
        <f t="shared" si="372"/>
        <v>0</v>
      </c>
      <c r="AP365" s="726">
        <f t="shared" si="372"/>
        <v>1.883</v>
      </c>
      <c r="AQ365" s="726">
        <f t="shared" si="372"/>
        <v>-1.8879999999999999</v>
      </c>
      <c r="AR365" s="726">
        <f t="shared" si="372"/>
        <v>5.2610000000000001</v>
      </c>
      <c r="AS365" s="726">
        <f t="shared" si="372"/>
        <v>-0.44</v>
      </c>
      <c r="AT365" s="726">
        <f t="shared" si="372"/>
        <v>-1.143</v>
      </c>
      <c r="AU365" s="726">
        <f t="shared" si="372"/>
        <v>1.3660000000000001</v>
      </c>
      <c r="AV365" s="726">
        <f t="shared" si="372"/>
        <v>-2.1379999999999999</v>
      </c>
      <c r="AW365" s="726">
        <f t="shared" si="372"/>
        <v>-1.278</v>
      </c>
      <c r="AX365" s="925">
        <f t="shared" si="372"/>
        <v>1.9319999999999999</v>
      </c>
      <c r="AY365" s="729">
        <f t="shared" si="365"/>
        <v>-3.7010000000000001</v>
      </c>
      <c r="AZ365" s="729">
        <f t="shared" si="366"/>
        <v>0</v>
      </c>
      <c r="BA365" s="773"/>
      <c r="BB365" s="773"/>
      <c r="BC365" s="773"/>
      <c r="BD365" s="631"/>
    </row>
    <row r="366" spans="1:56" s="39" customFormat="1" x14ac:dyDescent="0.25">
      <c r="A366" s="307" t="str">
        <f t="shared" si="348"/>
        <v>Repurchases of common stock in the open market</v>
      </c>
      <c r="B366" s="630"/>
      <c r="C366" s="725">
        <f t="shared" si="349"/>
        <v>-0.45100000000000001</v>
      </c>
      <c r="D366" s="725">
        <f t="shared" si="350"/>
        <v>0</v>
      </c>
      <c r="E366" s="725">
        <f t="shared" si="350"/>
        <v>-0.48400000000000004</v>
      </c>
      <c r="F366" s="725">
        <f t="shared" si="350"/>
        <v>-0.81200000000000006</v>
      </c>
      <c r="G366" s="725">
        <f t="shared" si="351"/>
        <v>-0.32</v>
      </c>
      <c r="H366" s="725">
        <f t="shared" si="352"/>
        <v>-1.0679999999999998</v>
      </c>
      <c r="I366" s="725">
        <f t="shared" si="352"/>
        <v>-1.6630000000000003</v>
      </c>
      <c r="J366" s="725">
        <f t="shared" si="352"/>
        <v>-63.588999999999999</v>
      </c>
      <c r="K366" s="725">
        <f t="shared" si="353"/>
        <v>-0.36399999999999999</v>
      </c>
      <c r="L366" s="725">
        <f t="shared" si="354"/>
        <v>-0.73699999999999999</v>
      </c>
      <c r="M366" s="725">
        <f t="shared" si="354"/>
        <v>-5.4340000000000002</v>
      </c>
      <c r="N366" s="725">
        <f t="shared" si="354"/>
        <v>-5.0239999999999991</v>
      </c>
      <c r="O366" s="725">
        <f t="shared" si="355"/>
        <v>-4.2910000000000004</v>
      </c>
      <c r="P366" s="725">
        <f t="shared" si="356"/>
        <v>-3.585</v>
      </c>
      <c r="Q366" s="725">
        <f t="shared" si="356"/>
        <v>-8.2999999999999297E-2</v>
      </c>
      <c r="R366" s="725">
        <f t="shared" si="356"/>
        <v>-0.78800000000000026</v>
      </c>
      <c r="S366" s="725">
        <f t="shared" si="357"/>
        <v>-1.6739999999999999</v>
      </c>
      <c r="T366" s="725">
        <f t="shared" si="358"/>
        <v>-0.74500000000000011</v>
      </c>
      <c r="U366" s="725">
        <f t="shared" si="358"/>
        <v>0</v>
      </c>
      <c r="V366" s="725">
        <f t="shared" si="358"/>
        <v>-1.3540000000000001</v>
      </c>
      <c r="W366" s="725">
        <f t="shared" si="359"/>
        <v>-7.79</v>
      </c>
      <c r="X366" s="725">
        <f t="shared" si="360"/>
        <v>-3.3000000000000362E-2</v>
      </c>
      <c r="Y366" s="725">
        <f t="shared" si="360"/>
        <v>-0.66199999999999903</v>
      </c>
      <c r="Z366" s="725">
        <f t="shared" si="360"/>
        <v>-3.700000000000081E-2</v>
      </c>
      <c r="AA366" s="725">
        <f t="shared" si="361"/>
        <v>0</v>
      </c>
      <c r="AB366" s="725">
        <f t="shared" si="362"/>
        <v>0</v>
      </c>
      <c r="AC366" s="725">
        <f t="shared" si="362"/>
        <v>0</v>
      </c>
      <c r="AD366" s="725">
        <f t="shared" si="362"/>
        <v>0</v>
      </c>
      <c r="AE366" s="725">
        <f t="shared" si="363"/>
        <v>0</v>
      </c>
      <c r="AF366" s="771">
        <f t="shared" ref="AF366:AL366" si="373">AF218</f>
        <v>0</v>
      </c>
      <c r="AG366" s="730">
        <f t="shared" si="373"/>
        <v>0</v>
      </c>
      <c r="AH366" s="730">
        <f t="shared" si="373"/>
        <v>0</v>
      </c>
      <c r="AI366" s="730">
        <f t="shared" si="373"/>
        <v>0</v>
      </c>
      <c r="AJ366" s="730">
        <f t="shared" si="373"/>
        <v>0</v>
      </c>
      <c r="AK366" s="730">
        <f t="shared" si="373"/>
        <v>0</v>
      </c>
      <c r="AL366" s="730">
        <f t="shared" si="373"/>
        <v>0</v>
      </c>
      <c r="AM366" s="730"/>
      <c r="AN366" s="726">
        <f t="shared" ref="AN366:AX366" si="374">AN308</f>
        <v>-2.1659999999999999</v>
      </c>
      <c r="AO366" s="726">
        <f t="shared" si="374"/>
        <v>-0.26600000000000001</v>
      </c>
      <c r="AP366" s="726">
        <f t="shared" si="374"/>
        <v>-1.4139999999999999</v>
      </c>
      <c r="AQ366" s="726">
        <f t="shared" si="374"/>
        <v>-3.4329999999999998</v>
      </c>
      <c r="AR366" s="726">
        <f t="shared" si="374"/>
        <v>-1.7470000000000001</v>
      </c>
      <c r="AS366" s="726">
        <f t="shared" si="374"/>
        <v>-66.64</v>
      </c>
      <c r="AT366" s="726">
        <f t="shared" si="374"/>
        <v>-11.558999999999999</v>
      </c>
      <c r="AU366" s="726">
        <f t="shared" si="374"/>
        <v>-8.7469999999999999</v>
      </c>
      <c r="AV366" s="726">
        <f t="shared" si="374"/>
        <v>-3.7730000000000001</v>
      </c>
      <c r="AW366" s="726">
        <f t="shared" si="374"/>
        <v>-8.5220000000000002</v>
      </c>
      <c r="AX366" s="925">
        <f t="shared" si="374"/>
        <v>0</v>
      </c>
      <c r="AY366" s="729">
        <f t="shared" si="365"/>
        <v>0</v>
      </c>
      <c r="AZ366" s="729">
        <f t="shared" si="366"/>
        <v>0</v>
      </c>
      <c r="BA366" s="729">
        <f>BA218</f>
        <v>0</v>
      </c>
      <c r="BB366" s="729">
        <f>BB218</f>
        <v>0</v>
      </c>
      <c r="BC366" s="729">
        <f>BC218</f>
        <v>0</v>
      </c>
      <c r="BD366" s="631"/>
    </row>
    <row r="367" spans="1:56" s="39" customFormat="1" x14ac:dyDescent="0.25">
      <c r="A367" s="307" t="str">
        <f t="shared" si="348"/>
        <v>Premium paid for interest rate cap</v>
      </c>
      <c r="B367" s="630"/>
      <c r="C367" s="725">
        <f t="shared" si="349"/>
        <v>0</v>
      </c>
      <c r="D367" s="725">
        <f t="shared" si="350"/>
        <v>0</v>
      </c>
      <c r="E367" s="725">
        <f t="shared" si="350"/>
        <v>0</v>
      </c>
      <c r="F367" s="725">
        <f t="shared" si="350"/>
        <v>0</v>
      </c>
      <c r="G367" s="725">
        <f t="shared" si="351"/>
        <v>0</v>
      </c>
      <c r="H367" s="725">
        <f t="shared" si="352"/>
        <v>0</v>
      </c>
      <c r="I367" s="725">
        <f t="shared" si="352"/>
        <v>0</v>
      </c>
      <c r="J367" s="725">
        <f t="shared" si="352"/>
        <v>0</v>
      </c>
      <c r="K367" s="725">
        <f t="shared" si="353"/>
        <v>0</v>
      </c>
      <c r="L367" s="725">
        <f t="shared" si="354"/>
        <v>0</v>
      </c>
      <c r="M367" s="725">
        <f t="shared" si="354"/>
        <v>0</v>
      </c>
      <c r="N367" s="725">
        <f t="shared" si="354"/>
        <v>0</v>
      </c>
      <c r="O367" s="725">
        <f t="shared" si="355"/>
        <v>0</v>
      </c>
      <c r="P367" s="725">
        <f t="shared" si="356"/>
        <v>0</v>
      </c>
      <c r="Q367" s="725">
        <f t="shared" si="356"/>
        <v>0</v>
      </c>
      <c r="R367" s="725">
        <f t="shared" si="356"/>
        <v>0</v>
      </c>
      <c r="S367" s="725">
        <f t="shared" si="357"/>
        <v>0</v>
      </c>
      <c r="T367" s="725">
        <f t="shared" si="358"/>
        <v>-0.47399999999999998</v>
      </c>
      <c r="U367" s="725">
        <f t="shared" si="358"/>
        <v>0</v>
      </c>
      <c r="V367" s="725">
        <f t="shared" si="358"/>
        <v>0</v>
      </c>
      <c r="W367" s="725">
        <f t="shared" si="359"/>
        <v>0</v>
      </c>
      <c r="X367" s="725">
        <f t="shared" si="360"/>
        <v>0</v>
      </c>
      <c r="Y367" s="725">
        <f t="shared" si="360"/>
        <v>0</v>
      </c>
      <c r="Z367" s="725">
        <f t="shared" si="360"/>
        <v>0</v>
      </c>
      <c r="AA367" s="725">
        <f t="shared" si="361"/>
        <v>0</v>
      </c>
      <c r="AB367" s="725">
        <f t="shared" si="362"/>
        <v>0</v>
      </c>
      <c r="AC367" s="725">
        <f t="shared" si="362"/>
        <v>0</v>
      </c>
      <c r="AD367" s="725">
        <f t="shared" si="362"/>
        <v>0</v>
      </c>
      <c r="AE367" s="725">
        <f t="shared" si="363"/>
        <v>0</v>
      </c>
      <c r="AF367" s="779"/>
      <c r="AG367" s="728"/>
      <c r="AH367" s="728"/>
      <c r="AI367" s="728"/>
      <c r="AJ367" s="728"/>
      <c r="AK367" s="728"/>
      <c r="AL367" s="728"/>
      <c r="AM367" s="728"/>
      <c r="AN367" s="726">
        <f t="shared" ref="AN367:AX367" si="375">AN309</f>
        <v>0</v>
      </c>
      <c r="AO367" s="726">
        <f t="shared" si="375"/>
        <v>0</v>
      </c>
      <c r="AP367" s="726">
        <f t="shared" si="375"/>
        <v>0</v>
      </c>
      <c r="AQ367" s="726">
        <f t="shared" si="375"/>
        <v>0</v>
      </c>
      <c r="AR367" s="726">
        <f t="shared" si="375"/>
        <v>0</v>
      </c>
      <c r="AS367" s="726">
        <f t="shared" si="375"/>
        <v>0</v>
      </c>
      <c r="AT367" s="726">
        <f t="shared" si="375"/>
        <v>0</v>
      </c>
      <c r="AU367" s="726">
        <f t="shared" si="375"/>
        <v>0</v>
      </c>
      <c r="AV367" s="726">
        <f t="shared" si="375"/>
        <v>-0.47399999999999998</v>
      </c>
      <c r="AW367" s="726">
        <f t="shared" si="375"/>
        <v>0</v>
      </c>
      <c r="AX367" s="925">
        <f t="shared" si="375"/>
        <v>0</v>
      </c>
      <c r="AY367" s="729">
        <f t="shared" si="365"/>
        <v>0</v>
      </c>
      <c r="AZ367" s="729">
        <f t="shared" si="366"/>
        <v>0</v>
      </c>
      <c r="BA367" s="773"/>
      <c r="BB367" s="773"/>
      <c r="BC367" s="773"/>
      <c r="BD367" s="631"/>
    </row>
    <row r="368" spans="1:56" s="39" customFormat="1" x14ac:dyDescent="0.25">
      <c r="A368" s="307" t="str">
        <f t="shared" si="348"/>
        <v>Cash proceeds from termination of interest rate derivatives</v>
      </c>
      <c r="B368" s="630"/>
      <c r="C368" s="725">
        <f t="shared" si="349"/>
        <v>0</v>
      </c>
      <c r="D368" s="725">
        <f t="shared" si="350"/>
        <v>0</v>
      </c>
      <c r="E368" s="725">
        <f t="shared" si="350"/>
        <v>0</v>
      </c>
      <c r="F368" s="725">
        <f t="shared" si="350"/>
        <v>0</v>
      </c>
      <c r="G368" s="725">
        <f t="shared" si="351"/>
        <v>0</v>
      </c>
      <c r="H368" s="725">
        <f t="shared" si="352"/>
        <v>0</v>
      </c>
      <c r="I368" s="725">
        <f t="shared" si="352"/>
        <v>0</v>
      </c>
      <c r="J368" s="725">
        <f t="shared" si="352"/>
        <v>0</v>
      </c>
      <c r="K368" s="725">
        <f t="shared" si="353"/>
        <v>0</v>
      </c>
      <c r="L368" s="725">
        <f t="shared" si="354"/>
        <v>0</v>
      </c>
      <c r="M368" s="725">
        <f t="shared" si="354"/>
        <v>0</v>
      </c>
      <c r="N368" s="725">
        <f t="shared" si="354"/>
        <v>0</v>
      </c>
      <c r="O368" s="725">
        <f t="shared" si="355"/>
        <v>0</v>
      </c>
      <c r="P368" s="725">
        <f t="shared" si="356"/>
        <v>0</v>
      </c>
      <c r="Q368" s="725">
        <f t="shared" si="356"/>
        <v>0</v>
      </c>
      <c r="R368" s="725">
        <f t="shared" si="356"/>
        <v>0</v>
      </c>
      <c r="S368" s="725">
        <f t="shared" si="357"/>
        <v>0</v>
      </c>
      <c r="T368" s="725">
        <f t="shared" si="358"/>
        <v>0</v>
      </c>
      <c r="U368" s="725">
        <f t="shared" si="358"/>
        <v>0</v>
      </c>
      <c r="V368" s="725">
        <f t="shared" si="358"/>
        <v>0</v>
      </c>
      <c r="W368" s="725">
        <f t="shared" si="359"/>
        <v>0</v>
      </c>
      <c r="X368" s="725">
        <f t="shared" si="360"/>
        <v>0</v>
      </c>
      <c r="Y368" s="725">
        <f t="shared" si="360"/>
        <v>0</v>
      </c>
      <c r="Z368" s="725">
        <f t="shared" si="360"/>
        <v>0.54400000000000004</v>
      </c>
      <c r="AA368" s="725">
        <f t="shared" si="361"/>
        <v>0</v>
      </c>
      <c r="AB368" s="725">
        <f t="shared" si="362"/>
        <v>0</v>
      </c>
      <c r="AC368" s="725">
        <f t="shared" si="362"/>
        <v>0</v>
      </c>
      <c r="AD368" s="725">
        <f t="shared" si="362"/>
        <v>0</v>
      </c>
      <c r="AE368" s="725">
        <f t="shared" si="363"/>
        <v>0</v>
      </c>
      <c r="AF368" s="779"/>
      <c r="AG368" s="728"/>
      <c r="AH368" s="728"/>
      <c r="AI368" s="728"/>
      <c r="AJ368" s="728"/>
      <c r="AK368" s="728"/>
      <c r="AL368" s="728"/>
      <c r="AM368" s="728"/>
      <c r="AN368" s="726">
        <f t="shared" ref="AN368:AX368" si="376">AN310</f>
        <v>0</v>
      </c>
      <c r="AO368" s="726">
        <f t="shared" si="376"/>
        <v>0</v>
      </c>
      <c r="AP368" s="726">
        <f t="shared" si="376"/>
        <v>0</v>
      </c>
      <c r="AQ368" s="726">
        <f t="shared" si="376"/>
        <v>0</v>
      </c>
      <c r="AR368" s="726">
        <f t="shared" si="376"/>
        <v>0</v>
      </c>
      <c r="AS368" s="726">
        <f t="shared" si="376"/>
        <v>0</v>
      </c>
      <c r="AT368" s="726">
        <f t="shared" si="376"/>
        <v>0</v>
      </c>
      <c r="AU368" s="726">
        <f t="shared" si="376"/>
        <v>0</v>
      </c>
      <c r="AV368" s="726">
        <f t="shared" si="376"/>
        <v>0</v>
      </c>
      <c r="AW368" s="726">
        <f t="shared" si="376"/>
        <v>0.54400000000000004</v>
      </c>
      <c r="AX368" s="925">
        <f t="shared" si="376"/>
        <v>0</v>
      </c>
      <c r="AY368" s="729">
        <f t="shared" si="365"/>
        <v>0</v>
      </c>
      <c r="AZ368" s="729">
        <f t="shared" si="366"/>
        <v>0</v>
      </c>
      <c r="BA368" s="773"/>
      <c r="BB368" s="773"/>
      <c r="BC368" s="773"/>
      <c r="BD368" s="631"/>
    </row>
    <row r="369" spans="1:56" s="39" customFormat="1" x14ac:dyDescent="0.25">
      <c r="A369" s="307" t="str">
        <f t="shared" si="348"/>
        <v>Payment of debt issuance costs</v>
      </c>
      <c r="B369" s="630"/>
      <c r="C369" s="725">
        <f t="shared" si="349"/>
        <v>0</v>
      </c>
      <c r="D369" s="725">
        <f t="shared" si="350"/>
        <v>0</v>
      </c>
      <c r="E369" s="725">
        <f t="shared" si="350"/>
        <v>0</v>
      </c>
      <c r="F369" s="725">
        <f t="shared" si="350"/>
        <v>0</v>
      </c>
      <c r="G369" s="725">
        <f t="shared" si="351"/>
        <v>0</v>
      </c>
      <c r="H369" s="725">
        <f t="shared" si="352"/>
        <v>0</v>
      </c>
      <c r="I369" s="725">
        <f t="shared" si="352"/>
        <v>0</v>
      </c>
      <c r="J369" s="725">
        <f t="shared" si="352"/>
        <v>0</v>
      </c>
      <c r="K369" s="725">
        <f t="shared" si="353"/>
        <v>0</v>
      </c>
      <c r="L369" s="725">
        <f t="shared" si="354"/>
        <v>0</v>
      </c>
      <c r="M369" s="725">
        <f t="shared" si="354"/>
        <v>0</v>
      </c>
      <c r="N369" s="725">
        <f t="shared" si="354"/>
        <v>0</v>
      </c>
      <c r="O369" s="725">
        <f t="shared" si="355"/>
        <v>0</v>
      </c>
      <c r="P369" s="725">
        <f t="shared" si="356"/>
        <v>0</v>
      </c>
      <c r="Q369" s="725">
        <f t="shared" si="356"/>
        <v>0</v>
      </c>
      <c r="R369" s="725">
        <f t="shared" si="356"/>
        <v>0</v>
      </c>
      <c r="S369" s="725">
        <f t="shared" si="357"/>
        <v>0</v>
      </c>
      <c r="T369" s="725">
        <f t="shared" si="358"/>
        <v>0</v>
      </c>
      <c r="U369" s="725">
        <f t="shared" si="358"/>
        <v>0</v>
      </c>
      <c r="V369" s="725">
        <f t="shared" si="358"/>
        <v>0</v>
      </c>
      <c r="W369" s="725">
        <f t="shared" si="359"/>
        <v>0</v>
      </c>
      <c r="X369" s="725">
        <f t="shared" si="360"/>
        <v>0</v>
      </c>
      <c r="Y369" s="725">
        <f t="shared" si="360"/>
        <v>0</v>
      </c>
      <c r="Z369" s="725">
        <f t="shared" si="360"/>
        <v>-1.2310000000000001</v>
      </c>
      <c r="AA369" s="725">
        <f t="shared" si="361"/>
        <v>0</v>
      </c>
      <c r="AB369" s="725">
        <f t="shared" si="362"/>
        <v>0</v>
      </c>
      <c r="AC369" s="725">
        <f t="shared" si="362"/>
        <v>0</v>
      </c>
      <c r="AD369" s="725">
        <f t="shared" si="362"/>
        <v>-0.30299999999999999</v>
      </c>
      <c r="AE369" s="725">
        <f t="shared" si="363"/>
        <v>0</v>
      </c>
      <c r="AF369" s="779"/>
      <c r="AG369" s="728"/>
      <c r="AH369" s="728"/>
      <c r="AI369" s="728"/>
      <c r="AJ369" s="728"/>
      <c r="AK369" s="728"/>
      <c r="AL369" s="728"/>
      <c r="AM369" s="728"/>
      <c r="AN369" s="726">
        <f t="shared" ref="AN369:AX369" si="377">AN311</f>
        <v>0</v>
      </c>
      <c r="AO369" s="726">
        <f t="shared" si="377"/>
        <v>0</v>
      </c>
      <c r="AP369" s="726">
        <f t="shared" si="377"/>
        <v>0</v>
      </c>
      <c r="AQ369" s="726">
        <f t="shared" si="377"/>
        <v>0</v>
      </c>
      <c r="AR369" s="726">
        <f t="shared" si="377"/>
        <v>0</v>
      </c>
      <c r="AS369" s="726">
        <f t="shared" si="377"/>
        <v>0</v>
      </c>
      <c r="AT369" s="726">
        <f t="shared" si="377"/>
        <v>0</v>
      </c>
      <c r="AU369" s="726">
        <f t="shared" si="377"/>
        <v>0</v>
      </c>
      <c r="AV369" s="726">
        <f t="shared" si="377"/>
        <v>0</v>
      </c>
      <c r="AW369" s="726">
        <f t="shared" si="377"/>
        <v>-1.2310000000000001</v>
      </c>
      <c r="AX369" s="925">
        <f t="shared" si="377"/>
        <v>-0.30299999999999999</v>
      </c>
      <c r="AY369" s="729">
        <f t="shared" si="365"/>
        <v>0</v>
      </c>
      <c r="AZ369" s="729">
        <f t="shared" si="366"/>
        <v>0</v>
      </c>
      <c r="BA369" s="773"/>
      <c r="BB369" s="773"/>
      <c r="BC369" s="773"/>
      <c r="BD369" s="631"/>
    </row>
    <row r="370" spans="1:56" s="39" customFormat="1" x14ac:dyDescent="0.25">
      <c r="A370" s="307" t="str">
        <f t="shared" si="348"/>
        <v>Tax withholding payments for employee stock-based compensation</v>
      </c>
      <c r="B370" s="630"/>
      <c r="C370" s="725">
        <f t="shared" si="349"/>
        <v>0</v>
      </c>
      <c r="D370" s="725">
        <f t="shared" si="350"/>
        <v>0</v>
      </c>
      <c r="E370" s="725">
        <f t="shared" si="350"/>
        <v>-0.52300000000000002</v>
      </c>
      <c r="F370" s="725">
        <f t="shared" si="350"/>
        <v>-9.9999999999999978E-2</v>
      </c>
      <c r="G370" s="725">
        <f t="shared" si="351"/>
        <v>0</v>
      </c>
      <c r="H370" s="725">
        <f t="shared" si="352"/>
        <v>0</v>
      </c>
      <c r="I370" s="725">
        <f t="shared" si="352"/>
        <v>-1.978</v>
      </c>
      <c r="J370" s="725">
        <f t="shared" si="352"/>
        <v>-1.429</v>
      </c>
      <c r="K370" s="725">
        <f t="shared" si="353"/>
        <v>0</v>
      </c>
      <c r="L370" s="725">
        <f t="shared" si="354"/>
        <v>0</v>
      </c>
      <c r="M370" s="725">
        <f t="shared" si="354"/>
        <v>-0.65</v>
      </c>
      <c r="N370" s="725">
        <f t="shared" si="354"/>
        <v>-0.80100000000000005</v>
      </c>
      <c r="O370" s="725">
        <f t="shared" si="355"/>
        <v>0</v>
      </c>
      <c r="P370" s="725">
        <f t="shared" si="356"/>
        <v>0</v>
      </c>
      <c r="Q370" s="725">
        <f t="shared" si="356"/>
        <v>-0.4</v>
      </c>
      <c r="R370" s="725">
        <f t="shared" si="356"/>
        <v>-0.371</v>
      </c>
      <c r="S370" s="725">
        <f t="shared" si="357"/>
        <v>0</v>
      </c>
      <c r="T370" s="725">
        <f t="shared" si="358"/>
        <v>0</v>
      </c>
      <c r="U370" s="725">
        <f t="shared" si="358"/>
        <v>-0.60399999999999998</v>
      </c>
      <c r="V370" s="725">
        <f t="shared" si="358"/>
        <v>-0.56399999999999995</v>
      </c>
      <c r="W370" s="725">
        <f t="shared" si="359"/>
        <v>0</v>
      </c>
      <c r="X370" s="725">
        <f t="shared" si="360"/>
        <v>0</v>
      </c>
      <c r="Y370" s="725">
        <f t="shared" si="360"/>
        <v>-0.10299999999999999</v>
      </c>
      <c r="Z370" s="725">
        <f t="shared" si="360"/>
        <v>-0.313</v>
      </c>
      <c r="AA370" s="725">
        <f t="shared" si="361"/>
        <v>0</v>
      </c>
      <c r="AB370" s="725">
        <f t="shared" si="362"/>
        <v>0</v>
      </c>
      <c r="AC370" s="725">
        <f t="shared" si="362"/>
        <v>0</v>
      </c>
      <c r="AD370" s="725">
        <f t="shared" si="362"/>
        <v>-0.27800000000000002</v>
      </c>
      <c r="AE370" s="725">
        <f t="shared" si="363"/>
        <v>0</v>
      </c>
      <c r="AF370" s="779"/>
      <c r="AG370" s="728"/>
      <c r="AH370" s="728"/>
      <c r="AI370" s="728"/>
      <c r="AJ370" s="728"/>
      <c r="AK370" s="728"/>
      <c r="AL370" s="728"/>
      <c r="AM370" s="728"/>
      <c r="AN370" s="726">
        <f t="shared" ref="AN370:AX370" si="378">AN312</f>
        <v>0</v>
      </c>
      <c r="AO370" s="726">
        <f t="shared" si="378"/>
        <v>0</v>
      </c>
      <c r="AP370" s="726">
        <f t="shared" si="378"/>
        <v>-0.33700000000000002</v>
      </c>
      <c r="AQ370" s="726">
        <f t="shared" si="378"/>
        <v>-2.75</v>
      </c>
      <c r="AR370" s="726">
        <f t="shared" si="378"/>
        <v>-0.623</v>
      </c>
      <c r="AS370" s="726">
        <f t="shared" si="378"/>
        <v>-3.407</v>
      </c>
      <c r="AT370" s="726">
        <f t="shared" si="378"/>
        <v>-1.4510000000000001</v>
      </c>
      <c r="AU370" s="726">
        <f t="shared" si="378"/>
        <v>-0.77100000000000002</v>
      </c>
      <c r="AV370" s="726">
        <f t="shared" si="378"/>
        <v>-1.1679999999999999</v>
      </c>
      <c r="AW370" s="726">
        <f t="shared" si="378"/>
        <v>-0.41599999999999998</v>
      </c>
      <c r="AX370" s="925">
        <f t="shared" si="378"/>
        <v>-0.27800000000000002</v>
      </c>
      <c r="AY370" s="729">
        <f t="shared" si="365"/>
        <v>0</v>
      </c>
      <c r="AZ370" s="729">
        <f t="shared" si="366"/>
        <v>0</v>
      </c>
      <c r="BA370" s="773"/>
      <c r="BB370" s="773"/>
      <c r="BC370" s="773"/>
      <c r="BD370" s="631"/>
    </row>
    <row r="371" spans="1:56" s="39" customFormat="1" x14ac:dyDescent="0.25">
      <c r="A371" s="307" t="str">
        <f t="shared" si="348"/>
        <v>Income tax benefit of stock-based compensation</v>
      </c>
      <c r="B371" s="630"/>
      <c r="C371" s="725">
        <f t="shared" si="349"/>
        <v>0</v>
      </c>
      <c r="D371" s="725">
        <f t="shared" si="350"/>
        <v>0</v>
      </c>
      <c r="E371" s="725">
        <f t="shared" si="350"/>
        <v>0.249</v>
      </c>
      <c r="F371" s="725">
        <f t="shared" si="350"/>
        <v>0.10999999999999999</v>
      </c>
      <c r="G371" s="725">
        <f t="shared" si="351"/>
        <v>0</v>
      </c>
      <c r="H371" s="725">
        <f t="shared" si="352"/>
        <v>0</v>
      </c>
      <c r="I371" s="725">
        <f t="shared" si="352"/>
        <v>1.5389999999999999</v>
      </c>
      <c r="J371" s="725">
        <f t="shared" si="352"/>
        <v>0.96699999999999986</v>
      </c>
      <c r="K371" s="725">
        <f t="shared" si="353"/>
        <v>0</v>
      </c>
      <c r="L371" s="725">
        <f t="shared" si="354"/>
        <v>0</v>
      </c>
      <c r="M371" s="725">
        <f t="shared" si="354"/>
        <v>0.435</v>
      </c>
      <c r="N371" s="725">
        <f t="shared" si="354"/>
        <v>0.39999999999999997</v>
      </c>
      <c r="O371" s="725">
        <f t="shared" si="355"/>
        <v>0</v>
      </c>
      <c r="P371" s="725">
        <f t="shared" si="356"/>
        <v>0</v>
      </c>
      <c r="Q371" s="725">
        <f t="shared" si="356"/>
        <v>0.13300000000000001</v>
      </c>
      <c r="R371" s="725">
        <f t="shared" si="356"/>
        <v>4.0000000000000036E-3</v>
      </c>
      <c r="S371" s="725">
        <f t="shared" si="357"/>
        <v>0</v>
      </c>
      <c r="T371" s="725">
        <f t="shared" si="358"/>
        <v>0</v>
      </c>
      <c r="U371" s="725">
        <f t="shared" si="358"/>
        <v>0</v>
      </c>
      <c r="V371" s="725">
        <f t="shared" si="358"/>
        <v>0</v>
      </c>
      <c r="W371" s="725">
        <f t="shared" si="359"/>
        <v>0</v>
      </c>
      <c r="X371" s="725">
        <f t="shared" si="360"/>
        <v>0</v>
      </c>
      <c r="Y371" s="725">
        <f t="shared" si="360"/>
        <v>0</v>
      </c>
      <c r="Z371" s="725">
        <f t="shared" si="360"/>
        <v>0</v>
      </c>
      <c r="AA371" s="725">
        <f t="shared" si="361"/>
        <v>0</v>
      </c>
      <c r="AB371" s="725">
        <f t="shared" si="362"/>
        <v>0</v>
      </c>
      <c r="AC371" s="725">
        <f t="shared" si="362"/>
        <v>0</v>
      </c>
      <c r="AD371" s="725">
        <f t="shared" si="362"/>
        <v>0</v>
      </c>
      <c r="AE371" s="725">
        <f t="shared" si="363"/>
        <v>0</v>
      </c>
      <c r="AF371" s="779"/>
      <c r="AG371" s="728"/>
      <c r="AH371" s="728"/>
      <c r="AI371" s="728"/>
      <c r="AJ371" s="728"/>
      <c r="AK371" s="728"/>
      <c r="AL371" s="728"/>
      <c r="AM371" s="728"/>
      <c r="AN371" s="726">
        <f t="shared" ref="AN371:AX371" si="379">AN313</f>
        <v>0</v>
      </c>
      <c r="AO371" s="726">
        <f t="shared" si="379"/>
        <v>0.129</v>
      </c>
      <c r="AP371" s="726">
        <f t="shared" si="379"/>
        <v>0.13100000000000001</v>
      </c>
      <c r="AQ371" s="726">
        <f t="shared" si="379"/>
        <v>2.0339999999999998</v>
      </c>
      <c r="AR371" s="726">
        <f t="shared" si="379"/>
        <v>0.35899999999999999</v>
      </c>
      <c r="AS371" s="726">
        <f t="shared" si="379"/>
        <v>2.5059999999999998</v>
      </c>
      <c r="AT371" s="726">
        <f t="shared" si="379"/>
        <v>0.83499999999999996</v>
      </c>
      <c r="AU371" s="726">
        <f t="shared" si="379"/>
        <v>0.13700000000000001</v>
      </c>
      <c r="AV371" s="726">
        <f t="shared" si="379"/>
        <v>0</v>
      </c>
      <c r="AW371" s="726">
        <f t="shared" si="379"/>
        <v>0</v>
      </c>
      <c r="AX371" s="925">
        <f t="shared" si="379"/>
        <v>0</v>
      </c>
      <c r="AY371" s="729">
        <f t="shared" si="365"/>
        <v>0</v>
      </c>
      <c r="AZ371" s="729">
        <f t="shared" si="366"/>
        <v>0</v>
      </c>
      <c r="BA371" s="773"/>
      <c r="BB371" s="773"/>
      <c r="BC371" s="773"/>
      <c r="BD371" s="631"/>
    </row>
    <row r="372" spans="1:56" s="39" customFormat="1" x14ac:dyDescent="0.25">
      <c r="A372" s="307" t="str">
        <f t="shared" si="348"/>
        <v>Proceeds from issuance of common stock</v>
      </c>
      <c r="B372" s="630"/>
      <c r="C372" s="725">
        <f t="shared" si="349"/>
        <v>0</v>
      </c>
      <c r="D372" s="725">
        <f t="shared" si="350"/>
        <v>0</v>
      </c>
      <c r="E372" s="725">
        <f t="shared" si="350"/>
        <v>6.2E-2</v>
      </c>
      <c r="F372" s="725">
        <f t="shared" si="350"/>
        <v>1.0000000000000009E-3</v>
      </c>
      <c r="G372" s="725">
        <f t="shared" si="351"/>
        <v>0</v>
      </c>
      <c r="H372" s="725">
        <f t="shared" si="352"/>
        <v>0</v>
      </c>
      <c r="I372" s="725">
        <f t="shared" si="352"/>
        <v>8.1000000000000003E-2</v>
      </c>
      <c r="J372" s="725">
        <f t="shared" si="352"/>
        <v>2.0999999999999991E-2</v>
      </c>
      <c r="K372" s="725">
        <f t="shared" si="353"/>
        <v>0</v>
      </c>
      <c r="L372" s="725">
        <f t="shared" si="354"/>
        <v>0</v>
      </c>
      <c r="M372" s="725">
        <f t="shared" si="354"/>
        <v>0.115</v>
      </c>
      <c r="N372" s="725">
        <f t="shared" si="354"/>
        <v>3.2999999999999988E-2</v>
      </c>
      <c r="O372" s="725">
        <f t="shared" si="355"/>
        <v>0</v>
      </c>
      <c r="P372" s="725">
        <f t="shared" si="356"/>
        <v>0</v>
      </c>
      <c r="Q372" s="725">
        <f t="shared" si="356"/>
        <v>0</v>
      </c>
      <c r="R372" s="725">
        <f t="shared" si="356"/>
        <v>0.14499999999999999</v>
      </c>
      <c r="S372" s="725">
        <f t="shared" si="357"/>
        <v>0</v>
      </c>
      <c r="T372" s="725">
        <f t="shared" si="358"/>
        <v>0</v>
      </c>
      <c r="U372" s="725">
        <f t="shared" si="358"/>
        <v>0</v>
      </c>
      <c r="V372" s="725">
        <f t="shared" si="358"/>
        <v>0</v>
      </c>
      <c r="W372" s="725">
        <f t="shared" si="359"/>
        <v>0</v>
      </c>
      <c r="X372" s="725">
        <f t="shared" si="360"/>
        <v>0</v>
      </c>
      <c r="Y372" s="725">
        <f t="shared" si="360"/>
        <v>0</v>
      </c>
      <c r="Z372" s="725">
        <f t="shared" si="360"/>
        <v>0</v>
      </c>
      <c r="AA372" s="725">
        <f t="shared" si="361"/>
        <v>0</v>
      </c>
      <c r="AB372" s="725">
        <f t="shared" si="362"/>
        <v>0</v>
      </c>
      <c r="AC372" s="725">
        <f t="shared" si="362"/>
        <v>0</v>
      </c>
      <c r="AD372" s="725">
        <f t="shared" si="362"/>
        <v>0</v>
      </c>
      <c r="AE372" s="725">
        <f t="shared" si="363"/>
        <v>0</v>
      </c>
      <c r="AF372" s="779"/>
      <c r="AG372" s="728"/>
      <c r="AH372" s="728"/>
      <c r="AI372" s="728"/>
      <c r="AJ372" s="728"/>
      <c r="AK372" s="728"/>
      <c r="AL372" s="728"/>
      <c r="AM372" s="728"/>
      <c r="AN372" s="726">
        <f t="shared" ref="AN372:AX372" si="380">AN314</f>
        <v>5.0999999999999997E-2</v>
      </c>
      <c r="AO372" s="726">
        <f t="shared" si="380"/>
        <v>3.9E-2</v>
      </c>
      <c r="AP372" s="726">
        <f t="shared" si="380"/>
        <v>0.35499999999999998</v>
      </c>
      <c r="AQ372" s="726">
        <f t="shared" si="380"/>
        <v>0.28399999999999997</v>
      </c>
      <c r="AR372" s="726">
        <f t="shared" si="380"/>
        <v>6.3E-2</v>
      </c>
      <c r="AS372" s="726">
        <f t="shared" si="380"/>
        <v>0.10199999999999999</v>
      </c>
      <c r="AT372" s="726">
        <f t="shared" si="380"/>
        <v>0.14799999999999999</v>
      </c>
      <c r="AU372" s="726">
        <f t="shared" si="380"/>
        <v>0.14499999999999999</v>
      </c>
      <c r="AV372" s="726">
        <f t="shared" si="380"/>
        <v>0</v>
      </c>
      <c r="AW372" s="726">
        <f t="shared" si="380"/>
        <v>0</v>
      </c>
      <c r="AX372" s="925">
        <f t="shared" si="380"/>
        <v>0</v>
      </c>
      <c r="AY372" s="729">
        <f t="shared" si="365"/>
        <v>0</v>
      </c>
      <c r="AZ372" s="729">
        <f t="shared" si="366"/>
        <v>0</v>
      </c>
      <c r="BA372" s="773"/>
      <c r="BB372" s="773"/>
      <c r="BC372" s="773"/>
      <c r="BD372" s="631"/>
    </row>
    <row r="373" spans="1:56" s="39" customFormat="1" x14ac:dyDescent="0.25">
      <c r="A373" s="307" t="str">
        <f t="shared" si="348"/>
        <v>Other financing activities</v>
      </c>
      <c r="B373" s="630"/>
      <c r="C373" s="725">
        <f t="shared" si="349"/>
        <v>-4.0000000000000001E-3</v>
      </c>
      <c r="D373" s="725">
        <f t="shared" si="350"/>
        <v>3.0000000000000001E-3</v>
      </c>
      <c r="E373" s="725">
        <f t="shared" si="350"/>
        <v>-2E-3</v>
      </c>
      <c r="F373" s="725">
        <f t="shared" si="350"/>
        <v>-3.0000000000000001E-3</v>
      </c>
      <c r="G373" s="725">
        <f t="shared" si="351"/>
        <v>4.4999999999999998E-2</v>
      </c>
      <c r="H373" s="725">
        <f t="shared" si="352"/>
        <v>0.03</v>
      </c>
      <c r="I373" s="725">
        <f t="shared" si="352"/>
        <v>-7.9000000000000001E-2</v>
      </c>
      <c r="J373" s="725">
        <f t="shared" si="352"/>
        <v>-1E-3</v>
      </c>
      <c r="K373" s="725">
        <f t="shared" si="353"/>
        <v>2.5000000000000001E-2</v>
      </c>
      <c r="L373" s="725">
        <f t="shared" si="354"/>
        <v>0.11599999999999999</v>
      </c>
      <c r="M373" s="725">
        <f t="shared" si="354"/>
        <v>-0.151</v>
      </c>
      <c r="N373" s="725">
        <f t="shared" si="354"/>
        <v>0</v>
      </c>
      <c r="O373" s="725">
        <f t="shared" si="355"/>
        <v>0</v>
      </c>
      <c r="P373" s="725">
        <f t="shared" si="356"/>
        <v>2.5999999999999999E-2</v>
      </c>
      <c r="Q373" s="725">
        <f t="shared" si="356"/>
        <v>1.6000000000000004E-2</v>
      </c>
      <c r="R373" s="725">
        <f t="shared" si="356"/>
        <v>-0.13900000000000001</v>
      </c>
      <c r="S373" s="725">
        <f t="shared" si="357"/>
        <v>-0.13400000000000001</v>
      </c>
      <c r="T373" s="725">
        <f t="shared" si="358"/>
        <v>3.0000000000000027E-3</v>
      </c>
      <c r="U373" s="725">
        <f t="shared" si="358"/>
        <v>0.251</v>
      </c>
      <c r="V373" s="725">
        <f t="shared" si="358"/>
        <v>0</v>
      </c>
      <c r="W373" s="725">
        <f t="shared" si="359"/>
        <v>-0.05</v>
      </c>
      <c r="X373" s="725">
        <f t="shared" si="360"/>
        <v>-0.03</v>
      </c>
      <c r="Y373" s="725">
        <f t="shared" si="360"/>
        <v>5.6000000000000001E-2</v>
      </c>
      <c r="Z373" s="725">
        <f t="shared" si="360"/>
        <v>3.4000000000000002E-2</v>
      </c>
      <c r="AA373" s="725">
        <f t="shared" si="361"/>
        <v>-2.7E-2</v>
      </c>
      <c r="AB373" s="725">
        <f t="shared" si="362"/>
        <v>-0.375</v>
      </c>
      <c r="AC373" s="725">
        <f t="shared" si="362"/>
        <v>-1.8999999999999961E-2</v>
      </c>
      <c r="AD373" s="725">
        <f t="shared" si="362"/>
        <v>0.42099999999999999</v>
      </c>
      <c r="AE373" s="725">
        <f t="shared" si="363"/>
        <v>-8.0000000000000002E-3</v>
      </c>
      <c r="AF373" s="779">
        <f>AF378-AF377-AF374-SUM(AF360:AF372,AF357,AF346)</f>
        <v>-19.267000000000021</v>
      </c>
      <c r="AG373" s="728"/>
      <c r="AH373" s="728"/>
      <c r="AI373" s="728"/>
      <c r="AJ373" s="728"/>
      <c r="AK373" s="728"/>
      <c r="AL373" s="728"/>
      <c r="AM373" s="728"/>
      <c r="AN373" s="726">
        <f t="shared" ref="AN373:AX373" si="381">AN315</f>
        <v>-0.40799999999999997</v>
      </c>
      <c r="AO373" s="726">
        <f t="shared" si="381"/>
        <v>-0.502</v>
      </c>
      <c r="AP373" s="726">
        <f t="shared" si="381"/>
        <v>-8.0000000000000002E-3</v>
      </c>
      <c r="AQ373" s="726">
        <f t="shared" si="381"/>
        <v>-0.126</v>
      </c>
      <c r="AR373" s="726">
        <f t="shared" si="381"/>
        <v>-6.0000000000000001E-3</v>
      </c>
      <c r="AS373" s="726">
        <f t="shared" si="381"/>
        <v>-5.0000000000000001E-3</v>
      </c>
      <c r="AT373" s="726">
        <f t="shared" si="381"/>
        <v>-0.01</v>
      </c>
      <c r="AU373" s="726">
        <f t="shared" si="381"/>
        <v>-9.7000000000000003E-2</v>
      </c>
      <c r="AV373" s="726">
        <f t="shared" si="381"/>
        <v>0.12</v>
      </c>
      <c r="AW373" s="726">
        <f t="shared" si="381"/>
        <v>0.01</v>
      </c>
      <c r="AX373" s="925">
        <f t="shared" si="381"/>
        <v>0</v>
      </c>
      <c r="AY373" s="729">
        <f t="shared" si="365"/>
        <v>-19.27500000000002</v>
      </c>
      <c r="AZ373" s="729">
        <f t="shared" si="366"/>
        <v>0</v>
      </c>
      <c r="BA373" s="773"/>
      <c r="BB373" s="773"/>
      <c r="BC373" s="773"/>
      <c r="BD373" s="631"/>
    </row>
    <row r="374" spans="1:56" s="39" customFormat="1" x14ac:dyDescent="0.25">
      <c r="A374" s="307" t="str">
        <f t="shared" si="348"/>
        <v>Dividends paid</v>
      </c>
      <c r="B374" s="630"/>
      <c r="C374" s="725">
        <f t="shared" si="349"/>
        <v>0</v>
      </c>
      <c r="D374" s="725">
        <f t="shared" si="350"/>
        <v>0</v>
      </c>
      <c r="E374" s="725">
        <f t="shared" si="350"/>
        <v>0</v>
      </c>
      <c r="F374" s="725">
        <f t="shared" si="350"/>
        <v>0</v>
      </c>
      <c r="G374" s="725">
        <f t="shared" si="351"/>
        <v>0</v>
      </c>
      <c r="H374" s="725">
        <f t="shared" si="352"/>
        <v>0</v>
      </c>
      <c r="I374" s="725">
        <f t="shared" si="352"/>
        <v>0</v>
      </c>
      <c r="J374" s="725">
        <f t="shared" si="352"/>
        <v>0</v>
      </c>
      <c r="K374" s="725">
        <f t="shared" si="353"/>
        <v>0</v>
      </c>
      <c r="L374" s="725">
        <f t="shared" si="354"/>
        <v>0</v>
      </c>
      <c r="M374" s="725">
        <f t="shared" si="354"/>
        <v>0</v>
      </c>
      <c r="N374" s="725">
        <f t="shared" si="354"/>
        <v>0</v>
      </c>
      <c r="O374" s="725">
        <f t="shared" si="355"/>
        <v>0</v>
      </c>
      <c r="P374" s="725">
        <f t="shared" si="356"/>
        <v>0</v>
      </c>
      <c r="Q374" s="725">
        <f t="shared" si="356"/>
        <v>0</v>
      </c>
      <c r="R374" s="725">
        <f t="shared" si="356"/>
        <v>0</v>
      </c>
      <c r="S374" s="725">
        <f t="shared" si="357"/>
        <v>0</v>
      </c>
      <c r="T374" s="725">
        <f t="shared" si="358"/>
        <v>0</v>
      </c>
      <c r="U374" s="725">
        <f t="shared" si="358"/>
        <v>0</v>
      </c>
      <c r="V374" s="725">
        <f t="shared" si="358"/>
        <v>0</v>
      </c>
      <c r="W374" s="725">
        <f t="shared" si="359"/>
        <v>0</v>
      </c>
      <c r="X374" s="725">
        <f t="shared" si="360"/>
        <v>0</v>
      </c>
      <c r="Y374" s="725">
        <f t="shared" si="360"/>
        <v>0</v>
      </c>
      <c r="Z374" s="725">
        <f t="shared" si="360"/>
        <v>0</v>
      </c>
      <c r="AA374" s="725">
        <f t="shared" si="361"/>
        <v>0</v>
      </c>
      <c r="AB374" s="725">
        <f t="shared" si="362"/>
        <v>0</v>
      </c>
      <c r="AC374" s="725">
        <f t="shared" si="362"/>
        <v>0</v>
      </c>
      <c r="AD374" s="725">
        <f t="shared" si="362"/>
        <v>0</v>
      </c>
      <c r="AE374" s="725">
        <f t="shared" si="363"/>
        <v>0</v>
      </c>
      <c r="AF374" s="771">
        <f t="shared" ref="AF374:AL374" si="382">AF214</f>
        <v>0</v>
      </c>
      <c r="AG374" s="730">
        <f t="shared" ca="1" si="382"/>
        <v>0</v>
      </c>
      <c r="AH374" s="730">
        <f t="shared" ca="1" si="382"/>
        <v>0</v>
      </c>
      <c r="AI374" s="730">
        <f t="shared" ca="1" si="382"/>
        <v>0</v>
      </c>
      <c r="AJ374" s="730">
        <f t="shared" ca="1" si="382"/>
        <v>0</v>
      </c>
      <c r="AK374" s="730">
        <f t="shared" ca="1" si="382"/>
        <v>0</v>
      </c>
      <c r="AL374" s="730">
        <f t="shared" ca="1" si="382"/>
        <v>0</v>
      </c>
      <c r="AM374" s="730"/>
      <c r="AN374" s="726">
        <f t="shared" ref="AN374:AX374" si="383">AN316</f>
        <v>0</v>
      </c>
      <c r="AO374" s="726">
        <f t="shared" si="383"/>
        <v>0</v>
      </c>
      <c r="AP374" s="726">
        <f t="shared" si="383"/>
        <v>0</v>
      </c>
      <c r="AQ374" s="726">
        <f t="shared" si="383"/>
        <v>0</v>
      </c>
      <c r="AR374" s="726">
        <f t="shared" si="383"/>
        <v>0</v>
      </c>
      <c r="AS374" s="726">
        <f t="shared" si="383"/>
        <v>0</v>
      </c>
      <c r="AT374" s="726">
        <f t="shared" si="383"/>
        <v>0</v>
      </c>
      <c r="AU374" s="726">
        <f t="shared" si="383"/>
        <v>0</v>
      </c>
      <c r="AV374" s="726">
        <f t="shared" si="383"/>
        <v>0</v>
      </c>
      <c r="AW374" s="726">
        <f t="shared" si="383"/>
        <v>0</v>
      </c>
      <c r="AX374" s="925">
        <f t="shared" si="383"/>
        <v>0</v>
      </c>
      <c r="AY374" s="729">
        <f t="shared" ca="1" si="365"/>
        <v>0</v>
      </c>
      <c r="AZ374" s="729">
        <f t="shared" ca="1" si="366"/>
        <v>0</v>
      </c>
      <c r="BA374" s="729">
        <f ca="1">BA214</f>
        <v>0</v>
      </c>
      <c r="BB374" s="729">
        <f ca="1">BB214</f>
        <v>0</v>
      </c>
      <c r="BC374" s="729">
        <f ca="1">BC214</f>
        <v>0</v>
      </c>
      <c r="BD374" s="631"/>
    </row>
    <row r="375" spans="1:56" s="38" customFormat="1" x14ac:dyDescent="0.25">
      <c r="A375" s="259" t="str">
        <f t="shared" si="348"/>
        <v>Net CFF</v>
      </c>
      <c r="B375" s="260"/>
      <c r="C375" s="747">
        <f t="shared" ref="C375:AL375" si="384">SUM(C360:C374)</f>
        <v>-1.0569999999999999</v>
      </c>
      <c r="D375" s="747">
        <f t="shared" si="384"/>
        <v>8.859</v>
      </c>
      <c r="E375" s="747">
        <f t="shared" si="384"/>
        <v>-3.3289999999999993</v>
      </c>
      <c r="F375" s="747">
        <f t="shared" si="384"/>
        <v>-1.7849999999999999</v>
      </c>
      <c r="G375" s="747">
        <f t="shared" si="384"/>
        <v>-0.1409999999999999</v>
      </c>
      <c r="H375" s="747">
        <f t="shared" si="384"/>
        <v>12.738</v>
      </c>
      <c r="I375" s="747">
        <f t="shared" si="384"/>
        <v>-15.090000000000005</v>
      </c>
      <c r="J375" s="747">
        <f t="shared" si="384"/>
        <v>-8.1989999999999963</v>
      </c>
      <c r="K375" s="747">
        <f t="shared" si="384"/>
        <v>-4.4550000000000001</v>
      </c>
      <c r="L375" s="747">
        <f t="shared" si="384"/>
        <v>0.76499999999999946</v>
      </c>
      <c r="M375" s="747">
        <f t="shared" si="384"/>
        <v>-4.9959999999999996</v>
      </c>
      <c r="N375" s="747">
        <f t="shared" si="384"/>
        <v>-6.8259999999999996</v>
      </c>
      <c r="O375" s="747">
        <f t="shared" si="384"/>
        <v>-10.275</v>
      </c>
      <c r="P375" s="747">
        <f t="shared" si="384"/>
        <v>-0.47499999999999853</v>
      </c>
      <c r="Q375" s="747">
        <f t="shared" si="384"/>
        <v>-0.40499999999999925</v>
      </c>
      <c r="R375" s="747">
        <f t="shared" si="384"/>
        <v>0.37300000000000133</v>
      </c>
      <c r="S375" s="747">
        <f t="shared" si="384"/>
        <v>-1.3009999999999997</v>
      </c>
      <c r="T375" s="747">
        <f t="shared" si="384"/>
        <v>-3.2279999999999998</v>
      </c>
      <c r="U375" s="747">
        <f t="shared" si="384"/>
        <v>-1.879</v>
      </c>
      <c r="V375" s="747">
        <f t="shared" si="384"/>
        <v>2.1820000000000004</v>
      </c>
      <c r="W375" s="747">
        <f t="shared" si="384"/>
        <v>-5.0789999999999997</v>
      </c>
      <c r="X375" s="747">
        <f t="shared" si="384"/>
        <v>32.677999999999997</v>
      </c>
      <c r="Y375" s="747">
        <f t="shared" si="384"/>
        <v>4.9220000000000024</v>
      </c>
      <c r="Z375" s="747">
        <f t="shared" si="384"/>
        <v>7.5090000000000057</v>
      </c>
      <c r="AA375" s="747">
        <f t="shared" si="384"/>
        <v>-0.69000000000000328</v>
      </c>
      <c r="AB375" s="747">
        <f t="shared" si="384"/>
        <v>1.8539999999999948</v>
      </c>
      <c r="AC375" s="747">
        <f t="shared" si="384"/>
        <v>-6.2640000000000002</v>
      </c>
      <c r="AD375" s="747">
        <f t="shared" si="384"/>
        <v>-27.178999999999988</v>
      </c>
      <c r="AE375" s="747">
        <f t="shared" si="384"/>
        <v>-11.742000000000001</v>
      </c>
      <c r="AF375" s="772">
        <f t="shared" si="384"/>
        <v>-19.267000000000021</v>
      </c>
      <c r="AG375" s="747">
        <f t="shared" ca="1" si="384"/>
        <v>0</v>
      </c>
      <c r="AH375" s="747">
        <f t="shared" ca="1" si="384"/>
        <v>0</v>
      </c>
      <c r="AI375" s="747">
        <f t="shared" ca="1" si="384"/>
        <v>0</v>
      </c>
      <c r="AJ375" s="747">
        <f t="shared" ca="1" si="384"/>
        <v>0</v>
      </c>
      <c r="AK375" s="747">
        <f t="shared" ca="1" si="384"/>
        <v>0</v>
      </c>
      <c r="AL375" s="747">
        <f t="shared" ca="1" si="384"/>
        <v>0</v>
      </c>
      <c r="AM375" s="747"/>
      <c r="AN375" s="748">
        <f t="shared" ref="AN375:BC375" si="385">SUM(AN360:AN374)</f>
        <v>13.229000000000001</v>
      </c>
      <c r="AO375" s="748">
        <f t="shared" si="385"/>
        <v>-1.375</v>
      </c>
      <c r="AP375" s="748">
        <f t="shared" si="385"/>
        <v>-0.62799999999999989</v>
      </c>
      <c r="AQ375" s="748">
        <f t="shared" si="385"/>
        <v>-7.1420000000000003</v>
      </c>
      <c r="AR375" s="748">
        <f t="shared" si="385"/>
        <v>2.6880000000000006</v>
      </c>
      <c r="AS375" s="748">
        <f t="shared" si="385"/>
        <v>-10.691999999999998</v>
      </c>
      <c r="AT375" s="748">
        <f t="shared" si="385"/>
        <v>-15.511999999999999</v>
      </c>
      <c r="AU375" s="748">
        <f t="shared" si="385"/>
        <v>-10.781999999999998</v>
      </c>
      <c r="AV375" s="748">
        <f t="shared" si="385"/>
        <v>-4.2259999999999991</v>
      </c>
      <c r="AW375" s="748">
        <f t="shared" si="385"/>
        <v>40.03</v>
      </c>
      <c r="AX375" s="960">
        <f t="shared" si="385"/>
        <v>-32.278999999999996</v>
      </c>
      <c r="AY375" s="748">
        <f t="shared" ca="1" si="385"/>
        <v>-31.009000000000022</v>
      </c>
      <c r="AZ375" s="748">
        <f t="shared" ca="1" si="385"/>
        <v>0</v>
      </c>
      <c r="BA375" s="748">
        <f t="shared" ca="1" si="385"/>
        <v>0</v>
      </c>
      <c r="BB375" s="748">
        <f t="shared" ca="1" si="385"/>
        <v>0</v>
      </c>
      <c r="BC375" s="748">
        <f t="shared" ca="1" si="385"/>
        <v>0</v>
      </c>
      <c r="BD375" s="632"/>
    </row>
    <row r="376" spans="1:56" s="38" customFormat="1" x14ac:dyDescent="0.25">
      <c r="A376" s="503"/>
      <c r="B376" s="504"/>
      <c r="C376" s="757"/>
      <c r="D376" s="757"/>
      <c r="E376" s="757"/>
      <c r="F376" s="757"/>
      <c r="G376" s="757"/>
      <c r="H376" s="757"/>
      <c r="I376" s="757"/>
      <c r="J376" s="757"/>
      <c r="K376" s="757"/>
      <c r="L376" s="757"/>
      <c r="M376" s="757"/>
      <c r="N376" s="757"/>
      <c r="O376" s="757"/>
      <c r="P376" s="757"/>
      <c r="Q376" s="757"/>
      <c r="R376" s="757"/>
      <c r="S376" s="757"/>
      <c r="T376" s="757"/>
      <c r="U376" s="757"/>
      <c r="V376" s="757"/>
      <c r="W376" s="757"/>
      <c r="X376" s="757"/>
      <c r="Y376" s="757"/>
      <c r="Z376" s="757"/>
      <c r="AA376" s="757"/>
      <c r="AB376" s="757"/>
      <c r="AC376" s="757"/>
      <c r="AD376" s="757"/>
      <c r="AE376" s="757"/>
      <c r="AF376" s="797"/>
      <c r="AG376" s="769"/>
      <c r="AH376" s="769"/>
      <c r="AI376" s="769"/>
      <c r="AJ376" s="769"/>
      <c r="AK376" s="769"/>
      <c r="AL376" s="769"/>
      <c r="AM376" s="769"/>
      <c r="AN376" s="756"/>
      <c r="AO376" s="756"/>
      <c r="AP376" s="756"/>
      <c r="AQ376" s="756"/>
      <c r="AR376" s="756"/>
      <c r="AS376" s="756"/>
      <c r="AT376" s="756"/>
      <c r="AU376" s="756"/>
      <c r="AV376" s="756"/>
      <c r="AW376" s="756"/>
      <c r="AX376" s="947"/>
      <c r="AY376" s="770"/>
      <c r="AZ376" s="770"/>
      <c r="BA376" s="770"/>
      <c r="BB376" s="770"/>
      <c r="BC376" s="770"/>
      <c r="BD376" s="632"/>
    </row>
    <row r="377" spans="1:56" s="39" customFormat="1" x14ac:dyDescent="0.25">
      <c r="A377" s="519" t="str">
        <f>A319</f>
        <v>FX</v>
      </c>
      <c r="B377" s="225"/>
      <c r="C377" s="725">
        <f>C319</f>
        <v>-0.14299999999999999</v>
      </c>
      <c r="D377" s="725">
        <f>D319-C319</f>
        <v>-2.200000000000002E-2</v>
      </c>
      <c r="E377" s="725">
        <f>E319-D319</f>
        <v>0.187</v>
      </c>
      <c r="F377" s="725">
        <f>F319-E319</f>
        <v>-0.85799999999999998</v>
      </c>
      <c r="G377" s="725">
        <f>G319</f>
        <v>-8.4000000000000005E-2</v>
      </c>
      <c r="H377" s="725">
        <f>H319-G319</f>
        <v>-0.107</v>
      </c>
      <c r="I377" s="725">
        <f>I319-H319</f>
        <v>0.22600000000000001</v>
      </c>
      <c r="J377" s="725">
        <f>J319-I319</f>
        <v>-0.26600000000000001</v>
      </c>
      <c r="K377" s="725">
        <f>K319</f>
        <v>-0.54800000000000004</v>
      </c>
      <c r="L377" s="725">
        <f>L319-K319</f>
        <v>0.43500000000000005</v>
      </c>
      <c r="M377" s="725">
        <f>M319-L319</f>
        <v>0.107</v>
      </c>
      <c r="N377" s="725">
        <f>N319-M319</f>
        <v>-1.3759999999999999</v>
      </c>
      <c r="O377" s="725">
        <f>O319</f>
        <v>4.3999999999999997E-2</v>
      </c>
      <c r="P377" s="725">
        <f>P319-O319</f>
        <v>-0.60699999999999998</v>
      </c>
      <c r="Q377" s="725">
        <f>Q319-P319</f>
        <v>-0.13300000000000001</v>
      </c>
      <c r="R377" s="725">
        <f>R319-Q319</f>
        <v>-0.56099999999999994</v>
      </c>
      <c r="S377" s="725">
        <f>S319</f>
        <v>0.35099999999999998</v>
      </c>
      <c r="T377" s="725">
        <f>T319-S319</f>
        <v>0.78499999999999992</v>
      </c>
      <c r="U377" s="725">
        <f>U319-T319</f>
        <v>0.18900000000000006</v>
      </c>
      <c r="V377" s="725">
        <f>V319-U319</f>
        <v>-0.6399999999999999</v>
      </c>
      <c r="W377" s="725">
        <f>W319</f>
        <v>0.21</v>
      </c>
      <c r="X377" s="725">
        <f>X319-W319</f>
        <v>-0.89</v>
      </c>
      <c r="Y377" s="725">
        <f>Y319-X319</f>
        <v>-0.27199999999999991</v>
      </c>
      <c r="Z377" s="725">
        <f>Z319-Y319</f>
        <v>1.2709999999999999</v>
      </c>
      <c r="AA377" s="725">
        <f>AA319</f>
        <v>-0.92700000000000005</v>
      </c>
      <c r="AB377" s="725">
        <f>AB319-AA319</f>
        <v>1.4000000000000012E-2</v>
      </c>
      <c r="AC377" s="725">
        <f>AC319-AB319</f>
        <v>-0.89999999999999991</v>
      </c>
      <c r="AD377" s="725">
        <f>AD319-AC319</f>
        <v>-0.51700000000000013</v>
      </c>
      <c r="AE377" s="725">
        <f>AE319</f>
        <v>-7.5999999999999998E-2</v>
      </c>
      <c r="AF377" s="779"/>
      <c r="AG377" s="728"/>
      <c r="AH377" s="728"/>
      <c r="AI377" s="728"/>
      <c r="AJ377" s="728"/>
      <c r="AK377" s="728"/>
      <c r="AL377" s="728"/>
      <c r="AM377" s="728"/>
      <c r="AN377" s="726">
        <f t="shared" ref="AN377:AX377" si="386">AN319</f>
        <v>0.248</v>
      </c>
      <c r="AO377" s="726">
        <f t="shared" si="386"/>
        <v>-6.9000000000000006E-2</v>
      </c>
      <c r="AP377" s="726">
        <f t="shared" si="386"/>
        <v>-0.113</v>
      </c>
      <c r="AQ377" s="726">
        <f t="shared" si="386"/>
        <v>0.16</v>
      </c>
      <c r="AR377" s="726">
        <f t="shared" si="386"/>
        <v>-0.83599999999999997</v>
      </c>
      <c r="AS377" s="726">
        <f t="shared" si="386"/>
        <v>-0.23100000000000001</v>
      </c>
      <c r="AT377" s="726">
        <f t="shared" si="386"/>
        <v>-1.3819999999999999</v>
      </c>
      <c r="AU377" s="726">
        <f t="shared" si="386"/>
        <v>-1.2569999999999999</v>
      </c>
      <c r="AV377" s="726">
        <f t="shared" si="386"/>
        <v>0.68500000000000005</v>
      </c>
      <c r="AW377" s="726">
        <f t="shared" si="386"/>
        <v>0.31900000000000001</v>
      </c>
      <c r="AX377" s="925">
        <f t="shared" si="386"/>
        <v>-2.33</v>
      </c>
      <c r="AY377" s="729">
        <f>SUM(AE377,AF377,AG377,AH377)</f>
        <v>-7.5999999999999998E-2</v>
      </c>
      <c r="AZ377" s="729">
        <f>SUM(AI377,AJ377,AK377,AL377)</f>
        <v>0</v>
      </c>
      <c r="BA377" s="773"/>
      <c r="BB377" s="773"/>
      <c r="BC377" s="773"/>
      <c r="BD377" s="631"/>
    </row>
    <row r="378" spans="1:56" s="38" customFormat="1" x14ac:dyDescent="0.25">
      <c r="A378" s="503" t="str">
        <f>A320</f>
        <v>Net Change in Cash Balance</v>
      </c>
      <c r="B378" s="504"/>
      <c r="C378" s="757">
        <f t="shared" ref="C378:AE378" si="387">C375+C357+C346+C377</f>
        <v>3.2860000000000009</v>
      </c>
      <c r="D378" s="757">
        <f t="shared" si="387"/>
        <v>-5.8549999999999978</v>
      </c>
      <c r="E378" s="757">
        <f t="shared" si="387"/>
        <v>-0.81899999999999751</v>
      </c>
      <c r="F378" s="757">
        <f t="shared" si="387"/>
        <v>1.273999999999996</v>
      </c>
      <c r="G378" s="757">
        <f t="shared" si="387"/>
        <v>-0.41999999999999854</v>
      </c>
      <c r="H378" s="757">
        <f t="shared" si="387"/>
        <v>0.79899999999999438</v>
      </c>
      <c r="I378" s="757">
        <f t="shared" si="387"/>
        <v>3.0919999999999908</v>
      </c>
      <c r="J378" s="757">
        <f t="shared" si="387"/>
        <v>5.4230000000000036</v>
      </c>
      <c r="K378" s="757">
        <f t="shared" si="387"/>
        <v>-2.4059999999999988</v>
      </c>
      <c r="L378" s="757">
        <f t="shared" si="387"/>
        <v>0.20499999999999757</v>
      </c>
      <c r="M378" s="757">
        <f t="shared" si="387"/>
        <v>1.2910000000000019</v>
      </c>
      <c r="N378" s="757">
        <f t="shared" si="387"/>
        <v>7.3990000000000009</v>
      </c>
      <c r="O378" s="757">
        <f t="shared" si="387"/>
        <v>-4.5600000000000032</v>
      </c>
      <c r="P378" s="757">
        <f t="shared" si="387"/>
        <v>-1.6099999999999999</v>
      </c>
      <c r="Q378" s="757">
        <f t="shared" si="387"/>
        <v>0.83500000000000307</v>
      </c>
      <c r="R378" s="757">
        <f t="shared" si="387"/>
        <v>0.65099999999999802</v>
      </c>
      <c r="S378" s="757">
        <f t="shared" si="387"/>
        <v>-0.89399999999999746</v>
      </c>
      <c r="T378" s="757">
        <f t="shared" si="387"/>
        <v>8.262000000000004</v>
      </c>
      <c r="U378" s="757">
        <f t="shared" si="387"/>
        <v>-5.694</v>
      </c>
      <c r="V378" s="757">
        <f t="shared" si="387"/>
        <v>5.5920000000000005</v>
      </c>
      <c r="W378" s="757">
        <f t="shared" si="387"/>
        <v>-6.6669999999999972</v>
      </c>
      <c r="X378" s="757">
        <f t="shared" si="387"/>
        <v>-2.8110000000000026</v>
      </c>
      <c r="Y378" s="757">
        <f t="shared" si="387"/>
        <v>-3.8109999999999924</v>
      </c>
      <c r="Z378" s="757">
        <f t="shared" si="387"/>
        <v>3.0939999999999976</v>
      </c>
      <c r="AA378" s="757">
        <f t="shared" si="387"/>
        <v>-4.990000000000002</v>
      </c>
      <c r="AB378" s="757">
        <f t="shared" si="387"/>
        <v>-2.3160000000000078</v>
      </c>
      <c r="AC378" s="757">
        <f t="shared" si="387"/>
        <v>1.6279999999999988</v>
      </c>
      <c r="AD378" s="757">
        <f t="shared" si="387"/>
        <v>0.42000000000000814</v>
      </c>
      <c r="AE378" s="757">
        <f t="shared" si="387"/>
        <v>0.86600000000000021</v>
      </c>
      <c r="AF378" s="758">
        <f>AF381-AF380</f>
        <v>3.0719999999999779</v>
      </c>
      <c r="AG378" s="759">
        <f t="shared" ref="AG378:AL378" ca="1" si="388">AG375+AG357+AG346+AG377</f>
        <v>-1.1995314710916687</v>
      </c>
      <c r="AH378" s="759">
        <f t="shared" ca="1" si="388"/>
        <v>8.7239973022533732</v>
      </c>
      <c r="AI378" s="759">
        <f t="shared" ca="1" si="388"/>
        <v>-5.343367542262107</v>
      </c>
      <c r="AJ378" s="759">
        <f t="shared" ca="1" si="388"/>
        <v>14.630251628327358</v>
      </c>
      <c r="AK378" s="759">
        <f t="shared" ca="1" si="388"/>
        <v>-2.9535242368891117</v>
      </c>
      <c r="AL378" s="759">
        <f t="shared" ca="1" si="388"/>
        <v>8.4361759945564341</v>
      </c>
      <c r="AM378" s="759"/>
      <c r="AN378" s="756">
        <f t="shared" ref="AN378:AX378" si="389">AN375+AN357+AN346+AN377</f>
        <v>6.8420000000000067</v>
      </c>
      <c r="AO378" s="756">
        <f t="shared" si="389"/>
        <v>18.099</v>
      </c>
      <c r="AP378" s="756">
        <f t="shared" si="389"/>
        <v>-24.750999999999998</v>
      </c>
      <c r="AQ378" s="756">
        <f t="shared" si="389"/>
        <v>3.610000000000003</v>
      </c>
      <c r="AR378" s="756">
        <f t="shared" si="389"/>
        <v>-2.113999999999995</v>
      </c>
      <c r="AS378" s="756">
        <f t="shared" si="389"/>
        <v>8.8940000000000001</v>
      </c>
      <c r="AT378" s="756">
        <f t="shared" si="389"/>
        <v>6.488999999999999</v>
      </c>
      <c r="AU378" s="756">
        <f t="shared" si="389"/>
        <v>-4.6839999999999957</v>
      </c>
      <c r="AV378" s="756">
        <f t="shared" si="389"/>
        <v>7.2659999999999965</v>
      </c>
      <c r="AW378" s="756">
        <f t="shared" si="389"/>
        <v>-10.194999999999997</v>
      </c>
      <c r="AX378" s="947">
        <f t="shared" si="389"/>
        <v>-5.2579999999999973</v>
      </c>
      <c r="AY378" s="760">
        <f ca="1">SUM(AE378,AF378,AG378,AH378)</f>
        <v>11.462465831161683</v>
      </c>
      <c r="AZ378" s="760">
        <f ca="1">AZ375+AZ357+AZ346+AZ377</f>
        <v>14.769535843732577</v>
      </c>
      <c r="BA378" s="760">
        <f ca="1">BA375+BA357+BA346+BA377</f>
        <v>19.038959301755483</v>
      </c>
      <c r="BB378" s="760">
        <f ca="1">BB375+BB357+BB346+BB377</f>
        <v>25.62451455339464</v>
      </c>
      <c r="BC378" s="760">
        <f ca="1">BC375+BC357+BC346+BC377</f>
        <v>32.09919535254474</v>
      </c>
      <c r="BD378" s="632"/>
    </row>
    <row r="379" spans="1:56" s="38" customFormat="1" x14ac:dyDescent="0.25">
      <c r="A379" s="503"/>
      <c r="B379" s="504"/>
      <c r="C379" s="757"/>
      <c r="D379" s="757"/>
      <c r="E379" s="757"/>
      <c r="F379" s="757"/>
      <c r="G379" s="757"/>
      <c r="H379" s="757"/>
      <c r="I379" s="757"/>
      <c r="J379" s="757"/>
      <c r="K379" s="757"/>
      <c r="L379" s="757"/>
      <c r="M379" s="757"/>
      <c r="N379" s="757"/>
      <c r="O379" s="757"/>
      <c r="P379" s="757"/>
      <c r="Q379" s="757"/>
      <c r="R379" s="757"/>
      <c r="S379" s="757"/>
      <c r="T379" s="757"/>
      <c r="U379" s="757"/>
      <c r="V379" s="757"/>
      <c r="W379" s="757"/>
      <c r="X379" s="757"/>
      <c r="Y379" s="757"/>
      <c r="Z379" s="757"/>
      <c r="AA379" s="757"/>
      <c r="AB379" s="757"/>
      <c r="AC379" s="757"/>
      <c r="AD379" s="740"/>
      <c r="AE379" s="795"/>
      <c r="AF379" s="797"/>
      <c r="AG379" s="769"/>
      <c r="AH379" s="769"/>
      <c r="AI379" s="769"/>
      <c r="AJ379" s="769"/>
      <c r="AK379" s="769"/>
      <c r="AL379" s="769"/>
      <c r="AM379" s="769"/>
      <c r="AN379" s="756"/>
      <c r="AO379" s="756"/>
      <c r="AP379" s="756"/>
      <c r="AQ379" s="756"/>
      <c r="AR379" s="756"/>
      <c r="AS379" s="756"/>
      <c r="AT379" s="756"/>
      <c r="AU379" s="756"/>
      <c r="AV379" s="756"/>
      <c r="AW379" s="756"/>
      <c r="AX379" s="934"/>
      <c r="AY379" s="770"/>
      <c r="AZ379" s="770"/>
      <c r="BA379" s="770"/>
      <c r="BB379" s="770"/>
      <c r="BC379" s="770"/>
      <c r="BD379" s="632"/>
    </row>
    <row r="380" spans="1:56" s="38" customFormat="1" x14ac:dyDescent="0.25">
      <c r="A380" s="503" t="str">
        <f>A322</f>
        <v>Beginning Cash Balance</v>
      </c>
      <c r="B380" s="504"/>
      <c r="C380" s="757">
        <f>AQ381</f>
        <v>7.7610000000000134</v>
      </c>
      <c r="D380" s="757">
        <f>C381</f>
        <v>11.047000000000015</v>
      </c>
      <c r="E380" s="757">
        <f>D381</f>
        <v>5.192000000000017</v>
      </c>
      <c r="F380" s="757">
        <f>E381</f>
        <v>4.3730000000000198</v>
      </c>
      <c r="G380" s="757">
        <f>AR381</f>
        <v>5.647000000000018</v>
      </c>
      <c r="H380" s="757">
        <f>G381</f>
        <v>5.2270000000000199</v>
      </c>
      <c r="I380" s="757">
        <f>H381</f>
        <v>6.026000000000014</v>
      </c>
      <c r="J380" s="757">
        <f>I381</f>
        <v>9.1180000000000057</v>
      </c>
      <c r="K380" s="757">
        <f>AS381</f>
        <v>14.541000000000018</v>
      </c>
      <c r="L380" s="757">
        <f>K381</f>
        <v>12.135000000000019</v>
      </c>
      <c r="M380" s="757">
        <f>L381</f>
        <v>12.340000000000018</v>
      </c>
      <c r="N380" s="757">
        <f>M381</f>
        <v>13.63100000000002</v>
      </c>
      <c r="O380" s="757">
        <f>AT381</f>
        <v>21.030000000000015</v>
      </c>
      <c r="P380" s="757">
        <f>O381</f>
        <v>16.470000000000013</v>
      </c>
      <c r="Q380" s="757">
        <f>P381</f>
        <v>14.860000000000014</v>
      </c>
      <c r="R380" s="757">
        <f>Q381</f>
        <v>15.695000000000016</v>
      </c>
      <c r="S380" s="757">
        <f>AU381</f>
        <v>16.346000000000018</v>
      </c>
      <c r="T380" s="757">
        <f>S381</f>
        <v>15.452000000000019</v>
      </c>
      <c r="U380" s="757">
        <f>T381</f>
        <v>23.714000000000024</v>
      </c>
      <c r="V380" s="757">
        <f>U381</f>
        <v>18.020000000000024</v>
      </c>
      <c r="W380" s="757">
        <f>AV381</f>
        <v>23.612000000000016</v>
      </c>
      <c r="X380" s="757">
        <f>W381</f>
        <v>16.945000000000018</v>
      </c>
      <c r="Y380" s="757">
        <f>X381</f>
        <v>14.134000000000015</v>
      </c>
      <c r="Z380" s="757">
        <f>Y381</f>
        <v>10.323000000000022</v>
      </c>
      <c r="AA380" s="757">
        <f>AW381</f>
        <v>13.417000000000019</v>
      </c>
      <c r="AB380" s="757">
        <f>AA381</f>
        <v>8.4270000000000174</v>
      </c>
      <c r="AC380" s="757">
        <f>AB381</f>
        <v>6.1110000000000095</v>
      </c>
      <c r="AD380" s="740">
        <f>AC381</f>
        <v>7.7390000000000079</v>
      </c>
      <c r="AE380" s="757">
        <f>AX381</f>
        <v>8.159000000000022</v>
      </c>
      <c r="AF380" s="758">
        <f>AE381</f>
        <v>9.0250000000000217</v>
      </c>
      <c r="AG380" s="759">
        <f>AF381</f>
        <v>12.097</v>
      </c>
      <c r="AH380" s="759">
        <f ca="1">AG381</f>
        <v>10.89746852890833</v>
      </c>
      <c r="AI380" s="759">
        <f ca="1">AY381</f>
        <v>19.621465831161707</v>
      </c>
      <c r="AJ380" s="759">
        <f ca="1">AI381</f>
        <v>14.278098288899599</v>
      </c>
      <c r="AK380" s="759">
        <f ca="1">AJ381</f>
        <v>28.908349917226957</v>
      </c>
      <c r="AL380" s="759">
        <f ca="1">AK381</f>
        <v>25.954825680337844</v>
      </c>
      <c r="AM380" s="759"/>
      <c r="AN380" s="756">
        <f>AN322</f>
        <v>3.9609999999999999</v>
      </c>
      <c r="AO380" s="756">
        <f t="shared" ref="AO380:BC380" si="390">AN381</f>
        <v>10.803000000000006</v>
      </c>
      <c r="AP380" s="756">
        <f t="shared" si="390"/>
        <v>28.902000000000008</v>
      </c>
      <c r="AQ380" s="756">
        <f t="shared" si="390"/>
        <v>4.1510000000000105</v>
      </c>
      <c r="AR380" s="756">
        <f t="shared" si="390"/>
        <v>7.7610000000000134</v>
      </c>
      <c r="AS380" s="756">
        <f t="shared" si="390"/>
        <v>5.647000000000018</v>
      </c>
      <c r="AT380" s="756">
        <f t="shared" si="390"/>
        <v>14.541000000000018</v>
      </c>
      <c r="AU380" s="756">
        <f t="shared" si="390"/>
        <v>21.030000000000015</v>
      </c>
      <c r="AV380" s="756">
        <f t="shared" si="390"/>
        <v>16.346000000000018</v>
      </c>
      <c r="AW380" s="756">
        <f t="shared" si="390"/>
        <v>23.612000000000016</v>
      </c>
      <c r="AX380" s="934">
        <f t="shared" si="390"/>
        <v>13.417000000000019</v>
      </c>
      <c r="AY380" s="760">
        <f t="shared" si="390"/>
        <v>8.159000000000022</v>
      </c>
      <c r="AZ380" s="760">
        <f t="shared" ca="1" si="390"/>
        <v>19.621465831161707</v>
      </c>
      <c r="BA380" s="760">
        <f t="shared" ca="1" si="390"/>
        <v>34.391001674894284</v>
      </c>
      <c r="BB380" s="760">
        <f t="shared" ca="1" si="390"/>
        <v>53.429960976649767</v>
      </c>
      <c r="BC380" s="760">
        <f t="shared" ca="1" si="390"/>
        <v>79.054475530044414</v>
      </c>
      <c r="BD380" s="632"/>
    </row>
    <row r="381" spans="1:56" s="38" customFormat="1" x14ac:dyDescent="0.25">
      <c r="A381" s="503" t="str">
        <f>A323</f>
        <v>Ending Cash Balance</v>
      </c>
      <c r="B381" s="504"/>
      <c r="C381" s="757">
        <f t="shared" ref="C381:AE381" si="391">C380+C378</f>
        <v>11.047000000000015</v>
      </c>
      <c r="D381" s="757">
        <f t="shared" si="391"/>
        <v>5.192000000000017</v>
      </c>
      <c r="E381" s="757">
        <f t="shared" si="391"/>
        <v>4.3730000000000198</v>
      </c>
      <c r="F381" s="757">
        <f t="shared" si="391"/>
        <v>5.6470000000000162</v>
      </c>
      <c r="G381" s="757">
        <f t="shared" si="391"/>
        <v>5.2270000000000199</v>
      </c>
      <c r="H381" s="757">
        <f t="shared" si="391"/>
        <v>6.026000000000014</v>
      </c>
      <c r="I381" s="757">
        <f t="shared" si="391"/>
        <v>9.1180000000000057</v>
      </c>
      <c r="J381" s="757">
        <f t="shared" si="391"/>
        <v>14.541000000000009</v>
      </c>
      <c r="K381" s="757">
        <f t="shared" si="391"/>
        <v>12.135000000000019</v>
      </c>
      <c r="L381" s="757">
        <f t="shared" si="391"/>
        <v>12.340000000000018</v>
      </c>
      <c r="M381" s="757">
        <f t="shared" si="391"/>
        <v>13.63100000000002</v>
      </c>
      <c r="N381" s="757">
        <f t="shared" si="391"/>
        <v>21.030000000000022</v>
      </c>
      <c r="O381" s="757">
        <f t="shared" si="391"/>
        <v>16.470000000000013</v>
      </c>
      <c r="P381" s="757">
        <f t="shared" si="391"/>
        <v>14.860000000000014</v>
      </c>
      <c r="Q381" s="757">
        <f t="shared" si="391"/>
        <v>15.695000000000016</v>
      </c>
      <c r="R381" s="757">
        <f t="shared" si="391"/>
        <v>16.346000000000014</v>
      </c>
      <c r="S381" s="757">
        <f t="shared" si="391"/>
        <v>15.452000000000019</v>
      </c>
      <c r="T381" s="757">
        <f t="shared" si="391"/>
        <v>23.714000000000024</v>
      </c>
      <c r="U381" s="757">
        <f t="shared" si="391"/>
        <v>18.020000000000024</v>
      </c>
      <c r="V381" s="757">
        <f t="shared" si="391"/>
        <v>23.612000000000023</v>
      </c>
      <c r="W381" s="757">
        <f t="shared" si="391"/>
        <v>16.945000000000018</v>
      </c>
      <c r="X381" s="757">
        <f t="shared" si="391"/>
        <v>14.134000000000015</v>
      </c>
      <c r="Y381" s="757">
        <f t="shared" si="391"/>
        <v>10.323000000000022</v>
      </c>
      <c r="Z381" s="757">
        <f t="shared" si="391"/>
        <v>13.417000000000019</v>
      </c>
      <c r="AA381" s="757">
        <f t="shared" si="391"/>
        <v>8.4270000000000174</v>
      </c>
      <c r="AB381" s="757">
        <f t="shared" si="391"/>
        <v>6.1110000000000095</v>
      </c>
      <c r="AC381" s="757">
        <f t="shared" si="391"/>
        <v>7.7390000000000079</v>
      </c>
      <c r="AD381" s="740">
        <f t="shared" si="391"/>
        <v>8.1590000000000167</v>
      </c>
      <c r="AE381" s="757">
        <f t="shared" si="391"/>
        <v>9.0250000000000217</v>
      </c>
      <c r="AF381" s="758">
        <f>+AF398</f>
        <v>12.097</v>
      </c>
      <c r="AG381" s="759">
        <f t="shared" ref="AG381:AL381" ca="1" si="392">AG380+AG378</f>
        <v>10.89746852890833</v>
      </c>
      <c r="AH381" s="759">
        <f t="shared" ca="1" si="392"/>
        <v>19.621465831161704</v>
      </c>
      <c r="AI381" s="759">
        <f t="shared" ca="1" si="392"/>
        <v>14.278098288899599</v>
      </c>
      <c r="AJ381" s="759">
        <f t="shared" ca="1" si="392"/>
        <v>28.908349917226957</v>
      </c>
      <c r="AK381" s="759">
        <f t="shared" ca="1" si="392"/>
        <v>25.954825680337844</v>
      </c>
      <c r="AL381" s="759">
        <f t="shared" ca="1" si="392"/>
        <v>34.391001674894277</v>
      </c>
      <c r="AM381" s="759"/>
      <c r="AN381" s="756">
        <f t="shared" ref="AN381:BC381" si="393">AN380+AN378</f>
        <v>10.803000000000006</v>
      </c>
      <c r="AO381" s="756">
        <f t="shared" si="393"/>
        <v>28.902000000000008</v>
      </c>
      <c r="AP381" s="756">
        <f t="shared" si="393"/>
        <v>4.1510000000000105</v>
      </c>
      <c r="AQ381" s="756">
        <f t="shared" si="393"/>
        <v>7.7610000000000134</v>
      </c>
      <c r="AR381" s="756">
        <f t="shared" si="393"/>
        <v>5.647000000000018</v>
      </c>
      <c r="AS381" s="756">
        <f t="shared" si="393"/>
        <v>14.541000000000018</v>
      </c>
      <c r="AT381" s="756">
        <f t="shared" si="393"/>
        <v>21.030000000000015</v>
      </c>
      <c r="AU381" s="756">
        <f t="shared" si="393"/>
        <v>16.346000000000018</v>
      </c>
      <c r="AV381" s="756">
        <f t="shared" si="393"/>
        <v>23.612000000000016</v>
      </c>
      <c r="AW381" s="756">
        <f t="shared" si="393"/>
        <v>13.417000000000019</v>
      </c>
      <c r="AX381" s="934">
        <f t="shared" si="393"/>
        <v>8.159000000000022</v>
      </c>
      <c r="AY381" s="760">
        <f t="shared" ca="1" si="393"/>
        <v>19.621465831161707</v>
      </c>
      <c r="AZ381" s="760">
        <f t="shared" ca="1" si="393"/>
        <v>34.391001674894284</v>
      </c>
      <c r="BA381" s="760">
        <f t="shared" ca="1" si="393"/>
        <v>53.429960976649767</v>
      </c>
      <c r="BB381" s="760">
        <f t="shared" ca="1" si="393"/>
        <v>79.054475530044414</v>
      </c>
      <c r="BC381" s="760">
        <f t="shared" ca="1" si="393"/>
        <v>111.15367088258915</v>
      </c>
      <c r="BD381" s="632"/>
    </row>
    <row r="382" spans="1:56" s="38" customFormat="1" x14ac:dyDescent="0.25">
      <c r="A382" s="162"/>
      <c r="B382" s="187"/>
      <c r="C382" s="740"/>
      <c r="D382" s="740"/>
      <c r="E382" s="740"/>
      <c r="F382" s="740"/>
      <c r="G382" s="740"/>
      <c r="H382" s="740"/>
      <c r="I382" s="740"/>
      <c r="J382" s="740"/>
      <c r="K382" s="740"/>
      <c r="L382" s="740"/>
      <c r="M382" s="740"/>
      <c r="N382" s="740"/>
      <c r="O382" s="740"/>
      <c r="P382" s="740"/>
      <c r="Q382" s="754"/>
      <c r="R382" s="740"/>
      <c r="S382" s="740"/>
      <c r="T382" s="740"/>
      <c r="U382" s="754"/>
      <c r="V382" s="740"/>
      <c r="W382" s="740"/>
      <c r="X382" s="740"/>
      <c r="Y382" s="754"/>
      <c r="Z382" s="740"/>
      <c r="AA382" s="740"/>
      <c r="AB382" s="740"/>
      <c r="AC382" s="740"/>
      <c r="AD382" s="740"/>
      <c r="AE382" s="740"/>
      <c r="AF382" s="741"/>
      <c r="AG382" s="742"/>
      <c r="AH382" s="742"/>
      <c r="AI382" s="742"/>
      <c r="AJ382" s="742"/>
      <c r="AK382" s="742"/>
      <c r="AL382" s="742"/>
      <c r="AM382" s="742"/>
      <c r="AN382" s="739"/>
      <c r="AO382" s="739"/>
      <c r="AP382" s="739"/>
      <c r="AQ382" s="739"/>
      <c r="AR382" s="739"/>
      <c r="AS382" s="739"/>
      <c r="AT382" s="739"/>
      <c r="AU382" s="739"/>
      <c r="AV382" s="739"/>
      <c r="AW382" s="739"/>
      <c r="AX382" s="934"/>
      <c r="AY382" s="743"/>
      <c r="AZ382" s="743"/>
      <c r="BA382" s="743"/>
      <c r="BB382" s="743"/>
      <c r="BC382" s="743"/>
      <c r="BD382" s="632"/>
    </row>
    <row r="383" spans="1:56" s="39" customFormat="1" x14ac:dyDescent="0.25">
      <c r="A383" s="92" t="s">
        <v>198</v>
      </c>
      <c r="B383" s="92"/>
      <c r="C383" s="804">
        <f t="shared" ref="C383:AL383" si="394">ROUND(C381-C398,6)</f>
        <v>0</v>
      </c>
      <c r="D383" s="804">
        <f t="shared" si="394"/>
        <v>0</v>
      </c>
      <c r="E383" s="804">
        <f t="shared" si="394"/>
        <v>0</v>
      </c>
      <c r="F383" s="804">
        <f t="shared" si="394"/>
        <v>0</v>
      </c>
      <c r="G383" s="804">
        <f t="shared" si="394"/>
        <v>0</v>
      </c>
      <c r="H383" s="804">
        <f t="shared" si="394"/>
        <v>0</v>
      </c>
      <c r="I383" s="804">
        <f t="shared" si="394"/>
        <v>0</v>
      </c>
      <c r="J383" s="804">
        <f t="shared" si="394"/>
        <v>0</v>
      </c>
      <c r="K383" s="804">
        <f t="shared" si="394"/>
        <v>0</v>
      </c>
      <c r="L383" s="804">
        <f t="shared" si="394"/>
        <v>0</v>
      </c>
      <c r="M383" s="804">
        <f t="shared" si="394"/>
        <v>0</v>
      </c>
      <c r="N383" s="804">
        <f t="shared" si="394"/>
        <v>0</v>
      </c>
      <c r="O383" s="804">
        <f t="shared" si="394"/>
        <v>0</v>
      </c>
      <c r="P383" s="804">
        <f t="shared" si="394"/>
        <v>0</v>
      </c>
      <c r="Q383" s="804">
        <f t="shared" si="394"/>
        <v>0</v>
      </c>
      <c r="R383" s="804">
        <f t="shared" si="394"/>
        <v>0</v>
      </c>
      <c r="S383" s="804">
        <f t="shared" si="394"/>
        <v>0</v>
      </c>
      <c r="T383" s="804">
        <f t="shared" si="394"/>
        <v>0</v>
      </c>
      <c r="U383" s="804">
        <f t="shared" si="394"/>
        <v>0</v>
      </c>
      <c r="V383" s="804">
        <f t="shared" si="394"/>
        <v>0</v>
      </c>
      <c r="W383" s="804">
        <f t="shared" si="394"/>
        <v>0</v>
      </c>
      <c r="X383" s="804">
        <f t="shared" si="394"/>
        <v>0</v>
      </c>
      <c r="Y383" s="804">
        <f t="shared" si="394"/>
        <v>0</v>
      </c>
      <c r="Z383" s="804">
        <f t="shared" si="394"/>
        <v>0</v>
      </c>
      <c r="AA383" s="804">
        <f t="shared" si="394"/>
        <v>0</v>
      </c>
      <c r="AB383" s="804">
        <f t="shared" si="394"/>
        <v>0</v>
      </c>
      <c r="AC383" s="804">
        <f t="shared" si="394"/>
        <v>0</v>
      </c>
      <c r="AD383" s="804">
        <f t="shared" si="394"/>
        <v>0</v>
      </c>
      <c r="AE383" s="804">
        <f t="shared" si="394"/>
        <v>0</v>
      </c>
      <c r="AF383" s="805">
        <f t="shared" si="394"/>
        <v>0</v>
      </c>
      <c r="AG383" s="806">
        <f t="shared" ca="1" si="394"/>
        <v>0</v>
      </c>
      <c r="AH383" s="806">
        <f t="shared" ca="1" si="394"/>
        <v>0</v>
      </c>
      <c r="AI383" s="806">
        <f t="shared" ca="1" si="394"/>
        <v>0</v>
      </c>
      <c r="AJ383" s="806">
        <f t="shared" ca="1" si="394"/>
        <v>0</v>
      </c>
      <c r="AK383" s="806">
        <f t="shared" ca="1" si="394"/>
        <v>0</v>
      </c>
      <c r="AL383" s="806">
        <f t="shared" ca="1" si="394"/>
        <v>0</v>
      </c>
      <c r="AM383" s="806"/>
      <c r="AN383" s="804">
        <f t="shared" ref="AN383:BC383" si="395">ROUND(AN381-AN398,6)</f>
        <v>0</v>
      </c>
      <c r="AO383" s="804">
        <f t="shared" si="395"/>
        <v>0</v>
      </c>
      <c r="AP383" s="804">
        <f t="shared" si="395"/>
        <v>0</v>
      </c>
      <c r="AQ383" s="804">
        <f t="shared" si="395"/>
        <v>0</v>
      </c>
      <c r="AR383" s="804">
        <f t="shared" si="395"/>
        <v>0</v>
      </c>
      <c r="AS383" s="804">
        <f t="shared" si="395"/>
        <v>0</v>
      </c>
      <c r="AT383" s="804">
        <f t="shared" si="395"/>
        <v>0</v>
      </c>
      <c r="AU383" s="804">
        <f t="shared" si="395"/>
        <v>0</v>
      </c>
      <c r="AV383" s="804">
        <f t="shared" si="395"/>
        <v>0</v>
      </c>
      <c r="AW383" s="804">
        <f t="shared" si="395"/>
        <v>0</v>
      </c>
      <c r="AX383" s="805">
        <f t="shared" si="395"/>
        <v>0</v>
      </c>
      <c r="AY383" s="806">
        <f t="shared" ca="1" si="395"/>
        <v>0</v>
      </c>
      <c r="AZ383" s="806">
        <f t="shared" ca="1" si="395"/>
        <v>0</v>
      </c>
      <c r="BA383" s="806">
        <f t="shared" ca="1" si="395"/>
        <v>0</v>
      </c>
      <c r="BB383" s="806">
        <f t="shared" ca="1" si="395"/>
        <v>0</v>
      </c>
      <c r="BC383" s="806">
        <f t="shared" ca="1" si="395"/>
        <v>0</v>
      </c>
      <c r="BD383" s="631"/>
    </row>
    <row r="384" spans="1:56" s="38" customFormat="1" x14ac:dyDescent="0.25">
      <c r="A384" s="162"/>
      <c r="B384" s="187"/>
      <c r="C384" s="740"/>
      <c r="D384" s="740"/>
      <c r="E384" s="740"/>
      <c r="F384" s="740"/>
      <c r="G384" s="740"/>
      <c r="H384" s="740"/>
      <c r="I384" s="740"/>
      <c r="J384" s="740"/>
      <c r="K384" s="740"/>
      <c r="L384" s="740"/>
      <c r="M384" s="740"/>
      <c r="N384" s="740"/>
      <c r="O384" s="740"/>
      <c r="P384" s="740"/>
      <c r="Q384" s="754"/>
      <c r="R384" s="740"/>
      <c r="S384" s="740"/>
      <c r="T384" s="740"/>
      <c r="U384" s="754"/>
      <c r="V384" s="740"/>
      <c r="W384" s="740"/>
      <c r="X384" s="740"/>
      <c r="Y384" s="754"/>
      <c r="Z384" s="740"/>
      <c r="AA384" s="740"/>
      <c r="AB384" s="740"/>
      <c r="AC384" s="740"/>
      <c r="AD384" s="740"/>
      <c r="AE384" s="740"/>
      <c r="AF384" s="741"/>
      <c r="AG384" s="742"/>
      <c r="AH384" s="742"/>
      <c r="AI384" s="742"/>
      <c r="AJ384" s="742"/>
      <c r="AK384" s="742"/>
      <c r="AL384" s="742"/>
      <c r="AM384" s="742"/>
      <c r="AN384" s="739"/>
      <c r="AO384" s="739"/>
      <c r="AP384" s="739"/>
      <c r="AQ384" s="739"/>
      <c r="AR384" s="739"/>
      <c r="AS384" s="739"/>
      <c r="AT384" s="739"/>
      <c r="AU384" s="739"/>
      <c r="AV384" s="739"/>
      <c r="AW384" s="739"/>
      <c r="AX384" s="934"/>
      <c r="AY384" s="743"/>
      <c r="AZ384" s="743"/>
      <c r="BA384" s="743"/>
      <c r="BB384" s="743"/>
      <c r="BC384" s="743"/>
      <c r="BD384" s="632"/>
    </row>
    <row r="385" spans="1:56" s="38" customFormat="1" x14ac:dyDescent="0.25">
      <c r="A385" s="298" t="s">
        <v>199</v>
      </c>
      <c r="B385" s="299"/>
      <c r="C385" s="719"/>
      <c r="D385" s="719"/>
      <c r="E385" s="719"/>
      <c r="F385" s="719"/>
      <c r="G385" s="719"/>
      <c r="H385" s="719"/>
      <c r="I385" s="719"/>
      <c r="J385" s="719"/>
      <c r="K385" s="719"/>
      <c r="L385" s="719"/>
      <c r="M385" s="719"/>
      <c r="N385" s="719"/>
      <c r="O385" s="719"/>
      <c r="P385" s="719"/>
      <c r="Q385" s="719"/>
      <c r="R385" s="719"/>
      <c r="S385" s="719"/>
      <c r="T385" s="719"/>
      <c r="U385" s="719"/>
      <c r="V385" s="719"/>
      <c r="W385" s="719"/>
      <c r="X385" s="719"/>
      <c r="Y385" s="719"/>
      <c r="Z385" s="719"/>
      <c r="AA385" s="719"/>
      <c r="AB385" s="719"/>
      <c r="AC385" s="719"/>
      <c r="AD385" s="719"/>
      <c r="AE385" s="719"/>
      <c r="AF385" s="720"/>
      <c r="AG385" s="721"/>
      <c r="AH385" s="721"/>
      <c r="AI385" s="721"/>
      <c r="AJ385" s="721"/>
      <c r="AK385" s="721"/>
      <c r="AL385" s="721"/>
      <c r="AM385" s="721"/>
      <c r="AN385" s="719"/>
      <c r="AO385" s="719"/>
      <c r="AP385" s="719"/>
      <c r="AQ385" s="719"/>
      <c r="AR385" s="719"/>
      <c r="AS385" s="719"/>
      <c r="AT385" s="719"/>
      <c r="AU385" s="719"/>
      <c r="AV385" s="719"/>
      <c r="AW385" s="719"/>
      <c r="AX385" s="720"/>
      <c r="AY385" s="721"/>
      <c r="AZ385" s="721"/>
      <c r="BA385" s="721"/>
      <c r="BB385" s="721"/>
      <c r="BC385" s="721"/>
      <c r="BD385" s="632"/>
    </row>
    <row r="386" spans="1:56" s="38" customFormat="1" x14ac:dyDescent="0.25">
      <c r="A386" s="167" t="s">
        <v>200</v>
      </c>
      <c r="B386" s="189"/>
      <c r="C386" s="411"/>
      <c r="D386" s="411"/>
      <c r="E386" s="411"/>
      <c r="F386" s="411"/>
      <c r="G386" s="411">
        <f t="shared" ref="G386:P387" si="396">G399/(G$160+F$160+E$160+D$160)</f>
        <v>0.21015631205924148</v>
      </c>
      <c r="H386" s="411">
        <f t="shared" si="396"/>
        <v>0.23345094833562699</v>
      </c>
      <c r="I386" s="411">
        <f t="shared" si="396"/>
        <v>0.18033274817923933</v>
      </c>
      <c r="J386" s="411">
        <f t="shared" si="396"/>
        <v>0.19853467153648277</v>
      </c>
      <c r="K386" s="411">
        <f t="shared" si="396"/>
        <v>0.17339155516384902</v>
      </c>
      <c r="L386" s="411">
        <f t="shared" si="396"/>
        <v>0.19754197560343437</v>
      </c>
      <c r="M386" s="411">
        <f t="shared" si="396"/>
        <v>0.20348881195953783</v>
      </c>
      <c r="N386" s="411">
        <f t="shared" si="396"/>
        <v>0.18542873460063639</v>
      </c>
      <c r="O386" s="411">
        <f t="shared" si="396"/>
        <v>0.17621433505235515</v>
      </c>
      <c r="P386" s="411">
        <f t="shared" si="396"/>
        <v>0.18098683406024538</v>
      </c>
      <c r="Q386" s="412">
        <f t="shared" ref="Q386:Z387" si="397">Q399/(Q$160+P$160+O$160+N$160)</f>
        <v>0.18365880005799387</v>
      </c>
      <c r="R386" s="411">
        <f t="shared" si="397"/>
        <v>0.21516066365105932</v>
      </c>
      <c r="S386" s="411">
        <f t="shared" si="397"/>
        <v>0.20165510306686776</v>
      </c>
      <c r="T386" s="411">
        <f t="shared" si="397"/>
        <v>0.19803964849692463</v>
      </c>
      <c r="U386" s="412">
        <f t="shared" si="397"/>
        <v>0.19101443994708783</v>
      </c>
      <c r="V386" s="411">
        <f t="shared" si="397"/>
        <v>0.2343541342634051</v>
      </c>
      <c r="W386" s="411">
        <f t="shared" si="397"/>
        <v>0.21031940647879122</v>
      </c>
      <c r="X386" s="411">
        <f t="shared" si="397"/>
        <v>0.2141105880934743</v>
      </c>
      <c r="Y386" s="412">
        <f t="shared" si="397"/>
        <v>0.24844489598903835</v>
      </c>
      <c r="Z386" s="411">
        <f t="shared" si="397"/>
        <v>0.20900885161891447</v>
      </c>
      <c r="AA386" s="411">
        <f t="shared" ref="AA386:AJ387" si="398">AA399/(AA$160+Z$160+Y$160+X$160)</f>
        <v>0.19103060606003389</v>
      </c>
      <c r="AB386" s="411">
        <f t="shared" si="398"/>
        <v>0.21823396409100662</v>
      </c>
      <c r="AC386" s="412">
        <f t="shared" si="398"/>
        <v>0.20677399681148154</v>
      </c>
      <c r="AD386" s="411">
        <f t="shared" si="398"/>
        <v>0.22604879219599172</v>
      </c>
      <c r="AE386" s="411">
        <f t="shared" si="398"/>
        <v>0.18212788718016842</v>
      </c>
      <c r="AF386" s="670">
        <f t="shared" si="398"/>
        <v>0.18877179579788553</v>
      </c>
      <c r="AG386" s="72">
        <f t="shared" ref="AG386:AL389" si="399">AC386+AG391</f>
        <v>0.16677399681148153</v>
      </c>
      <c r="AH386" s="72">
        <f t="shared" si="399"/>
        <v>0.20604879219599173</v>
      </c>
      <c r="AI386" s="72">
        <f t="shared" si="399"/>
        <v>0.18212788718016842</v>
      </c>
      <c r="AJ386" s="72">
        <f t="shared" si="399"/>
        <v>0.18877179579788553</v>
      </c>
      <c r="AK386" s="72">
        <f t="shared" si="399"/>
        <v>0.16677399681148153</v>
      </c>
      <c r="AL386" s="72">
        <f t="shared" si="399"/>
        <v>0.20604879219599173</v>
      </c>
      <c r="AM386" s="72"/>
      <c r="AN386" s="410">
        <f t="shared" ref="AN386:AZ386" si="400">AN399/AN$160</f>
        <v>0.20740284619594962</v>
      </c>
      <c r="AO386" s="410">
        <f t="shared" si="400"/>
        <v>0.18418319060040167</v>
      </c>
      <c r="AP386" s="410">
        <f t="shared" si="400"/>
        <v>0.20150254977233642</v>
      </c>
      <c r="AQ386" s="410">
        <f t="shared" si="400"/>
        <v>0.20817437470739991</v>
      </c>
      <c r="AR386" s="410">
        <f t="shared" si="400"/>
        <v>0.21677211928855547</v>
      </c>
      <c r="AS386" s="410">
        <f t="shared" si="400"/>
        <v>0.19853467153648277</v>
      </c>
      <c r="AT386" s="410">
        <f t="shared" si="400"/>
        <v>0.18542873460063639</v>
      </c>
      <c r="AU386" s="410">
        <f t="shared" si="400"/>
        <v>0.21516066365105929</v>
      </c>
      <c r="AV386" s="410">
        <f t="shared" si="400"/>
        <v>0.2343541342634051</v>
      </c>
      <c r="AW386" s="410">
        <f t="shared" si="400"/>
        <v>0.20900885161891453</v>
      </c>
      <c r="AX386" s="942">
        <f t="shared" si="400"/>
        <v>0.22604879219599172</v>
      </c>
      <c r="AY386" s="107">
        <f t="shared" si="400"/>
        <v>0.20604879219599173</v>
      </c>
      <c r="AZ386" s="107">
        <f t="shared" si="400"/>
        <v>0.20604879219599173</v>
      </c>
      <c r="BA386" s="107">
        <f t="shared" ref="BA386:BC389" si="401">AZ386+BA391</f>
        <v>0.20604879219599173</v>
      </c>
      <c r="BB386" s="107">
        <f t="shared" si="401"/>
        <v>0.20604879219599173</v>
      </c>
      <c r="BC386" s="107">
        <f t="shared" si="401"/>
        <v>0.20604879219599173</v>
      </c>
      <c r="BD386" s="632"/>
    </row>
    <row r="387" spans="1:56" s="38" customFormat="1" x14ac:dyDescent="0.25">
      <c r="A387" s="167" t="s">
        <v>201</v>
      </c>
      <c r="B387" s="189"/>
      <c r="C387" s="411"/>
      <c r="D387" s="411"/>
      <c r="E387" s="411"/>
      <c r="F387" s="411"/>
      <c r="G387" s="411">
        <f t="shared" si="396"/>
        <v>7.3467109153655369E-2</v>
      </c>
      <c r="H387" s="411">
        <f t="shared" si="396"/>
        <v>7.1721697381082944E-2</v>
      </c>
      <c r="I387" s="411">
        <f t="shared" si="396"/>
        <v>7.7801197439900202E-2</v>
      </c>
      <c r="J387" s="411">
        <f t="shared" si="396"/>
        <v>6.0197223567200073E-2</v>
      </c>
      <c r="K387" s="411">
        <f t="shared" si="396"/>
        <v>7.2291883663168022E-2</v>
      </c>
      <c r="L387" s="411">
        <f t="shared" si="396"/>
        <v>8.5449205795255778E-2</v>
      </c>
      <c r="M387" s="411">
        <f t="shared" si="396"/>
        <v>8.0362090506268302E-2</v>
      </c>
      <c r="N387" s="411">
        <f t="shared" si="396"/>
        <v>9.3948356041445705E-2</v>
      </c>
      <c r="O387" s="411">
        <f t="shared" si="396"/>
        <v>8.5481770965987011E-2</v>
      </c>
      <c r="P387" s="411">
        <f t="shared" si="396"/>
        <v>9.2978844821261175E-2</v>
      </c>
      <c r="Q387" s="412">
        <f t="shared" si="397"/>
        <v>0.10850774034269473</v>
      </c>
      <c r="R387" s="411">
        <f t="shared" si="397"/>
        <v>8.014938060457559E-2</v>
      </c>
      <c r="S387" s="411">
        <f t="shared" si="397"/>
        <v>9.5177476118652585E-2</v>
      </c>
      <c r="T387" s="411">
        <f t="shared" si="397"/>
        <v>9.0506672711978653E-2</v>
      </c>
      <c r="U387" s="412">
        <f t="shared" si="397"/>
        <v>0.10414108850111291</v>
      </c>
      <c r="V387" s="411">
        <f t="shared" si="397"/>
        <v>8.4362382366341443E-2</v>
      </c>
      <c r="W387" s="411">
        <f t="shared" si="397"/>
        <v>8.4702213590260131E-2</v>
      </c>
      <c r="X387" s="411">
        <f t="shared" si="397"/>
        <v>8.8518304645135437E-2</v>
      </c>
      <c r="Y387" s="412">
        <f t="shared" si="397"/>
        <v>7.1752771549576475E-2</v>
      </c>
      <c r="Z387" s="411">
        <f t="shared" si="397"/>
        <v>0.15677459430079971</v>
      </c>
      <c r="AA387" s="411">
        <f t="shared" si="398"/>
        <v>0.15738263334094912</v>
      </c>
      <c r="AB387" s="411">
        <f t="shared" si="398"/>
        <v>0.13272134129680943</v>
      </c>
      <c r="AC387" s="412">
        <f t="shared" si="398"/>
        <v>0.10692058306375968</v>
      </c>
      <c r="AD387" s="411">
        <f t="shared" si="398"/>
        <v>9.8114145622246227E-2</v>
      </c>
      <c r="AE387" s="411">
        <f t="shared" si="398"/>
        <v>0.10602204517407858</v>
      </c>
      <c r="AF387" s="670">
        <f t="shared" si="398"/>
        <v>7.5693655226925921E-2</v>
      </c>
      <c r="AG387" s="72">
        <f t="shared" si="399"/>
        <v>0.10692058306375968</v>
      </c>
      <c r="AH387" s="72">
        <f t="shared" si="399"/>
        <v>9.8114145622246227E-2</v>
      </c>
      <c r="AI387" s="72">
        <f t="shared" si="399"/>
        <v>0.10602204517407858</v>
      </c>
      <c r="AJ387" s="72">
        <f t="shared" si="399"/>
        <v>7.5693655226925921E-2</v>
      </c>
      <c r="AK387" s="72">
        <f t="shared" si="399"/>
        <v>0.10692058306375968</v>
      </c>
      <c r="AL387" s="72">
        <f t="shared" si="399"/>
        <v>9.8114145622246227E-2</v>
      </c>
      <c r="AM387" s="72"/>
      <c r="AN387" s="410">
        <f t="shared" ref="AN387:AZ387" si="402">AN400/AN$160</f>
        <v>4.8303229337712091E-2</v>
      </c>
      <c r="AO387" s="410">
        <f t="shared" si="402"/>
        <v>4.9741080153582175E-2</v>
      </c>
      <c r="AP387" s="410">
        <f t="shared" si="402"/>
        <v>4.6751328913127659E-2</v>
      </c>
      <c r="AQ387" s="410">
        <f t="shared" si="402"/>
        <v>4.2281334355980991E-2</v>
      </c>
      <c r="AR387" s="410">
        <f t="shared" si="402"/>
        <v>5.1995813954553466E-2</v>
      </c>
      <c r="AS387" s="410">
        <f t="shared" si="402"/>
        <v>6.0197223567200073E-2</v>
      </c>
      <c r="AT387" s="410">
        <f t="shared" si="402"/>
        <v>9.3948356041445705E-2</v>
      </c>
      <c r="AU387" s="410">
        <f t="shared" si="402"/>
        <v>8.014938060457559E-2</v>
      </c>
      <c r="AV387" s="410">
        <f t="shared" si="402"/>
        <v>8.4362382366341443E-2</v>
      </c>
      <c r="AW387" s="410">
        <f t="shared" si="402"/>
        <v>0.15677459430079976</v>
      </c>
      <c r="AX387" s="942">
        <f t="shared" si="402"/>
        <v>9.8114145622246227E-2</v>
      </c>
      <c r="AY387" s="107">
        <f t="shared" si="402"/>
        <v>9.8114145622246227E-2</v>
      </c>
      <c r="AZ387" s="107">
        <f t="shared" si="402"/>
        <v>9.8114145622246227E-2</v>
      </c>
      <c r="BA387" s="107">
        <f t="shared" si="401"/>
        <v>9.8114145622246227E-2</v>
      </c>
      <c r="BB387" s="107">
        <f t="shared" si="401"/>
        <v>9.8114145622246227E-2</v>
      </c>
      <c r="BC387" s="107">
        <f t="shared" si="401"/>
        <v>9.8114145622246227E-2</v>
      </c>
      <c r="BD387" s="632"/>
    </row>
    <row r="388" spans="1:56" s="38" customFormat="1" x14ac:dyDescent="0.25">
      <c r="A388" s="167" t="s">
        <v>202</v>
      </c>
      <c r="B388" s="189"/>
      <c r="C388" s="411"/>
      <c r="D388" s="411"/>
      <c r="E388" s="411"/>
      <c r="F388" s="411"/>
      <c r="G388" s="411">
        <f t="shared" ref="G388:AF388" si="403">G402/(G$160+F$160+E$160+D$160)</f>
        <v>3.2782725355034022E-2</v>
      </c>
      <c r="H388" s="411">
        <f t="shared" si="403"/>
        <v>2.8266920521920882E-2</v>
      </c>
      <c r="I388" s="411">
        <f t="shared" si="403"/>
        <v>3.3029822611245076E-2</v>
      </c>
      <c r="J388" s="411">
        <f t="shared" si="403"/>
        <v>2.533539762526725E-2</v>
      </c>
      <c r="K388" s="411">
        <f t="shared" si="403"/>
        <v>3.9624228827818284E-2</v>
      </c>
      <c r="L388" s="411">
        <f t="shared" si="403"/>
        <v>3.4596836242594187E-2</v>
      </c>
      <c r="M388" s="411">
        <f t="shared" si="403"/>
        <v>3.3346351797059193E-2</v>
      </c>
      <c r="N388" s="411">
        <f t="shared" si="403"/>
        <v>1.8709716896467325E-2</v>
      </c>
      <c r="O388" s="411">
        <f t="shared" si="403"/>
        <v>2.4375334923988811E-2</v>
      </c>
      <c r="P388" s="411">
        <f t="shared" si="403"/>
        <v>2.0712917295071947E-2</v>
      </c>
      <c r="Q388" s="412">
        <f t="shared" si="403"/>
        <v>2.8645700388191312E-2</v>
      </c>
      <c r="R388" s="411">
        <f t="shared" si="403"/>
        <v>2.3403912679208824E-2</v>
      </c>
      <c r="S388" s="411">
        <f t="shared" si="403"/>
        <v>2.3185520361990949E-2</v>
      </c>
      <c r="T388" s="411">
        <f t="shared" si="403"/>
        <v>2.6497954735726401E-2</v>
      </c>
      <c r="U388" s="412">
        <f t="shared" si="403"/>
        <v>3.6373141539996989E-2</v>
      </c>
      <c r="V388" s="411">
        <f t="shared" si="403"/>
        <v>2.791000926929663E-2</v>
      </c>
      <c r="W388" s="411">
        <f t="shared" si="403"/>
        <v>3.7497582030234879E-2</v>
      </c>
      <c r="X388" s="411">
        <f t="shared" si="403"/>
        <v>2.8511266266529004E-2</v>
      </c>
      <c r="Y388" s="412">
        <f t="shared" si="403"/>
        <v>3.5913365719980071E-2</v>
      </c>
      <c r="Z388" s="411">
        <f t="shared" si="403"/>
        <v>3.697492041307554E-2</v>
      </c>
      <c r="AA388" s="411">
        <f t="shared" si="403"/>
        <v>4.8062598069112408E-2</v>
      </c>
      <c r="AB388" s="411">
        <f t="shared" si="403"/>
        <v>3.8586305730732066E-2</v>
      </c>
      <c r="AC388" s="412">
        <f t="shared" si="403"/>
        <v>4.6240651114019857E-2</v>
      </c>
      <c r="AD388" s="411">
        <f t="shared" si="403"/>
        <v>3.2771005846148574E-2</v>
      </c>
      <c r="AE388" s="411">
        <f t="shared" si="403"/>
        <v>3.7241871147950183E-2</v>
      </c>
      <c r="AF388" s="670">
        <f t="shared" si="403"/>
        <v>4.0224722925558169E-2</v>
      </c>
      <c r="AG388" s="72">
        <f t="shared" si="399"/>
        <v>4.6240651114019857E-2</v>
      </c>
      <c r="AH388" s="72">
        <f t="shared" si="399"/>
        <v>3.2771005846148574E-2</v>
      </c>
      <c r="AI388" s="72">
        <f t="shared" si="399"/>
        <v>3.7241871147950183E-2</v>
      </c>
      <c r="AJ388" s="72">
        <f t="shared" si="399"/>
        <v>4.0224722925558169E-2</v>
      </c>
      <c r="AK388" s="72">
        <f t="shared" si="399"/>
        <v>4.6240651114019857E-2</v>
      </c>
      <c r="AL388" s="72">
        <f t="shared" si="399"/>
        <v>3.2771005846148574E-2</v>
      </c>
      <c r="AM388" s="72"/>
      <c r="AN388" s="410">
        <f t="shared" ref="AN388:AZ388" si="404">AN402/AN$160</f>
        <v>2.5310162379127896E-2</v>
      </c>
      <c r="AO388" s="410">
        <f t="shared" si="404"/>
        <v>1.6770157660257152E-2</v>
      </c>
      <c r="AP388" s="410">
        <f t="shared" si="404"/>
        <v>1.8588275549499201E-2</v>
      </c>
      <c r="AQ388" s="410">
        <f t="shared" si="404"/>
        <v>2.0200611596426044E-2</v>
      </c>
      <c r="AR388" s="410">
        <f t="shared" si="404"/>
        <v>2.4390355607766624E-2</v>
      </c>
      <c r="AS388" s="410">
        <f t="shared" si="404"/>
        <v>2.533539762526725E-2</v>
      </c>
      <c r="AT388" s="410">
        <f t="shared" si="404"/>
        <v>1.8709716896467325E-2</v>
      </c>
      <c r="AU388" s="410">
        <f t="shared" si="404"/>
        <v>2.340391267920882E-2</v>
      </c>
      <c r="AV388" s="410">
        <f t="shared" si="404"/>
        <v>2.791000926929663E-2</v>
      </c>
      <c r="AW388" s="410">
        <f t="shared" si="404"/>
        <v>3.6974920413075547E-2</v>
      </c>
      <c r="AX388" s="942">
        <f t="shared" si="404"/>
        <v>3.2771005846148574E-2</v>
      </c>
      <c r="AY388" s="107">
        <f t="shared" si="404"/>
        <v>3.2771005846148574E-2</v>
      </c>
      <c r="AZ388" s="107">
        <f t="shared" si="404"/>
        <v>3.2771005846148574E-2</v>
      </c>
      <c r="BA388" s="107">
        <f t="shared" si="401"/>
        <v>3.2771005846148574E-2</v>
      </c>
      <c r="BB388" s="107">
        <f t="shared" si="401"/>
        <v>3.2771005846148574E-2</v>
      </c>
      <c r="BC388" s="107">
        <f t="shared" si="401"/>
        <v>3.2771005846148574E-2</v>
      </c>
      <c r="BD388" s="632"/>
    </row>
    <row r="389" spans="1:56" s="38" customFormat="1" x14ac:dyDescent="0.25">
      <c r="A389" s="167" t="s">
        <v>203</v>
      </c>
      <c r="B389" s="189"/>
      <c r="C389" s="411"/>
      <c r="D389" s="411"/>
      <c r="E389" s="411"/>
      <c r="F389" s="411"/>
      <c r="G389" s="411">
        <f t="shared" ref="G389:AF389" si="405">G422/(G$160+F$160+E$160+D$160)</f>
        <v>0.11870360726926098</v>
      </c>
      <c r="H389" s="411">
        <f t="shared" si="405"/>
        <v>0.12618606624380452</v>
      </c>
      <c r="I389" s="411">
        <f t="shared" si="405"/>
        <v>0.11314531461650133</v>
      </c>
      <c r="J389" s="411">
        <f t="shared" si="405"/>
        <v>0.11759689320078826</v>
      </c>
      <c r="K389" s="411">
        <f t="shared" si="405"/>
        <v>0.11302179312555083</v>
      </c>
      <c r="L389" s="411">
        <f t="shared" si="405"/>
        <v>0.1177112862177976</v>
      </c>
      <c r="M389" s="411">
        <f t="shared" si="405"/>
        <v>0.12421250222370357</v>
      </c>
      <c r="N389" s="411">
        <f t="shared" si="405"/>
        <v>0.12456351472627887</v>
      </c>
      <c r="O389" s="411">
        <f t="shared" si="405"/>
        <v>0.11625708306929948</v>
      </c>
      <c r="P389" s="411">
        <f t="shared" si="405"/>
        <v>0.11299881791872174</v>
      </c>
      <c r="Q389" s="412">
        <f t="shared" si="405"/>
        <v>0.13695127903011395</v>
      </c>
      <c r="R389" s="411">
        <f t="shared" si="405"/>
        <v>0.1316783506163377</v>
      </c>
      <c r="S389" s="411">
        <f t="shared" si="405"/>
        <v>0.12297435897435897</v>
      </c>
      <c r="T389" s="411">
        <f t="shared" si="405"/>
        <v>0.14369547536237071</v>
      </c>
      <c r="U389" s="412">
        <f t="shared" si="405"/>
        <v>0.15081942541208901</v>
      </c>
      <c r="V389" s="411">
        <f t="shared" si="405"/>
        <v>0.15372892806083172</v>
      </c>
      <c r="W389" s="411">
        <f t="shared" si="405"/>
        <v>0.14632673756772757</v>
      </c>
      <c r="X389" s="411">
        <f t="shared" si="405"/>
        <v>0.14172611374564231</v>
      </c>
      <c r="Y389" s="412">
        <f t="shared" si="405"/>
        <v>0.13900956028898853</v>
      </c>
      <c r="Z389" s="411">
        <f t="shared" si="405"/>
        <v>0.1810194890907679</v>
      </c>
      <c r="AA389" s="411">
        <f t="shared" si="405"/>
        <v>0.17401024544893232</v>
      </c>
      <c r="AB389" s="411">
        <f t="shared" si="405"/>
        <v>0.14691659805289711</v>
      </c>
      <c r="AC389" s="412">
        <f t="shared" si="405"/>
        <v>0.13859712320021686</v>
      </c>
      <c r="AD389" s="411">
        <f t="shared" si="405"/>
        <v>0.15829518764251058</v>
      </c>
      <c r="AE389" s="411">
        <f t="shared" si="405"/>
        <v>0.13166974888917635</v>
      </c>
      <c r="AF389" s="670">
        <f t="shared" si="405"/>
        <v>0.13713128440384323</v>
      </c>
      <c r="AG389" s="72">
        <f t="shared" si="399"/>
        <v>0.13859712320021686</v>
      </c>
      <c r="AH389" s="72">
        <f t="shared" si="399"/>
        <v>0.15829518764251058</v>
      </c>
      <c r="AI389" s="72">
        <f t="shared" si="399"/>
        <v>0.13166974888917635</v>
      </c>
      <c r="AJ389" s="72">
        <f t="shared" si="399"/>
        <v>0.13713128440384323</v>
      </c>
      <c r="AK389" s="72">
        <f t="shared" si="399"/>
        <v>0.13859712320021686</v>
      </c>
      <c r="AL389" s="72">
        <f t="shared" si="399"/>
        <v>0.15829518764251058</v>
      </c>
      <c r="AM389" s="72"/>
      <c r="AN389" s="410">
        <f t="shared" ref="AN389:AZ389" si="406">AN422/AN$160</f>
        <v>0.10702426564495529</v>
      </c>
      <c r="AO389" s="410">
        <f t="shared" si="406"/>
        <v>0.12578195332517719</v>
      </c>
      <c r="AP389" s="410">
        <f t="shared" si="406"/>
        <v>0.12756365426347749</v>
      </c>
      <c r="AQ389" s="410">
        <f t="shared" si="406"/>
        <v>0.11817806022332235</v>
      </c>
      <c r="AR389" s="410">
        <f t="shared" si="406"/>
        <v>0.12672405304461526</v>
      </c>
      <c r="AS389" s="410">
        <f t="shared" si="406"/>
        <v>0.11759689320078826</v>
      </c>
      <c r="AT389" s="410">
        <f t="shared" si="406"/>
        <v>0.12456351472627887</v>
      </c>
      <c r="AU389" s="410">
        <f t="shared" si="406"/>
        <v>0.13167835061633767</v>
      </c>
      <c r="AV389" s="410">
        <f t="shared" si="406"/>
        <v>0.15372892806083172</v>
      </c>
      <c r="AW389" s="410">
        <f t="shared" si="406"/>
        <v>0.18101948909076793</v>
      </c>
      <c r="AX389" s="942">
        <f t="shared" si="406"/>
        <v>0.15829518764251058</v>
      </c>
      <c r="AY389" s="107">
        <f t="shared" si="406"/>
        <v>0.15829518764251058</v>
      </c>
      <c r="AZ389" s="107">
        <f t="shared" si="406"/>
        <v>0.15829518764251058</v>
      </c>
      <c r="BA389" s="107">
        <f t="shared" si="401"/>
        <v>0.15829518764251058</v>
      </c>
      <c r="BB389" s="107">
        <f t="shared" si="401"/>
        <v>0.15829518764251058</v>
      </c>
      <c r="BC389" s="107">
        <f t="shared" si="401"/>
        <v>0.15829518764251058</v>
      </c>
      <c r="BD389" s="632"/>
    </row>
    <row r="390" spans="1:56" s="38" customFormat="1" x14ac:dyDescent="0.25">
      <c r="A390" s="167"/>
      <c r="B390" s="189"/>
      <c r="C390" s="411"/>
      <c r="D390" s="411"/>
      <c r="E390" s="411"/>
      <c r="F390" s="411"/>
      <c r="G390" s="411"/>
      <c r="H390" s="411"/>
      <c r="I390" s="411"/>
      <c r="J390" s="411"/>
      <c r="K390" s="411"/>
      <c r="L390" s="411"/>
      <c r="M390" s="411"/>
      <c r="N390" s="411"/>
      <c r="O390" s="411"/>
      <c r="P390" s="411"/>
      <c r="Q390" s="412"/>
      <c r="R390" s="411"/>
      <c r="S390" s="411"/>
      <c r="T390" s="411"/>
      <c r="U390" s="412"/>
      <c r="V390" s="411"/>
      <c r="W390" s="411"/>
      <c r="X390" s="411"/>
      <c r="Y390" s="412"/>
      <c r="Z390" s="411"/>
      <c r="AA390" s="411"/>
      <c r="AB390" s="411"/>
      <c r="AC390" s="412"/>
      <c r="AD390" s="411"/>
      <c r="AE390" s="411"/>
      <c r="AF390" s="670"/>
      <c r="AG390" s="72"/>
      <c r="AH390" s="72"/>
      <c r="AI390" s="72"/>
      <c r="AJ390" s="72"/>
      <c r="AK390" s="72"/>
      <c r="AL390" s="72"/>
      <c r="AM390" s="72"/>
      <c r="AN390" s="410"/>
      <c r="AO390" s="410"/>
      <c r="AP390" s="410"/>
      <c r="AQ390" s="410"/>
      <c r="AR390" s="410"/>
      <c r="AS390" s="410"/>
      <c r="AT390" s="410"/>
      <c r="AU390" s="410"/>
      <c r="AV390" s="410"/>
      <c r="AW390" s="410"/>
      <c r="AX390" s="942"/>
      <c r="AY390" s="107"/>
      <c r="AZ390" s="107"/>
      <c r="BA390" s="107"/>
      <c r="BB390" s="107"/>
      <c r="BC390" s="107"/>
      <c r="BD390" s="632"/>
    </row>
    <row r="391" spans="1:56" s="38" customFormat="1" x14ac:dyDescent="0.25">
      <c r="A391" s="304" t="s">
        <v>204</v>
      </c>
      <c r="B391" s="305"/>
      <c r="C391" s="444"/>
      <c r="D391" s="444"/>
      <c r="E391" s="444"/>
      <c r="F391" s="444"/>
      <c r="G391" s="444"/>
      <c r="H391" s="444"/>
      <c r="I391" s="444"/>
      <c r="J391" s="444"/>
      <c r="K391" s="444">
        <f t="shared" ref="K391:T394" si="407">K386-G386</f>
        <v>-3.6764756895392464E-2</v>
      </c>
      <c r="L391" s="444">
        <f t="shared" si="407"/>
        <v>-3.5908972732192623E-2</v>
      </c>
      <c r="M391" s="444">
        <f t="shared" si="407"/>
        <v>2.3156063780298497E-2</v>
      </c>
      <c r="N391" s="444">
        <f t="shared" si="407"/>
        <v>-1.3105936935846385E-2</v>
      </c>
      <c r="O391" s="444">
        <f t="shared" si="407"/>
        <v>2.8227798885061273E-3</v>
      </c>
      <c r="P391" s="444">
        <f t="shared" si="407"/>
        <v>-1.6555141543188989E-2</v>
      </c>
      <c r="Q391" s="445">
        <f t="shared" si="407"/>
        <v>-1.9830011901543959E-2</v>
      </c>
      <c r="R391" s="444">
        <f t="shared" si="407"/>
        <v>2.9731929050422934E-2</v>
      </c>
      <c r="S391" s="444">
        <f t="shared" si="407"/>
        <v>2.5440768014512616E-2</v>
      </c>
      <c r="T391" s="444">
        <f t="shared" si="407"/>
        <v>1.7052814436679248E-2</v>
      </c>
      <c r="U391" s="445">
        <f t="shared" ref="U391:AD394" si="408">U386-Q386</f>
        <v>7.3556398890939623E-3</v>
      </c>
      <c r="V391" s="444">
        <f t="shared" si="408"/>
        <v>1.9193470612345775E-2</v>
      </c>
      <c r="W391" s="444">
        <f t="shared" si="408"/>
        <v>8.6643034119234519E-3</v>
      </c>
      <c r="X391" s="444">
        <f t="shared" si="408"/>
        <v>1.6070939596549677E-2</v>
      </c>
      <c r="Y391" s="445">
        <f t="shared" si="408"/>
        <v>5.7430456041950517E-2</v>
      </c>
      <c r="Z391" s="444">
        <f t="shared" si="408"/>
        <v>-2.5345282644490624E-2</v>
      </c>
      <c r="AA391" s="444">
        <f t="shared" si="408"/>
        <v>-1.9288800418757329E-2</v>
      </c>
      <c r="AB391" s="444">
        <f t="shared" si="408"/>
        <v>4.1233759975323192E-3</v>
      </c>
      <c r="AC391" s="445">
        <f t="shared" si="408"/>
        <v>-4.1670899177556814E-2</v>
      </c>
      <c r="AD391" s="444">
        <f t="shared" si="408"/>
        <v>1.7039940577077251E-2</v>
      </c>
      <c r="AE391" s="444">
        <f t="shared" ref="AE391:AN394" si="409">AE386-AA386</f>
        <v>-8.9027188798654622E-3</v>
      </c>
      <c r="AF391" s="671">
        <f t="shared" si="409"/>
        <v>-2.9462168293121094E-2</v>
      </c>
      <c r="AG391" s="907">
        <f>Drivers!AG63</f>
        <v>-0.04</v>
      </c>
      <c r="AH391" s="907">
        <f>Drivers!AH63</f>
        <v>-0.02</v>
      </c>
      <c r="AI391" s="907">
        <f>Drivers!AI63</f>
        <v>0</v>
      </c>
      <c r="AJ391" s="907">
        <f>Drivers!AJ63</f>
        <v>0</v>
      </c>
      <c r="AK391" s="907">
        <f>Drivers!AK63</f>
        <v>0</v>
      </c>
      <c r="AL391" s="907">
        <f>Drivers!AL63</f>
        <v>0</v>
      </c>
      <c r="AM391" s="907"/>
      <c r="AN391" s="443"/>
      <c r="AO391" s="443">
        <f t="shared" ref="AO391:AZ391" si="410">AO386-AN386</f>
        <v>-2.321965559554795E-2</v>
      </c>
      <c r="AP391" s="443">
        <f t="shared" si="410"/>
        <v>1.7319359171934751E-2</v>
      </c>
      <c r="AQ391" s="443">
        <f t="shared" si="410"/>
        <v>6.6718249350634917E-3</v>
      </c>
      <c r="AR391" s="443">
        <f t="shared" si="410"/>
        <v>8.5977445811555586E-3</v>
      </c>
      <c r="AS391" s="443">
        <f t="shared" si="410"/>
        <v>-1.82374477520727E-2</v>
      </c>
      <c r="AT391" s="443">
        <f t="shared" si="410"/>
        <v>-1.3105936935846385E-2</v>
      </c>
      <c r="AU391" s="443">
        <f t="shared" si="410"/>
        <v>2.9731929050422906E-2</v>
      </c>
      <c r="AV391" s="443">
        <f t="shared" si="410"/>
        <v>1.9193470612345803E-2</v>
      </c>
      <c r="AW391" s="443">
        <f t="shared" si="410"/>
        <v>-2.5345282644490569E-2</v>
      </c>
      <c r="AX391" s="962">
        <f t="shared" si="410"/>
        <v>1.7039940577077195E-2</v>
      </c>
      <c r="AY391" s="306">
        <f t="shared" si="410"/>
        <v>-1.999999999999999E-2</v>
      </c>
      <c r="AZ391" s="306">
        <f t="shared" si="410"/>
        <v>0</v>
      </c>
      <c r="BA391" s="907">
        <f>Drivers!BA63</f>
        <v>0</v>
      </c>
      <c r="BB391" s="907">
        <f>Drivers!BB63</f>
        <v>0</v>
      </c>
      <c r="BC391" s="907">
        <f>Drivers!BC63</f>
        <v>0</v>
      </c>
      <c r="BD391" s="632"/>
    </row>
    <row r="392" spans="1:56" s="38" customFormat="1" x14ac:dyDescent="0.25">
      <c r="A392" s="304" t="s">
        <v>205</v>
      </c>
      <c r="B392" s="305"/>
      <c r="C392" s="444"/>
      <c r="D392" s="444"/>
      <c r="E392" s="444"/>
      <c r="F392" s="444"/>
      <c r="G392" s="444"/>
      <c r="H392" s="444"/>
      <c r="I392" s="444"/>
      <c r="J392" s="444"/>
      <c r="K392" s="444">
        <f t="shared" si="407"/>
        <v>-1.1752254904873471E-3</v>
      </c>
      <c r="L392" s="444">
        <f t="shared" si="407"/>
        <v>1.3727508414172834E-2</v>
      </c>
      <c r="M392" s="444">
        <f t="shared" si="407"/>
        <v>2.5608930663681001E-3</v>
      </c>
      <c r="N392" s="444">
        <f t="shared" si="407"/>
        <v>3.3751132474245632E-2</v>
      </c>
      <c r="O392" s="444">
        <f t="shared" si="407"/>
        <v>1.3189887302818989E-2</v>
      </c>
      <c r="P392" s="444">
        <f t="shared" si="407"/>
        <v>7.5296390260053969E-3</v>
      </c>
      <c r="Q392" s="445">
        <f t="shared" si="407"/>
        <v>2.8145649836426423E-2</v>
      </c>
      <c r="R392" s="444">
        <f t="shared" si="407"/>
        <v>-1.3798975436870115E-2</v>
      </c>
      <c r="S392" s="444">
        <f t="shared" si="407"/>
        <v>9.6957051526655735E-3</v>
      </c>
      <c r="T392" s="444">
        <f t="shared" si="407"/>
        <v>-2.4721721092825222E-3</v>
      </c>
      <c r="U392" s="445">
        <f t="shared" si="408"/>
        <v>-4.3666518415818173E-3</v>
      </c>
      <c r="V392" s="444">
        <f t="shared" si="408"/>
        <v>4.2130017617658527E-3</v>
      </c>
      <c r="W392" s="444">
        <f t="shared" si="408"/>
        <v>-1.0475262528392454E-2</v>
      </c>
      <c r="X392" s="444">
        <f t="shared" si="408"/>
        <v>-1.9883680668432158E-3</v>
      </c>
      <c r="Y392" s="445">
        <f t="shared" si="408"/>
        <v>-3.2388316951536433E-2</v>
      </c>
      <c r="Z392" s="444">
        <f t="shared" si="408"/>
        <v>7.2412211934458265E-2</v>
      </c>
      <c r="AA392" s="444">
        <f t="shared" si="408"/>
        <v>7.2680419750688993E-2</v>
      </c>
      <c r="AB392" s="444">
        <f t="shared" si="408"/>
        <v>4.4203036651673994E-2</v>
      </c>
      <c r="AC392" s="445">
        <f t="shared" si="408"/>
        <v>3.5167811514183203E-2</v>
      </c>
      <c r="AD392" s="444">
        <f t="shared" si="408"/>
        <v>-5.8660448678553481E-2</v>
      </c>
      <c r="AE392" s="444">
        <f t="shared" si="409"/>
        <v>-5.1360588166870544E-2</v>
      </c>
      <c r="AF392" s="671">
        <f t="shared" si="409"/>
        <v>-5.702768606988351E-2</v>
      </c>
      <c r="AG392" s="907">
        <f>Drivers!AG64</f>
        <v>0</v>
      </c>
      <c r="AH392" s="907">
        <f>Drivers!AH64</f>
        <v>0</v>
      </c>
      <c r="AI392" s="907">
        <f>Drivers!AI64</f>
        <v>0</v>
      </c>
      <c r="AJ392" s="907">
        <f>Drivers!AJ64</f>
        <v>0</v>
      </c>
      <c r="AK392" s="907">
        <f>Drivers!AK64</f>
        <v>0</v>
      </c>
      <c r="AL392" s="907">
        <f>Drivers!AL64</f>
        <v>0</v>
      </c>
      <c r="AM392" s="907"/>
      <c r="AN392" s="443"/>
      <c r="AO392" s="443">
        <f t="shared" ref="AO392:AZ392" si="411">AO387-AN387</f>
        <v>1.4378508158700842E-3</v>
      </c>
      <c r="AP392" s="443">
        <f t="shared" si="411"/>
        <v>-2.9897512404545162E-3</v>
      </c>
      <c r="AQ392" s="443">
        <f t="shared" si="411"/>
        <v>-4.469994557146667E-3</v>
      </c>
      <c r="AR392" s="443">
        <f t="shared" si="411"/>
        <v>9.7144795985724744E-3</v>
      </c>
      <c r="AS392" s="443">
        <f t="shared" si="411"/>
        <v>8.2014096126466068E-3</v>
      </c>
      <c r="AT392" s="443">
        <f t="shared" si="411"/>
        <v>3.3751132474245632E-2</v>
      </c>
      <c r="AU392" s="443">
        <f t="shared" si="411"/>
        <v>-1.3798975436870115E-2</v>
      </c>
      <c r="AV392" s="443">
        <f t="shared" si="411"/>
        <v>4.2130017617658527E-3</v>
      </c>
      <c r="AW392" s="443">
        <f t="shared" si="411"/>
        <v>7.241221193445832E-2</v>
      </c>
      <c r="AX392" s="962">
        <f t="shared" si="411"/>
        <v>-5.8660448678553537E-2</v>
      </c>
      <c r="AY392" s="306">
        <f t="shared" si="411"/>
        <v>0</v>
      </c>
      <c r="AZ392" s="306">
        <f t="shared" si="411"/>
        <v>0</v>
      </c>
      <c r="BA392" s="907">
        <f>Drivers!BA64</f>
        <v>0</v>
      </c>
      <c r="BB392" s="907">
        <f>Drivers!BB64</f>
        <v>0</v>
      </c>
      <c r="BC392" s="907">
        <f>Drivers!BC64</f>
        <v>0</v>
      </c>
      <c r="BD392" s="632"/>
    </row>
    <row r="393" spans="1:56" s="38" customFormat="1" x14ac:dyDescent="0.25">
      <c r="A393" s="304" t="s">
        <v>206</v>
      </c>
      <c r="B393" s="305"/>
      <c r="C393" s="444"/>
      <c r="D393" s="444"/>
      <c r="E393" s="444"/>
      <c r="F393" s="444"/>
      <c r="G393" s="444"/>
      <c r="H393" s="444"/>
      <c r="I393" s="444"/>
      <c r="J393" s="444"/>
      <c r="K393" s="444">
        <f t="shared" si="407"/>
        <v>6.8415034727842619E-3</v>
      </c>
      <c r="L393" s="444">
        <f t="shared" si="407"/>
        <v>6.3299157206733042E-3</v>
      </c>
      <c r="M393" s="444">
        <f t="shared" si="407"/>
        <v>3.1652918581411699E-4</v>
      </c>
      <c r="N393" s="444">
        <f t="shared" si="407"/>
        <v>-6.625680728799925E-3</v>
      </c>
      <c r="O393" s="444">
        <f t="shared" si="407"/>
        <v>-1.5248893903829473E-2</v>
      </c>
      <c r="P393" s="444">
        <f t="shared" si="407"/>
        <v>-1.388391894752224E-2</v>
      </c>
      <c r="Q393" s="445">
        <f t="shared" si="407"/>
        <v>-4.7006514088678807E-3</v>
      </c>
      <c r="R393" s="444">
        <f t="shared" si="407"/>
        <v>4.6941957827414983E-3</v>
      </c>
      <c r="S393" s="444">
        <f t="shared" si="407"/>
        <v>-1.1898145619978623E-3</v>
      </c>
      <c r="T393" s="444">
        <f t="shared" si="407"/>
        <v>5.7850374406544537E-3</v>
      </c>
      <c r="U393" s="445">
        <f t="shared" si="408"/>
        <v>7.7274411518056772E-3</v>
      </c>
      <c r="V393" s="444">
        <f t="shared" si="408"/>
        <v>4.5060965900878061E-3</v>
      </c>
      <c r="W393" s="444">
        <f t="shared" si="408"/>
        <v>1.431206166824393E-2</v>
      </c>
      <c r="X393" s="444">
        <f t="shared" si="408"/>
        <v>2.0133115308026035E-3</v>
      </c>
      <c r="Y393" s="445">
        <f t="shared" si="408"/>
        <v>-4.5977582001691802E-4</v>
      </c>
      <c r="Z393" s="444">
        <f t="shared" si="408"/>
        <v>9.0649111437789108E-3</v>
      </c>
      <c r="AA393" s="444">
        <f t="shared" si="408"/>
        <v>1.056501603887753E-2</v>
      </c>
      <c r="AB393" s="444">
        <f t="shared" si="408"/>
        <v>1.0075039464203062E-2</v>
      </c>
      <c r="AC393" s="445">
        <f t="shared" si="408"/>
        <v>1.0327285394039785E-2</v>
      </c>
      <c r="AD393" s="444">
        <f t="shared" si="408"/>
        <v>-4.2039145669269667E-3</v>
      </c>
      <c r="AE393" s="444">
        <f t="shared" si="409"/>
        <v>-1.0820726921162226E-2</v>
      </c>
      <c r="AF393" s="671">
        <f t="shared" si="409"/>
        <v>1.6384171948261028E-3</v>
      </c>
      <c r="AG393" s="907">
        <f>Drivers!AG65</f>
        <v>0</v>
      </c>
      <c r="AH393" s="907">
        <f>Drivers!AH65</f>
        <v>0</v>
      </c>
      <c r="AI393" s="907">
        <f>Drivers!AI65</f>
        <v>0</v>
      </c>
      <c r="AJ393" s="907">
        <f>Drivers!AJ65</f>
        <v>0</v>
      </c>
      <c r="AK393" s="907">
        <f>Drivers!AK65</f>
        <v>0</v>
      </c>
      <c r="AL393" s="907">
        <f>Drivers!AL65</f>
        <v>0</v>
      </c>
      <c r="AM393" s="907"/>
      <c r="AN393" s="443"/>
      <c r="AO393" s="443">
        <f t="shared" ref="AO393:AZ393" si="412">AO388-AN388</f>
        <v>-8.5400047188707445E-3</v>
      </c>
      <c r="AP393" s="443">
        <f t="shared" si="412"/>
        <v>1.8181178892420491E-3</v>
      </c>
      <c r="AQ393" s="443">
        <f t="shared" si="412"/>
        <v>1.6123360469268433E-3</v>
      </c>
      <c r="AR393" s="443">
        <f t="shared" si="412"/>
        <v>4.18974401134058E-3</v>
      </c>
      <c r="AS393" s="443">
        <f t="shared" si="412"/>
        <v>9.4504201750062605E-4</v>
      </c>
      <c r="AT393" s="443">
        <f t="shared" si="412"/>
        <v>-6.625680728799925E-3</v>
      </c>
      <c r="AU393" s="443">
        <f t="shared" si="412"/>
        <v>4.6941957827414948E-3</v>
      </c>
      <c r="AV393" s="443">
        <f t="shared" si="412"/>
        <v>4.5060965900878096E-3</v>
      </c>
      <c r="AW393" s="443">
        <f t="shared" si="412"/>
        <v>9.0649111437789177E-3</v>
      </c>
      <c r="AX393" s="962">
        <f t="shared" si="412"/>
        <v>-4.2039145669269737E-3</v>
      </c>
      <c r="AY393" s="306">
        <f t="shared" si="412"/>
        <v>0</v>
      </c>
      <c r="AZ393" s="306">
        <f t="shared" si="412"/>
        <v>0</v>
      </c>
      <c r="BA393" s="907">
        <f>Drivers!BA65</f>
        <v>0</v>
      </c>
      <c r="BB393" s="907">
        <f>Drivers!BB65</f>
        <v>0</v>
      </c>
      <c r="BC393" s="907">
        <f>Drivers!BC65</f>
        <v>0</v>
      </c>
      <c r="BD393" s="632"/>
    </row>
    <row r="394" spans="1:56" s="38" customFormat="1" x14ac:dyDescent="0.25">
      <c r="A394" s="304" t="s">
        <v>207</v>
      </c>
      <c r="B394" s="305"/>
      <c r="C394" s="444"/>
      <c r="D394" s="444"/>
      <c r="E394" s="444"/>
      <c r="F394" s="444"/>
      <c r="G394" s="444"/>
      <c r="H394" s="444"/>
      <c r="I394" s="444"/>
      <c r="J394" s="444"/>
      <c r="K394" s="444">
        <f t="shared" si="407"/>
        <v>-5.6818141437101483E-3</v>
      </c>
      <c r="L394" s="444">
        <f t="shared" si="407"/>
        <v>-8.47478002600692E-3</v>
      </c>
      <c r="M394" s="444">
        <f t="shared" si="407"/>
        <v>1.1067187607202239E-2</v>
      </c>
      <c r="N394" s="444">
        <f t="shared" si="407"/>
        <v>6.9666215254906155E-3</v>
      </c>
      <c r="O394" s="444">
        <f t="shared" si="407"/>
        <v>3.235289943748651E-3</v>
      </c>
      <c r="P394" s="444">
        <f t="shared" si="407"/>
        <v>-4.7124682990758587E-3</v>
      </c>
      <c r="Q394" s="445">
        <f t="shared" si="407"/>
        <v>1.2738776806410376E-2</v>
      </c>
      <c r="R394" s="444">
        <f t="shared" si="407"/>
        <v>7.1148358900588321E-3</v>
      </c>
      <c r="S394" s="444">
        <f t="shared" si="407"/>
        <v>6.7172759050594943E-3</v>
      </c>
      <c r="T394" s="444">
        <f t="shared" si="407"/>
        <v>3.0696657443648967E-2</v>
      </c>
      <c r="U394" s="445">
        <f t="shared" si="408"/>
        <v>1.3868146381975061E-2</v>
      </c>
      <c r="V394" s="444">
        <f t="shared" si="408"/>
        <v>2.2050577444494013E-2</v>
      </c>
      <c r="W394" s="444">
        <f t="shared" si="408"/>
        <v>2.3352378593368597E-2</v>
      </c>
      <c r="X394" s="444">
        <f t="shared" si="408"/>
        <v>-1.9693616167283934E-3</v>
      </c>
      <c r="Y394" s="445">
        <f t="shared" si="408"/>
        <v>-1.1809865123100477E-2</v>
      </c>
      <c r="Z394" s="444">
        <f t="shared" si="408"/>
        <v>2.7290561029936183E-2</v>
      </c>
      <c r="AA394" s="444">
        <f t="shared" si="408"/>
        <v>2.7683507881204744E-2</v>
      </c>
      <c r="AB394" s="444">
        <f t="shared" si="408"/>
        <v>5.1904843072548001E-3</v>
      </c>
      <c r="AC394" s="445">
        <f t="shared" si="408"/>
        <v>-4.1243708877167218E-4</v>
      </c>
      <c r="AD394" s="444">
        <f t="shared" si="408"/>
        <v>-2.2724301448257322E-2</v>
      </c>
      <c r="AE394" s="444">
        <f t="shared" si="409"/>
        <v>-4.2340496559755969E-2</v>
      </c>
      <c r="AF394" s="671">
        <f t="shared" si="409"/>
        <v>-9.7853136490538839E-3</v>
      </c>
      <c r="AG394" s="907">
        <f>Drivers!AG66</f>
        <v>0</v>
      </c>
      <c r="AH394" s="907">
        <f>Drivers!AH66</f>
        <v>0</v>
      </c>
      <c r="AI394" s="907">
        <f>Drivers!AI66</f>
        <v>0</v>
      </c>
      <c r="AJ394" s="907">
        <f>Drivers!AJ66</f>
        <v>0</v>
      </c>
      <c r="AK394" s="907">
        <f>Drivers!AK66</f>
        <v>0</v>
      </c>
      <c r="AL394" s="907">
        <f>Drivers!AL66</f>
        <v>0</v>
      </c>
      <c r="AM394" s="907"/>
      <c r="AN394" s="443"/>
      <c r="AO394" s="443">
        <f t="shared" ref="AO394:AZ394" si="413">AO389-AN389</f>
        <v>1.8757687680221902E-2</v>
      </c>
      <c r="AP394" s="443">
        <f t="shared" si="413"/>
        <v>1.7817009383002957E-3</v>
      </c>
      <c r="AQ394" s="443">
        <f t="shared" si="413"/>
        <v>-9.3855940401551402E-3</v>
      </c>
      <c r="AR394" s="443">
        <f t="shared" si="413"/>
        <v>8.5459928212929109E-3</v>
      </c>
      <c r="AS394" s="443">
        <f t="shared" si="413"/>
        <v>-9.1271598438270041E-3</v>
      </c>
      <c r="AT394" s="443">
        <f t="shared" si="413"/>
        <v>6.9666215254906155E-3</v>
      </c>
      <c r="AU394" s="443">
        <f t="shared" si="413"/>
        <v>7.1148358900588043E-3</v>
      </c>
      <c r="AV394" s="443">
        <f t="shared" si="413"/>
        <v>2.2050577444494041E-2</v>
      </c>
      <c r="AW394" s="443">
        <f t="shared" si="413"/>
        <v>2.7290561029936211E-2</v>
      </c>
      <c r="AX394" s="962">
        <f t="shared" si="413"/>
        <v>-2.272430144825735E-2</v>
      </c>
      <c r="AY394" s="306">
        <f t="shared" si="413"/>
        <v>0</v>
      </c>
      <c r="AZ394" s="306">
        <f t="shared" si="413"/>
        <v>0</v>
      </c>
      <c r="BA394" s="907">
        <f>Drivers!BA66</f>
        <v>0</v>
      </c>
      <c r="BB394" s="907">
        <f>Drivers!BB66</f>
        <v>0</v>
      </c>
      <c r="BC394" s="907">
        <f>Drivers!BC66</f>
        <v>0</v>
      </c>
      <c r="BD394" s="632"/>
    </row>
    <row r="395" spans="1:56" s="38" customFormat="1" x14ac:dyDescent="0.25">
      <c r="A395" s="300"/>
      <c r="B395" s="301"/>
      <c r="C395" s="447"/>
      <c r="D395" s="447"/>
      <c r="E395" s="447"/>
      <c r="F395" s="447"/>
      <c r="G395" s="447"/>
      <c r="H395" s="447"/>
      <c r="I395" s="447"/>
      <c r="J395" s="447"/>
      <c r="K395" s="447"/>
      <c r="L395" s="447"/>
      <c r="M395" s="447"/>
      <c r="N395" s="447"/>
      <c r="O395" s="447"/>
      <c r="P395" s="447"/>
      <c r="Q395" s="448"/>
      <c r="R395" s="447"/>
      <c r="S395" s="447"/>
      <c r="T395" s="447"/>
      <c r="U395" s="448"/>
      <c r="V395" s="447"/>
      <c r="W395" s="447"/>
      <c r="X395" s="447"/>
      <c r="Y395" s="448"/>
      <c r="Z395" s="447"/>
      <c r="AA395" s="447"/>
      <c r="AB395" s="447"/>
      <c r="AC395" s="448"/>
      <c r="AD395" s="447"/>
      <c r="AE395" s="447"/>
      <c r="AF395" s="672"/>
      <c r="AG395" s="303"/>
      <c r="AH395" s="303"/>
      <c r="AI395" s="303"/>
      <c r="AJ395" s="303"/>
      <c r="AK395" s="303"/>
      <c r="AL395" s="303"/>
      <c r="AM395" s="303"/>
      <c r="AN395" s="446"/>
      <c r="AO395" s="446"/>
      <c r="AP395" s="446"/>
      <c r="AQ395" s="446"/>
      <c r="AR395" s="446"/>
      <c r="AS395" s="446"/>
      <c r="AT395" s="446"/>
      <c r="AU395" s="446"/>
      <c r="AV395" s="446"/>
      <c r="AW395" s="446"/>
      <c r="AX395" s="963"/>
      <c r="AY395" s="302"/>
      <c r="AZ395" s="302"/>
      <c r="BA395" s="302"/>
      <c r="BB395" s="302"/>
      <c r="BC395" s="302"/>
      <c r="BD395" s="632"/>
    </row>
    <row r="396" spans="1:56" s="38" customFormat="1" x14ac:dyDescent="0.25">
      <c r="A396" s="626" t="s">
        <v>208</v>
      </c>
      <c r="B396" s="626"/>
      <c r="C396" s="719"/>
      <c r="D396" s="719"/>
      <c r="E396" s="719"/>
      <c r="F396" s="719"/>
      <c r="G396" s="719"/>
      <c r="H396" s="719"/>
      <c r="I396" s="719"/>
      <c r="J396" s="719"/>
      <c r="K396" s="719"/>
      <c r="L396" s="719"/>
      <c r="M396" s="719"/>
      <c r="N396" s="719"/>
      <c r="O396" s="719"/>
      <c r="P396" s="719"/>
      <c r="Q396" s="719"/>
      <c r="R396" s="719"/>
      <c r="S396" s="719"/>
      <c r="T396" s="719"/>
      <c r="U396" s="719"/>
      <c r="V396" s="719"/>
      <c r="W396" s="719"/>
      <c r="X396" s="719"/>
      <c r="Y396" s="719"/>
      <c r="Z396" s="719"/>
      <c r="AA396" s="719"/>
      <c r="AB396" s="719"/>
      <c r="AC396" s="719"/>
      <c r="AD396" s="719"/>
      <c r="AE396" s="719"/>
      <c r="AF396" s="720"/>
      <c r="AG396" s="721"/>
      <c r="AH396" s="721"/>
      <c r="AI396" s="721"/>
      <c r="AJ396" s="721"/>
      <c r="AK396" s="721"/>
      <c r="AL396" s="721"/>
      <c r="AM396" s="721"/>
      <c r="AN396" s="719"/>
      <c r="AO396" s="719"/>
      <c r="AP396" s="719"/>
      <c r="AQ396" s="719"/>
      <c r="AR396" s="719"/>
      <c r="AS396" s="719"/>
      <c r="AT396" s="719"/>
      <c r="AU396" s="719"/>
      <c r="AV396" s="719"/>
      <c r="AW396" s="719"/>
      <c r="AX396" s="720"/>
      <c r="AY396" s="721"/>
      <c r="AZ396" s="721"/>
      <c r="BA396" s="721"/>
      <c r="BB396" s="721"/>
      <c r="BC396" s="721"/>
      <c r="BD396" s="632"/>
    </row>
    <row r="397" spans="1:56" s="38" customFormat="1" x14ac:dyDescent="0.25">
      <c r="A397" s="162" t="s">
        <v>209</v>
      </c>
      <c r="B397" s="187"/>
      <c r="C397" s="740"/>
      <c r="D397" s="740"/>
      <c r="E397" s="740"/>
      <c r="F397" s="740"/>
      <c r="G397" s="740"/>
      <c r="H397" s="740"/>
      <c r="I397" s="740"/>
      <c r="J397" s="740"/>
      <c r="K397" s="740"/>
      <c r="L397" s="740"/>
      <c r="M397" s="740"/>
      <c r="N397" s="740"/>
      <c r="O397" s="740"/>
      <c r="P397" s="740"/>
      <c r="Q397" s="754"/>
      <c r="R397" s="740"/>
      <c r="S397" s="740"/>
      <c r="T397" s="740"/>
      <c r="U397" s="754"/>
      <c r="V397" s="740"/>
      <c r="W397" s="740"/>
      <c r="X397" s="740"/>
      <c r="Y397" s="754"/>
      <c r="Z397" s="740"/>
      <c r="AA397" s="740"/>
      <c r="AB397" s="740"/>
      <c r="AC397" s="754"/>
      <c r="AD397" s="740"/>
      <c r="AE397" s="740"/>
      <c r="AF397" s="741"/>
      <c r="AG397" s="742"/>
      <c r="AH397" s="742"/>
      <c r="AI397" s="742"/>
      <c r="AJ397" s="742"/>
      <c r="AK397" s="742"/>
      <c r="AL397" s="742"/>
      <c r="AM397" s="742"/>
      <c r="AN397" s="739"/>
      <c r="AO397" s="739"/>
      <c r="AP397" s="739"/>
      <c r="AQ397" s="739"/>
      <c r="AR397" s="739"/>
      <c r="AS397" s="739"/>
      <c r="AT397" s="739"/>
      <c r="AU397" s="739"/>
      <c r="AV397" s="739"/>
      <c r="AW397" s="739"/>
      <c r="AX397" s="934"/>
      <c r="AY397" s="743"/>
      <c r="AZ397" s="743"/>
      <c r="BA397" s="743"/>
      <c r="BB397" s="743"/>
      <c r="BC397" s="743"/>
      <c r="BD397" s="632"/>
    </row>
    <row r="398" spans="1:56" s="39" customFormat="1" x14ac:dyDescent="0.25">
      <c r="A398" s="75" t="s">
        <v>210</v>
      </c>
      <c r="B398" s="171"/>
      <c r="C398" s="723">
        <v>11.047000000000001</v>
      </c>
      <c r="D398" s="723">
        <v>5.1920000000000002</v>
      </c>
      <c r="E398" s="723">
        <v>4.3730000000000002</v>
      </c>
      <c r="F398" s="723">
        <f>AR398</f>
        <v>5.6470000000000002</v>
      </c>
      <c r="G398" s="723">
        <v>5.2270000000000003</v>
      </c>
      <c r="H398" s="723">
        <v>6.0259999999999998</v>
      </c>
      <c r="I398" s="723">
        <v>9.1180000000000003</v>
      </c>
      <c r="J398" s="723">
        <f>AS398</f>
        <v>14.541</v>
      </c>
      <c r="K398" s="723">
        <v>12.135</v>
      </c>
      <c r="L398" s="723">
        <v>12.34</v>
      </c>
      <c r="M398" s="723">
        <v>13.631</v>
      </c>
      <c r="N398" s="723">
        <f>AT398</f>
        <v>21.03</v>
      </c>
      <c r="O398" s="723">
        <v>16.47</v>
      </c>
      <c r="P398" s="723">
        <v>14.86</v>
      </c>
      <c r="Q398" s="723">
        <v>15.695</v>
      </c>
      <c r="R398" s="723">
        <f>AU398</f>
        <v>16.346</v>
      </c>
      <c r="S398" s="723">
        <v>15.452</v>
      </c>
      <c r="T398" s="723">
        <v>23.713999999999999</v>
      </c>
      <c r="U398" s="723">
        <v>18.02</v>
      </c>
      <c r="V398" s="725">
        <f>AV398</f>
        <v>23.611999999999998</v>
      </c>
      <c r="W398" s="723">
        <v>16.945</v>
      </c>
      <c r="X398" s="723">
        <v>14.134</v>
      </c>
      <c r="Y398" s="723">
        <v>10.323</v>
      </c>
      <c r="Z398" s="725">
        <f>AW398</f>
        <v>13.417</v>
      </c>
      <c r="AA398" s="723">
        <v>8.4269999999999996</v>
      </c>
      <c r="AB398" s="723">
        <v>6.1109999999999998</v>
      </c>
      <c r="AC398" s="723">
        <v>7.7389999999999999</v>
      </c>
      <c r="AD398" s="725">
        <f>AX398</f>
        <v>8.1590000000000007</v>
      </c>
      <c r="AE398" s="723">
        <v>9.0250000000000004</v>
      </c>
      <c r="AF398" s="727">
        <v>12.097</v>
      </c>
      <c r="AG398" s="730">
        <f ca="1">AF398+AG378</f>
        <v>10.89746852890833</v>
      </c>
      <c r="AH398" s="730">
        <f ca="1">AG398+AH378</f>
        <v>19.621465831161704</v>
      </c>
      <c r="AI398" s="730">
        <f ca="1">AY398+AI378</f>
        <v>14.278098288899596</v>
      </c>
      <c r="AJ398" s="730">
        <f ca="1">AI398+AJ378</f>
        <v>28.908349917226953</v>
      </c>
      <c r="AK398" s="730">
        <f ca="1">AJ398+AK378</f>
        <v>25.954825680337841</v>
      </c>
      <c r="AL398" s="730">
        <f ca="1">AK398+AL378</f>
        <v>34.391001674894277</v>
      </c>
      <c r="AM398" s="730"/>
      <c r="AN398" s="722">
        <v>10.803000000000001</v>
      </c>
      <c r="AO398" s="722">
        <v>28.902000000000001</v>
      </c>
      <c r="AP398" s="722">
        <v>4.1509999999999998</v>
      </c>
      <c r="AQ398" s="722">
        <v>7.7610000000000001</v>
      </c>
      <c r="AR398" s="722">
        <v>5.6470000000000002</v>
      </c>
      <c r="AS398" s="722">
        <v>14.541</v>
      </c>
      <c r="AT398" s="722">
        <v>21.03</v>
      </c>
      <c r="AU398" s="722">
        <v>16.346</v>
      </c>
      <c r="AV398" s="726">
        <v>23.611999999999998</v>
      </c>
      <c r="AW398" s="726">
        <v>13.417</v>
      </c>
      <c r="AX398" s="925">
        <v>8.1590000000000007</v>
      </c>
      <c r="AY398" s="729">
        <f ca="1">AH398</f>
        <v>19.621465831161704</v>
      </c>
      <c r="AZ398" s="729">
        <f ca="1">AL398</f>
        <v>34.391001674894277</v>
      </c>
      <c r="BA398" s="729">
        <f ca="1">AZ398+BA378</f>
        <v>53.42996097664976</v>
      </c>
      <c r="BB398" s="729">
        <f ca="1">BA398+BB378</f>
        <v>79.0544755300444</v>
      </c>
      <c r="BC398" s="729">
        <f ca="1">BB398+BC378</f>
        <v>111.15367088258914</v>
      </c>
      <c r="BD398" s="631"/>
    </row>
    <row r="399" spans="1:56" s="39" customFormat="1" x14ac:dyDescent="0.25">
      <c r="A399" s="75" t="s">
        <v>158</v>
      </c>
      <c r="B399" s="171"/>
      <c r="C399" s="723">
        <v>70.887</v>
      </c>
      <c r="D399" s="723">
        <v>79.231999999999999</v>
      </c>
      <c r="E399" s="723">
        <v>84.100999999999999</v>
      </c>
      <c r="F399" s="723">
        <f>AR399</f>
        <v>94.662000000000006</v>
      </c>
      <c r="G399" s="723">
        <v>95.242000000000004</v>
      </c>
      <c r="H399" s="723">
        <v>112.807</v>
      </c>
      <c r="I399" s="723">
        <v>89.063999999999993</v>
      </c>
      <c r="J399" s="723">
        <f>AS399</f>
        <v>99.638000000000005</v>
      </c>
      <c r="K399" s="723">
        <v>86.563999999999993</v>
      </c>
      <c r="L399" s="723">
        <v>96.793000000000006</v>
      </c>
      <c r="M399" s="723">
        <v>99.516000000000005</v>
      </c>
      <c r="N399" s="723">
        <f>AT399</f>
        <v>90.912000000000006</v>
      </c>
      <c r="O399" s="723">
        <v>86.483000000000004</v>
      </c>
      <c r="P399" s="723">
        <v>88.802999999999997</v>
      </c>
      <c r="Q399" s="723">
        <v>89.938999999999993</v>
      </c>
      <c r="R399" s="723">
        <f>AU399</f>
        <v>105.54900000000001</v>
      </c>
      <c r="S399" s="723">
        <v>100.273</v>
      </c>
      <c r="T399" s="723">
        <v>99.587999999999994</v>
      </c>
      <c r="U399" s="723">
        <v>96.46</v>
      </c>
      <c r="V399" s="725">
        <f>AV399</f>
        <v>119.33499999999999</v>
      </c>
      <c r="W399" s="723">
        <v>107.64</v>
      </c>
      <c r="X399" s="723">
        <v>110.122</v>
      </c>
      <c r="Y399" s="723">
        <v>127.649</v>
      </c>
      <c r="Z399" s="725">
        <f>AW399</f>
        <v>107.673</v>
      </c>
      <c r="AA399" s="723">
        <v>101.17</v>
      </c>
      <c r="AB399" s="723">
        <v>119.008</v>
      </c>
      <c r="AC399" s="723">
        <v>115.95099999999999</v>
      </c>
      <c r="AD399" s="725">
        <f>AX399</f>
        <v>131.852</v>
      </c>
      <c r="AE399" s="723">
        <v>104.19499999999999</v>
      </c>
      <c r="AF399" s="727">
        <v>99.828000000000003</v>
      </c>
      <c r="AG399" s="730">
        <f t="shared" ref="AG399:AL400" si="414">(AG$160+AF$160+AE$160+AD$160)*AG386</f>
        <v>86.693126118531566</v>
      </c>
      <c r="AH399" s="730">
        <f t="shared" si="414"/>
        <v>105.37850354883507</v>
      </c>
      <c r="AI399" s="730">
        <f t="shared" si="414"/>
        <v>94.780203025792787</v>
      </c>
      <c r="AJ399" s="730">
        <f t="shared" si="414"/>
        <v>102.24104721306888</v>
      </c>
      <c r="AK399" s="730">
        <f t="shared" si="414"/>
        <v>90.710358140846921</v>
      </c>
      <c r="AL399" s="730">
        <f t="shared" si="414"/>
        <v>112.63077816190234</v>
      </c>
      <c r="AM399" s="730"/>
      <c r="AN399" s="722">
        <v>45.470999999999997</v>
      </c>
      <c r="AO399" s="722">
        <v>47.874000000000002</v>
      </c>
      <c r="AP399" s="722">
        <v>67.134</v>
      </c>
      <c r="AQ399" s="722">
        <v>83.596999999999994</v>
      </c>
      <c r="AR399" s="722">
        <v>94.662000000000006</v>
      </c>
      <c r="AS399" s="722">
        <v>99.638000000000005</v>
      </c>
      <c r="AT399" s="722">
        <v>90.912000000000006</v>
      </c>
      <c r="AU399" s="722">
        <v>105.54900000000001</v>
      </c>
      <c r="AV399" s="726">
        <v>119.33499999999999</v>
      </c>
      <c r="AW399" s="726">
        <v>107.673</v>
      </c>
      <c r="AX399" s="925">
        <v>131.852</v>
      </c>
      <c r="AY399" s="729">
        <f>AH399</f>
        <v>105.37850354883507</v>
      </c>
      <c r="AZ399" s="729">
        <f>AL399</f>
        <v>112.63077816190234</v>
      </c>
      <c r="BA399" s="729">
        <f>BA160*BA386</f>
        <v>123.89385597809257</v>
      </c>
      <c r="BB399" s="729">
        <f>BB160*BB386</f>
        <v>136.28324157590185</v>
      </c>
      <c r="BC399" s="729">
        <f>BC160*BC386</f>
        <v>143.09740365469693</v>
      </c>
      <c r="BD399" s="631"/>
    </row>
    <row r="400" spans="1:56" s="39" customFormat="1" x14ac:dyDescent="0.25">
      <c r="A400" s="75" t="s">
        <v>211</v>
      </c>
      <c r="B400" s="171"/>
      <c r="C400" s="723">
        <v>20.866</v>
      </c>
      <c r="D400" s="723">
        <v>21.841000000000001</v>
      </c>
      <c r="E400" s="723">
        <v>26.916</v>
      </c>
      <c r="F400" s="723">
        <f>AR400</f>
        <v>22.706</v>
      </c>
      <c r="G400" s="723">
        <v>33.295000000000002</v>
      </c>
      <c r="H400" s="723">
        <v>34.656999999999996</v>
      </c>
      <c r="I400" s="723">
        <v>38.424999999999997</v>
      </c>
      <c r="J400" s="723">
        <f>AS400</f>
        <v>30.210999999999999</v>
      </c>
      <c r="K400" s="723">
        <v>36.091000000000001</v>
      </c>
      <c r="L400" s="723">
        <v>41.869</v>
      </c>
      <c r="M400" s="723">
        <v>39.301000000000002</v>
      </c>
      <c r="N400" s="723">
        <f>AT400</f>
        <v>46.061</v>
      </c>
      <c r="O400" s="723">
        <v>41.953000000000003</v>
      </c>
      <c r="P400" s="723">
        <v>45.621000000000002</v>
      </c>
      <c r="Q400" s="723">
        <v>53.137</v>
      </c>
      <c r="R400" s="723">
        <f>AU400</f>
        <v>39.317999999999998</v>
      </c>
      <c r="S400" s="723">
        <v>47.326999999999998</v>
      </c>
      <c r="T400" s="723">
        <v>45.512999999999998</v>
      </c>
      <c r="U400" s="723">
        <v>52.59</v>
      </c>
      <c r="V400" s="725">
        <f>AV400</f>
        <v>42.957999999999998</v>
      </c>
      <c r="W400" s="723">
        <v>43.35</v>
      </c>
      <c r="X400" s="723">
        <v>45.527000000000001</v>
      </c>
      <c r="Y400" s="723">
        <v>36.866</v>
      </c>
      <c r="Z400" s="725">
        <f>AW400</f>
        <v>80.763999999999996</v>
      </c>
      <c r="AA400" s="723">
        <v>83.35</v>
      </c>
      <c r="AB400" s="723">
        <v>72.376000000000005</v>
      </c>
      <c r="AC400" s="723">
        <v>59.957000000000001</v>
      </c>
      <c r="AD400" s="725">
        <f>AX400</f>
        <v>57.228999999999999</v>
      </c>
      <c r="AE400" s="723">
        <v>60.655000000000001</v>
      </c>
      <c r="AF400" s="727">
        <v>40.029000000000003</v>
      </c>
      <c r="AG400" s="730">
        <f t="shared" si="414"/>
        <v>55.579885170535803</v>
      </c>
      <c r="AH400" s="730">
        <f t="shared" si="414"/>
        <v>50.178026924857278</v>
      </c>
      <c r="AI400" s="730">
        <f t="shared" si="414"/>
        <v>55.174367431541455</v>
      </c>
      <c r="AJ400" s="730">
        <f t="shared" si="414"/>
        <v>40.996582911527177</v>
      </c>
      <c r="AK400" s="730">
        <f t="shared" si="414"/>
        <v>58.155375344905686</v>
      </c>
      <c r="AL400" s="730">
        <f t="shared" si="414"/>
        <v>53.631338734626006</v>
      </c>
      <c r="AM400" s="730"/>
      <c r="AN400" s="722">
        <v>10.59</v>
      </c>
      <c r="AO400" s="722">
        <v>12.929</v>
      </c>
      <c r="AP400" s="722">
        <v>15.576000000000001</v>
      </c>
      <c r="AQ400" s="722">
        <v>16.978999999999999</v>
      </c>
      <c r="AR400" s="722">
        <v>22.706</v>
      </c>
      <c r="AS400" s="722">
        <v>30.210999999999999</v>
      </c>
      <c r="AT400" s="722">
        <v>46.061</v>
      </c>
      <c r="AU400" s="722">
        <v>39.317999999999998</v>
      </c>
      <c r="AV400" s="726">
        <v>42.957999999999998</v>
      </c>
      <c r="AW400" s="726">
        <v>80.763999999999996</v>
      </c>
      <c r="AX400" s="925">
        <v>57.228999999999999</v>
      </c>
      <c r="AY400" s="729">
        <f>AH400</f>
        <v>50.178026924857278</v>
      </c>
      <c r="AZ400" s="729">
        <f>AL400</f>
        <v>53.631338734626006</v>
      </c>
      <c r="BA400" s="729">
        <f>BA160*BA387</f>
        <v>58.994472608088607</v>
      </c>
      <c r="BB400" s="729">
        <f>BB160*BB387</f>
        <v>64.893919868897484</v>
      </c>
      <c r="BC400" s="729">
        <f>BC160*BC387</f>
        <v>68.138615862342348</v>
      </c>
      <c r="BD400" s="631"/>
    </row>
    <row r="401" spans="1:56" s="39" customFormat="1" x14ac:dyDescent="0.25">
      <c r="A401" s="75" t="s">
        <v>212</v>
      </c>
      <c r="B401" s="171"/>
      <c r="C401" s="723">
        <v>0</v>
      </c>
      <c r="D401" s="723">
        <v>0</v>
      </c>
      <c r="E401" s="723">
        <v>0</v>
      </c>
      <c r="F401" s="723">
        <f>AR401</f>
        <v>2.8719999999999999</v>
      </c>
      <c r="G401" s="723">
        <v>0</v>
      </c>
      <c r="H401" s="723">
        <v>0</v>
      </c>
      <c r="I401" s="723">
        <v>0</v>
      </c>
      <c r="J401" s="723">
        <f>AS401</f>
        <v>3.2519999999999998</v>
      </c>
      <c r="K401" s="723">
        <v>0</v>
      </c>
      <c r="L401" s="723">
        <v>0</v>
      </c>
      <c r="M401" s="723">
        <v>0</v>
      </c>
      <c r="N401" s="723">
        <f>AT401</f>
        <v>0</v>
      </c>
      <c r="O401" s="723">
        <v>0</v>
      </c>
      <c r="P401" s="723">
        <v>0</v>
      </c>
      <c r="Q401" s="723"/>
      <c r="R401" s="723">
        <f>AU401</f>
        <v>0</v>
      </c>
      <c r="S401" s="723"/>
      <c r="T401" s="723"/>
      <c r="U401" s="723"/>
      <c r="V401" s="725">
        <f>AV401</f>
        <v>0</v>
      </c>
      <c r="W401" s="723"/>
      <c r="X401" s="723"/>
      <c r="Y401" s="723"/>
      <c r="Z401" s="725">
        <f>AW401</f>
        <v>0</v>
      </c>
      <c r="AA401" s="723"/>
      <c r="AB401" s="723"/>
      <c r="AC401" s="723"/>
      <c r="AD401" s="725">
        <f>AX401</f>
        <v>0</v>
      </c>
      <c r="AE401" s="723"/>
      <c r="AF401" s="727"/>
      <c r="AG401" s="730">
        <f>AF401</f>
        <v>0</v>
      </c>
      <c r="AH401" s="730">
        <f>AG401</f>
        <v>0</v>
      </c>
      <c r="AI401" s="730">
        <f>AY401</f>
        <v>0</v>
      </c>
      <c r="AJ401" s="730">
        <f>AI401</f>
        <v>0</v>
      </c>
      <c r="AK401" s="730">
        <f>AJ401</f>
        <v>0</v>
      </c>
      <c r="AL401" s="730">
        <f>AK401</f>
        <v>0</v>
      </c>
      <c r="AM401" s="730"/>
      <c r="AN401" s="722">
        <v>1.143</v>
      </c>
      <c r="AO401" s="722">
        <v>1.7589999999999999</v>
      </c>
      <c r="AP401" s="722">
        <v>2.67</v>
      </c>
      <c r="AQ401" s="722">
        <v>2.0310000000000001</v>
      </c>
      <c r="AR401" s="722">
        <v>2.8719999999999999</v>
      </c>
      <c r="AS401" s="722">
        <v>3.2519999999999998</v>
      </c>
      <c r="AT401" s="722">
        <v>0</v>
      </c>
      <c r="AU401" s="722"/>
      <c r="AV401" s="726"/>
      <c r="AW401" s="726"/>
      <c r="AX401" s="925"/>
      <c r="AY401" s="729">
        <f>AH401</f>
        <v>0</v>
      </c>
      <c r="AZ401" s="729">
        <f>AL401</f>
        <v>0</v>
      </c>
      <c r="BA401" s="729">
        <f>AZ401</f>
        <v>0</v>
      </c>
      <c r="BB401" s="729">
        <f>BA401</f>
        <v>0</v>
      </c>
      <c r="BC401" s="729">
        <f>BB401</f>
        <v>0</v>
      </c>
      <c r="BD401" s="631"/>
    </row>
    <row r="402" spans="1:56" s="39" customFormat="1" x14ac:dyDescent="0.25">
      <c r="A402" s="75" t="s">
        <v>161</v>
      </c>
      <c r="B402" s="171"/>
      <c r="C402" s="723">
        <v>10.33</v>
      </c>
      <c r="D402" s="723">
        <v>12.445</v>
      </c>
      <c r="E402" s="723">
        <v>13.385</v>
      </c>
      <c r="F402" s="723">
        <f>AR402</f>
        <v>10.651</v>
      </c>
      <c r="G402" s="723">
        <v>14.856999999999999</v>
      </c>
      <c r="H402" s="723">
        <v>13.659000000000001</v>
      </c>
      <c r="I402" s="723">
        <v>16.312999999999999</v>
      </c>
      <c r="J402" s="723">
        <f>AS402</f>
        <v>12.715</v>
      </c>
      <c r="K402" s="723">
        <v>19.782</v>
      </c>
      <c r="L402" s="723">
        <v>16.952000000000002</v>
      </c>
      <c r="M402" s="723">
        <v>16.308</v>
      </c>
      <c r="N402" s="723">
        <f>AT402</f>
        <v>9.173</v>
      </c>
      <c r="O402" s="723">
        <v>11.962999999999999</v>
      </c>
      <c r="P402" s="723">
        <v>10.163</v>
      </c>
      <c r="Q402" s="723">
        <v>14.028</v>
      </c>
      <c r="R402" s="723">
        <f>AU402</f>
        <v>11.481</v>
      </c>
      <c r="S402" s="723">
        <v>11.529</v>
      </c>
      <c r="T402" s="723">
        <v>13.324999999999999</v>
      </c>
      <c r="U402" s="723">
        <v>18.367999999999999</v>
      </c>
      <c r="V402" s="725">
        <f>AV402</f>
        <v>14.212</v>
      </c>
      <c r="W402" s="723">
        <v>19.190999999999999</v>
      </c>
      <c r="X402" s="723">
        <v>14.664</v>
      </c>
      <c r="Y402" s="723">
        <v>18.452000000000002</v>
      </c>
      <c r="Z402" s="725">
        <f>AW402</f>
        <v>19.047999999999998</v>
      </c>
      <c r="AA402" s="732">
        <v>25.454000000000001</v>
      </c>
      <c r="AB402" s="732">
        <v>21.042000000000002</v>
      </c>
      <c r="AC402" s="723">
        <v>25.93</v>
      </c>
      <c r="AD402" s="725">
        <f>AX402</f>
        <v>19.114999999999998</v>
      </c>
      <c r="AE402" s="732">
        <v>21.306000000000001</v>
      </c>
      <c r="AF402" s="736">
        <v>21.271999999999998</v>
      </c>
      <c r="AG402" s="730">
        <f t="shared" ref="AG402:AL402" si="415">(AG$160+AF$160+AE$160+AD$160)*AG388</f>
        <v>24.037000224694257</v>
      </c>
      <c r="AH402" s="730">
        <f t="shared" si="415"/>
        <v>16.759911664866536</v>
      </c>
      <c r="AI402" s="730">
        <f t="shared" si="415"/>
        <v>19.380843664931536</v>
      </c>
      <c r="AJ402" s="730">
        <f t="shared" si="415"/>
        <v>21.786187806190661</v>
      </c>
      <c r="AK402" s="730">
        <f t="shared" si="415"/>
        <v>25.150839479850635</v>
      </c>
      <c r="AL402" s="730">
        <f t="shared" si="415"/>
        <v>17.913348825112724</v>
      </c>
      <c r="AM402" s="730"/>
      <c r="AN402" s="722">
        <v>5.5490000000000004</v>
      </c>
      <c r="AO402" s="722">
        <v>4.359</v>
      </c>
      <c r="AP402" s="722">
        <v>6.1929999999999996</v>
      </c>
      <c r="AQ402" s="722">
        <v>8.1120000000000001</v>
      </c>
      <c r="AR402" s="722">
        <v>10.651</v>
      </c>
      <c r="AS402" s="722">
        <v>12.715</v>
      </c>
      <c r="AT402" s="722">
        <v>9.173</v>
      </c>
      <c r="AU402" s="722">
        <v>11.481</v>
      </c>
      <c r="AV402" s="726">
        <v>14.212</v>
      </c>
      <c r="AW402" s="726">
        <v>19.047999999999998</v>
      </c>
      <c r="AX402" s="925">
        <v>19.114999999999998</v>
      </c>
      <c r="AY402" s="729">
        <f>AH402</f>
        <v>16.759911664866536</v>
      </c>
      <c r="AZ402" s="729">
        <f>AL402</f>
        <v>17.913348825112724</v>
      </c>
      <c r="BA402" s="729">
        <f>BA160*BA388</f>
        <v>19.704683707624</v>
      </c>
      <c r="BB402" s="729">
        <f>BB160*BB388</f>
        <v>21.6751520783864</v>
      </c>
      <c r="BC402" s="729">
        <f>BC160*BC388</f>
        <v>22.75890968230572</v>
      </c>
      <c r="BD402" s="631"/>
    </row>
    <row r="403" spans="1:56" s="38" customFormat="1" x14ac:dyDescent="0.25">
      <c r="A403" s="40" t="s">
        <v>213</v>
      </c>
      <c r="B403" s="117"/>
      <c r="C403" s="745">
        <f t="shared" ref="C403:AL403" si="416">SUM(C398:C402)</f>
        <v>113.13</v>
      </c>
      <c r="D403" s="745">
        <f t="shared" si="416"/>
        <v>118.71000000000001</v>
      </c>
      <c r="E403" s="745">
        <f t="shared" si="416"/>
        <v>128.77500000000001</v>
      </c>
      <c r="F403" s="745">
        <f t="shared" si="416"/>
        <v>136.53800000000001</v>
      </c>
      <c r="G403" s="745">
        <f t="shared" si="416"/>
        <v>148.62100000000001</v>
      </c>
      <c r="H403" s="745">
        <f t="shared" si="416"/>
        <v>167.149</v>
      </c>
      <c r="I403" s="745">
        <f t="shared" si="416"/>
        <v>152.91999999999996</v>
      </c>
      <c r="J403" s="745">
        <f t="shared" si="416"/>
        <v>160.357</v>
      </c>
      <c r="K403" s="745">
        <f t="shared" si="416"/>
        <v>154.572</v>
      </c>
      <c r="L403" s="745">
        <f t="shared" si="416"/>
        <v>167.95400000000001</v>
      </c>
      <c r="M403" s="745">
        <f t="shared" si="416"/>
        <v>168.756</v>
      </c>
      <c r="N403" s="745">
        <f t="shared" si="416"/>
        <v>167.17600000000002</v>
      </c>
      <c r="O403" s="745">
        <f t="shared" si="416"/>
        <v>156.869</v>
      </c>
      <c r="P403" s="745">
        <f t="shared" si="416"/>
        <v>159.447</v>
      </c>
      <c r="Q403" s="745">
        <f t="shared" si="416"/>
        <v>172.79899999999998</v>
      </c>
      <c r="R403" s="745">
        <f t="shared" si="416"/>
        <v>172.69400000000002</v>
      </c>
      <c r="S403" s="745">
        <f t="shared" si="416"/>
        <v>174.58099999999999</v>
      </c>
      <c r="T403" s="745">
        <f t="shared" si="416"/>
        <v>182.14</v>
      </c>
      <c r="U403" s="745">
        <f t="shared" si="416"/>
        <v>185.43799999999999</v>
      </c>
      <c r="V403" s="747">
        <f t="shared" si="416"/>
        <v>200.11699999999999</v>
      </c>
      <c r="W403" s="745">
        <f t="shared" si="416"/>
        <v>187.126</v>
      </c>
      <c r="X403" s="745">
        <f t="shared" si="416"/>
        <v>184.447</v>
      </c>
      <c r="Y403" s="745">
        <f t="shared" si="416"/>
        <v>193.29000000000002</v>
      </c>
      <c r="Z403" s="747">
        <f t="shared" si="416"/>
        <v>220.90199999999999</v>
      </c>
      <c r="AA403" s="745">
        <f t="shared" si="416"/>
        <v>218.40100000000001</v>
      </c>
      <c r="AB403" s="745">
        <f t="shared" si="416"/>
        <v>218.53700000000001</v>
      </c>
      <c r="AC403" s="745">
        <f t="shared" si="416"/>
        <v>209.577</v>
      </c>
      <c r="AD403" s="747">
        <f t="shared" si="416"/>
        <v>216.35500000000002</v>
      </c>
      <c r="AE403" s="745">
        <f t="shared" si="416"/>
        <v>195.18100000000001</v>
      </c>
      <c r="AF403" s="746">
        <f t="shared" si="416"/>
        <v>173.226</v>
      </c>
      <c r="AG403" s="747">
        <f t="shared" ca="1" si="416"/>
        <v>177.20748004266997</v>
      </c>
      <c r="AH403" s="747">
        <f t="shared" ca="1" si="416"/>
        <v>191.93790796972058</v>
      </c>
      <c r="AI403" s="747">
        <f t="shared" ca="1" si="416"/>
        <v>183.6135124111654</v>
      </c>
      <c r="AJ403" s="747">
        <f t="shared" ca="1" si="416"/>
        <v>193.93216784801368</v>
      </c>
      <c r="AK403" s="747">
        <f t="shared" ca="1" si="416"/>
        <v>199.97139864594109</v>
      </c>
      <c r="AL403" s="747">
        <f t="shared" ca="1" si="416"/>
        <v>218.56646739653536</v>
      </c>
      <c r="AM403" s="747"/>
      <c r="AN403" s="744">
        <f t="shared" ref="AN403:BC403" si="417">SUM(AN398:AN402)</f>
        <v>73.556000000000012</v>
      </c>
      <c r="AO403" s="744">
        <f t="shared" si="417"/>
        <v>95.823000000000008</v>
      </c>
      <c r="AP403" s="744">
        <f t="shared" si="417"/>
        <v>95.72399999999999</v>
      </c>
      <c r="AQ403" s="744">
        <f t="shared" si="417"/>
        <v>118.47999999999999</v>
      </c>
      <c r="AR403" s="744">
        <f t="shared" si="417"/>
        <v>136.53800000000001</v>
      </c>
      <c r="AS403" s="744">
        <f t="shared" si="417"/>
        <v>160.357</v>
      </c>
      <c r="AT403" s="744">
        <f t="shared" si="417"/>
        <v>167.17600000000002</v>
      </c>
      <c r="AU403" s="744">
        <f t="shared" si="417"/>
        <v>172.69400000000002</v>
      </c>
      <c r="AV403" s="748">
        <f t="shared" si="417"/>
        <v>200.11699999999999</v>
      </c>
      <c r="AW403" s="748">
        <f t="shared" si="417"/>
        <v>220.90199999999999</v>
      </c>
      <c r="AX403" s="960">
        <f t="shared" si="417"/>
        <v>216.35500000000002</v>
      </c>
      <c r="AY403" s="748">
        <f t="shared" ca="1" si="417"/>
        <v>191.93790796972058</v>
      </c>
      <c r="AZ403" s="748">
        <f t="shared" ca="1" si="417"/>
        <v>218.56646739653536</v>
      </c>
      <c r="BA403" s="748">
        <f t="shared" ca="1" si="417"/>
        <v>256.02297327045494</v>
      </c>
      <c r="BB403" s="748">
        <f t="shared" ca="1" si="417"/>
        <v>301.90678905323011</v>
      </c>
      <c r="BC403" s="748">
        <f t="shared" ca="1" si="417"/>
        <v>345.14860008193415</v>
      </c>
      <c r="BD403" s="632"/>
    </row>
    <row r="404" spans="1:56" s="38" customFormat="1" x14ac:dyDescent="0.25">
      <c r="A404" s="503"/>
      <c r="B404" s="504"/>
      <c r="C404" s="757"/>
      <c r="D404" s="757"/>
      <c r="E404" s="757"/>
      <c r="F404" s="757"/>
      <c r="G404" s="757"/>
      <c r="H404" s="757"/>
      <c r="I404" s="757"/>
      <c r="J404" s="757"/>
      <c r="K404" s="757"/>
      <c r="L404" s="757"/>
      <c r="M404" s="757"/>
      <c r="N404" s="757"/>
      <c r="O404" s="757"/>
      <c r="P404" s="757"/>
      <c r="Q404" s="757"/>
      <c r="R404" s="757"/>
      <c r="S404" s="757"/>
      <c r="T404" s="757"/>
      <c r="U404" s="757"/>
      <c r="V404" s="757"/>
      <c r="W404" s="757"/>
      <c r="X404" s="757"/>
      <c r="Y404" s="757"/>
      <c r="Z404" s="757"/>
      <c r="AA404" s="757"/>
      <c r="AB404" s="757"/>
      <c r="AC404" s="757"/>
      <c r="AD404" s="757"/>
      <c r="AE404" s="757"/>
      <c r="AF404" s="758"/>
      <c r="AG404" s="769"/>
      <c r="AH404" s="769"/>
      <c r="AI404" s="769"/>
      <c r="AJ404" s="769"/>
      <c r="AK404" s="769"/>
      <c r="AL404" s="769"/>
      <c r="AM404" s="769"/>
      <c r="AN404" s="756"/>
      <c r="AO404" s="756"/>
      <c r="AP404" s="756"/>
      <c r="AQ404" s="756"/>
      <c r="AR404" s="756"/>
      <c r="AS404" s="756"/>
      <c r="AT404" s="756"/>
      <c r="AU404" s="756"/>
      <c r="AV404" s="756"/>
      <c r="AW404" s="756"/>
      <c r="AX404" s="947"/>
      <c r="AY404" s="770"/>
      <c r="AZ404" s="770"/>
      <c r="BA404" s="770"/>
      <c r="BB404" s="770"/>
      <c r="BC404" s="770"/>
      <c r="BD404" s="632"/>
    </row>
    <row r="405" spans="1:56" s="38" customFormat="1" x14ac:dyDescent="0.25">
      <c r="A405" s="518" t="s">
        <v>214</v>
      </c>
      <c r="B405" s="504"/>
      <c r="C405" s="757"/>
      <c r="D405" s="757"/>
      <c r="E405" s="757"/>
      <c r="F405" s="757"/>
      <c r="G405" s="757"/>
      <c r="H405" s="757"/>
      <c r="I405" s="757"/>
      <c r="J405" s="757"/>
      <c r="K405" s="757"/>
      <c r="L405" s="757"/>
      <c r="M405" s="757"/>
      <c r="N405" s="757"/>
      <c r="O405" s="757"/>
      <c r="P405" s="757"/>
      <c r="Q405" s="757"/>
      <c r="R405" s="757"/>
      <c r="S405" s="757"/>
      <c r="T405" s="757"/>
      <c r="U405" s="757"/>
      <c r="V405" s="757"/>
      <c r="W405" s="757"/>
      <c r="X405" s="757"/>
      <c r="Y405" s="757"/>
      <c r="Z405" s="757"/>
      <c r="AA405" s="757"/>
      <c r="AB405" s="757"/>
      <c r="AC405" s="757"/>
      <c r="AD405" s="757"/>
      <c r="AE405" s="757"/>
      <c r="AF405" s="758"/>
      <c r="AG405" s="769"/>
      <c r="AH405" s="769"/>
      <c r="AI405" s="769"/>
      <c r="AJ405" s="769"/>
      <c r="AK405" s="769"/>
      <c r="AL405" s="769"/>
      <c r="AM405" s="769"/>
      <c r="AN405" s="756"/>
      <c r="AO405" s="756"/>
      <c r="AP405" s="756"/>
      <c r="AQ405" s="756"/>
      <c r="AR405" s="756"/>
      <c r="AS405" s="756"/>
      <c r="AT405" s="756"/>
      <c r="AU405" s="756"/>
      <c r="AV405" s="756"/>
      <c r="AW405" s="756"/>
      <c r="AX405" s="947"/>
      <c r="AY405" s="770"/>
      <c r="AZ405" s="770"/>
      <c r="BA405" s="770"/>
      <c r="BB405" s="770"/>
      <c r="BC405" s="770"/>
      <c r="BD405" s="632"/>
    </row>
    <row r="406" spans="1:56" s="39" customFormat="1" x14ac:dyDescent="0.25">
      <c r="A406" s="307" t="s">
        <v>215</v>
      </c>
      <c r="B406" s="225"/>
      <c r="C406" s="725">
        <v>0</v>
      </c>
      <c r="D406" s="725">
        <v>0</v>
      </c>
      <c r="E406" s="725">
        <v>0</v>
      </c>
      <c r="F406" s="725">
        <f>AR406</f>
        <v>0</v>
      </c>
      <c r="G406" s="725">
        <v>0</v>
      </c>
      <c r="H406" s="725">
        <v>0</v>
      </c>
      <c r="I406" s="725">
        <v>0</v>
      </c>
      <c r="J406" s="725">
        <f>AS406</f>
        <v>0</v>
      </c>
      <c r="K406" s="725">
        <v>0</v>
      </c>
      <c r="L406" s="725">
        <v>0</v>
      </c>
      <c r="M406" s="725">
        <v>0</v>
      </c>
      <c r="N406" s="725">
        <f>AT406</f>
        <v>0</v>
      </c>
      <c r="O406" s="725">
        <v>0</v>
      </c>
      <c r="P406" s="725">
        <v>0</v>
      </c>
      <c r="Q406" s="725">
        <v>0</v>
      </c>
      <c r="R406" s="725">
        <f>AU406</f>
        <v>0</v>
      </c>
      <c r="S406" s="725">
        <v>0</v>
      </c>
      <c r="T406" s="725">
        <v>0</v>
      </c>
      <c r="U406" s="725">
        <v>0</v>
      </c>
      <c r="V406" s="725">
        <f>AV406</f>
        <v>0</v>
      </c>
      <c r="W406" s="725"/>
      <c r="X406" s="725"/>
      <c r="Y406" s="725"/>
      <c r="Z406" s="725">
        <f>AW406</f>
        <v>0</v>
      </c>
      <c r="AA406" s="725"/>
      <c r="AB406" s="725"/>
      <c r="AC406" s="725"/>
      <c r="AD406" s="725">
        <f>AX406</f>
        <v>0</v>
      </c>
      <c r="AE406" s="725"/>
      <c r="AF406" s="771"/>
      <c r="AG406" s="730">
        <f>AF406</f>
        <v>0</v>
      </c>
      <c r="AH406" s="730">
        <f>AG406</f>
        <v>0</v>
      </c>
      <c r="AI406" s="730">
        <f>AY406</f>
        <v>0</v>
      </c>
      <c r="AJ406" s="730">
        <f>AI406</f>
        <v>0</v>
      </c>
      <c r="AK406" s="730">
        <f>AJ406</f>
        <v>0</v>
      </c>
      <c r="AL406" s="730">
        <f>AK406</f>
        <v>0</v>
      </c>
      <c r="AM406" s="730"/>
      <c r="AN406" s="726">
        <v>0.55700000000000005</v>
      </c>
      <c r="AO406" s="726">
        <v>0</v>
      </c>
      <c r="AP406" s="726">
        <v>0</v>
      </c>
      <c r="AQ406" s="726">
        <v>0</v>
      </c>
      <c r="AR406" s="726">
        <v>0</v>
      </c>
      <c r="AS406" s="726">
        <v>0</v>
      </c>
      <c r="AT406" s="726">
        <v>0</v>
      </c>
      <c r="AU406" s="726">
        <v>0</v>
      </c>
      <c r="AV406" s="726"/>
      <c r="AW406" s="726"/>
      <c r="AX406" s="925"/>
      <c r="AY406" s="729">
        <f>AH406</f>
        <v>0</v>
      </c>
      <c r="AZ406" s="729">
        <f>AL406</f>
        <v>0</v>
      </c>
      <c r="BA406" s="729">
        <f>AZ406</f>
        <v>0</v>
      </c>
      <c r="BB406" s="729">
        <f>BA406</f>
        <v>0</v>
      </c>
      <c r="BC406" s="729">
        <f>BB406</f>
        <v>0</v>
      </c>
      <c r="BD406" s="631"/>
    </row>
    <row r="407" spans="1:56" s="39" customFormat="1" hidden="1" outlineLevel="1" x14ac:dyDescent="0.25">
      <c r="A407" s="307" t="s">
        <v>216</v>
      </c>
      <c r="B407" s="225"/>
      <c r="C407" s="725">
        <v>19.222999999999999</v>
      </c>
      <c r="D407" s="725">
        <v>20.702000000000002</v>
      </c>
      <c r="E407" s="725">
        <v>22.530999999999999</v>
      </c>
      <c r="F407" s="725">
        <f>AR407</f>
        <v>9.2309999999999999</v>
      </c>
      <c r="G407" s="725">
        <v>22.427</v>
      </c>
      <c r="H407" s="725">
        <v>23.163</v>
      </c>
      <c r="I407" s="725">
        <v>20.975000000000001</v>
      </c>
      <c r="J407" s="725">
        <f>AS407</f>
        <v>7.8639999999999999</v>
      </c>
      <c r="K407" s="725">
        <v>21.14</v>
      </c>
      <c r="L407" s="725">
        <v>22.036000000000001</v>
      </c>
      <c r="M407" s="725">
        <v>21.141999999999999</v>
      </c>
      <c r="N407" s="725">
        <f>AT407</f>
        <v>20.629000000000001</v>
      </c>
      <c r="O407" s="725">
        <v>21.155000000000001</v>
      </c>
      <c r="P407" s="725">
        <v>21.08</v>
      </c>
      <c r="Q407" s="725">
        <v>20.117999999999999</v>
      </c>
      <c r="R407" s="725">
        <f>AU407</f>
        <v>20.053000000000001</v>
      </c>
      <c r="S407" s="725">
        <v>20.661999999999999</v>
      </c>
      <c r="T407" s="725">
        <v>22.021000000000001</v>
      </c>
      <c r="U407" s="725">
        <v>22.564</v>
      </c>
      <c r="V407" s="725">
        <f>AV407</f>
        <v>21.466000000000001</v>
      </c>
      <c r="W407" s="725">
        <v>21.872</v>
      </c>
      <c r="X407" s="725">
        <v>20.41</v>
      </c>
      <c r="Y407" s="725">
        <v>20.908999999999999</v>
      </c>
      <c r="Z407" s="725">
        <f>AW407</f>
        <v>24.58</v>
      </c>
      <c r="AA407" s="725">
        <v>25.443999999999999</v>
      </c>
      <c r="AB407" s="725">
        <v>25.864999999999998</v>
      </c>
      <c r="AC407" s="725">
        <v>22.641999999999999</v>
      </c>
      <c r="AD407" s="725">
        <f>AX407</f>
        <v>23.745999999999999</v>
      </c>
      <c r="AE407" s="725">
        <v>23.297000000000001</v>
      </c>
      <c r="AF407" s="779">
        <f>AE407-AF352-AF350-AF349</f>
        <v>23.876000000000001</v>
      </c>
      <c r="AG407" s="730">
        <f>AF407-AG352-AG350-AG349</f>
        <v>24.276</v>
      </c>
      <c r="AH407" s="730">
        <f>AG407-AH352-AH350-AH349</f>
        <v>24.675999999999998</v>
      </c>
      <c r="AI407" s="730">
        <f>AY407-AI352-AI350-AI349</f>
        <v>25.475999999999999</v>
      </c>
      <c r="AJ407" s="730">
        <f>AI407-AJ352-AJ350-AJ349</f>
        <v>26.276</v>
      </c>
      <c r="AK407" s="730">
        <f>AJ407-AK352-AK350-AK349</f>
        <v>27.076000000000001</v>
      </c>
      <c r="AL407" s="730">
        <f>AK407-AL352-AL350-AL349</f>
        <v>27.876000000000001</v>
      </c>
      <c r="AM407" s="730"/>
      <c r="AN407" s="726">
        <v>0</v>
      </c>
      <c r="AO407" s="726">
        <v>12.349</v>
      </c>
      <c r="AP407" s="726">
        <v>0</v>
      </c>
      <c r="AQ407" s="726">
        <v>5.5110000000000001</v>
      </c>
      <c r="AR407" s="726">
        <v>9.2309999999999999</v>
      </c>
      <c r="AS407" s="726">
        <v>7.8639999999999999</v>
      </c>
      <c r="AT407" s="726">
        <v>20.629000000000001</v>
      </c>
      <c r="AU407" s="726">
        <v>20.053000000000001</v>
      </c>
      <c r="AV407" s="726">
        <v>21.466000000000001</v>
      </c>
      <c r="AW407" s="726">
        <v>24.58</v>
      </c>
      <c r="AX407" s="925">
        <v>23.745999999999999</v>
      </c>
      <c r="AY407" s="729">
        <f>AH407</f>
        <v>24.675999999999998</v>
      </c>
      <c r="AZ407" s="729">
        <f>AL407</f>
        <v>27.876000000000001</v>
      </c>
      <c r="BA407" s="729">
        <f>AZ407-BA352-BA350-BA349</f>
        <v>31.076000000000001</v>
      </c>
      <c r="BB407" s="729">
        <f>BA407-BB352-BB350-BB349</f>
        <v>34.276000000000003</v>
      </c>
      <c r="BC407" s="729">
        <f>BB407-BC352-BC350-BC349</f>
        <v>37.476000000000006</v>
      </c>
      <c r="BD407" s="631"/>
    </row>
    <row r="408" spans="1:56" s="39" customFormat="1" hidden="1" outlineLevel="1" x14ac:dyDescent="0.25">
      <c r="A408" s="585" t="s">
        <v>217</v>
      </c>
      <c r="B408" s="586"/>
      <c r="C408" s="734">
        <v>-13.583</v>
      </c>
      <c r="D408" s="734">
        <v>-14.218</v>
      </c>
      <c r="E408" s="734">
        <v>-14.311999999999999</v>
      </c>
      <c r="F408" s="734">
        <f>AR408</f>
        <v>0</v>
      </c>
      <c r="G408" s="734">
        <v>-13.243</v>
      </c>
      <c r="H408" s="734">
        <v>-14.298</v>
      </c>
      <c r="I408" s="734">
        <v>-12.571999999999999</v>
      </c>
      <c r="J408" s="734">
        <f>AS408</f>
        <v>0</v>
      </c>
      <c r="K408" s="734">
        <v>-13.693</v>
      </c>
      <c r="L408" s="734">
        <v>-14.638</v>
      </c>
      <c r="M408" s="734">
        <v>-14.391</v>
      </c>
      <c r="N408" s="734">
        <f>AT408</f>
        <v>-14.384</v>
      </c>
      <c r="O408" s="734">
        <v>-15.195</v>
      </c>
      <c r="P408" s="734">
        <v>-15.679</v>
      </c>
      <c r="Q408" s="734">
        <v>-15.215999999999999</v>
      </c>
      <c r="R408" s="734">
        <f>AU408</f>
        <v>-15.506</v>
      </c>
      <c r="S408" s="734">
        <v>-16.103999999999999</v>
      </c>
      <c r="T408" s="734">
        <v>-16.667000000000002</v>
      </c>
      <c r="U408" s="734">
        <v>-17.155000000000001</v>
      </c>
      <c r="V408" s="734">
        <f>AV408</f>
        <v>-16.343</v>
      </c>
      <c r="W408" s="734">
        <v>-16.920000000000002</v>
      </c>
      <c r="X408" s="734">
        <v>-14.909000000000001</v>
      </c>
      <c r="Y408" s="734">
        <v>-15.31</v>
      </c>
      <c r="Z408" s="734">
        <f>AW408</f>
        <v>-18.721</v>
      </c>
      <c r="AA408" s="734">
        <v>-19.613</v>
      </c>
      <c r="AB408" s="734">
        <v>-20.145</v>
      </c>
      <c r="AC408" s="734">
        <v>-16.757999999999999</v>
      </c>
      <c r="AD408" s="734">
        <f>AX408</f>
        <v>-17.943000000000001</v>
      </c>
      <c r="AE408" s="734">
        <v>-17.789000000000001</v>
      </c>
      <c r="AF408" s="798">
        <f>5.393-AF407</f>
        <v>-18.483000000000001</v>
      </c>
      <c r="AG408" s="734">
        <f>AF408-AG333</f>
        <v>-20.583000000000002</v>
      </c>
      <c r="AH408" s="734">
        <f>AG408-AH333</f>
        <v>-22.683000000000003</v>
      </c>
      <c r="AI408" s="734">
        <f>AY408-AI333</f>
        <v>-24.783000000000005</v>
      </c>
      <c r="AJ408" s="734">
        <f>AI408-AJ333</f>
        <v>-26.883000000000006</v>
      </c>
      <c r="AK408" s="734">
        <f>AJ408-AK333</f>
        <v>-28.983000000000008</v>
      </c>
      <c r="AL408" s="734">
        <f>AK408-AL333</f>
        <v>-31.083000000000009</v>
      </c>
      <c r="AM408" s="734"/>
      <c r="AN408" s="735">
        <v>0</v>
      </c>
      <c r="AO408" s="735">
        <v>-9.3840000000000003</v>
      </c>
      <c r="AP408" s="735">
        <v>0</v>
      </c>
      <c r="AQ408" s="735">
        <v>0</v>
      </c>
      <c r="AR408" s="735">
        <v>0</v>
      </c>
      <c r="AS408" s="735">
        <v>0</v>
      </c>
      <c r="AT408" s="735">
        <v>-14.384</v>
      </c>
      <c r="AU408" s="735">
        <v>-15.506</v>
      </c>
      <c r="AV408" s="735">
        <v>-16.343</v>
      </c>
      <c r="AW408" s="735">
        <v>-18.721</v>
      </c>
      <c r="AX408" s="926">
        <v>-17.943000000000001</v>
      </c>
      <c r="AY408" s="735">
        <f>AH408</f>
        <v>-22.683000000000003</v>
      </c>
      <c r="AZ408" s="735">
        <f>AL408</f>
        <v>-31.083000000000009</v>
      </c>
      <c r="BA408" s="735">
        <f>AZ408-BA333</f>
        <v>-39.483000000000011</v>
      </c>
      <c r="BB408" s="735">
        <f>BA408-BB333</f>
        <v>-47.88300000000001</v>
      </c>
      <c r="BC408" s="735">
        <f>BB408-BC333</f>
        <v>-56.283000000000008</v>
      </c>
      <c r="BD408" s="631"/>
    </row>
    <row r="409" spans="1:56" s="39" customFormat="1" collapsed="1" x14ac:dyDescent="0.25">
      <c r="A409" s="307" t="s">
        <v>218</v>
      </c>
      <c r="B409" s="225"/>
      <c r="C409" s="725">
        <v>5.64</v>
      </c>
      <c r="D409" s="725">
        <v>6.484</v>
      </c>
      <c r="E409" s="725">
        <v>8.2189999999999994</v>
      </c>
      <c r="F409" s="725">
        <f>AR409</f>
        <v>9.2309999999999999</v>
      </c>
      <c r="G409" s="725">
        <v>9.1839999999999993</v>
      </c>
      <c r="H409" s="725">
        <v>8.8650000000000002</v>
      </c>
      <c r="I409" s="725">
        <v>8.4030000000000005</v>
      </c>
      <c r="J409" s="725">
        <f>AS409</f>
        <v>7.8639999999999999</v>
      </c>
      <c r="K409" s="725">
        <v>7.4470000000000001</v>
      </c>
      <c r="L409" s="725">
        <v>7.3979999999999997</v>
      </c>
      <c r="M409" s="725">
        <v>6.7510000000000003</v>
      </c>
      <c r="N409" s="725">
        <f>AT409</f>
        <v>6.2450000000000001</v>
      </c>
      <c r="O409" s="725">
        <f>SUM(O407:O408)</f>
        <v>5.9600000000000009</v>
      </c>
      <c r="P409" s="725">
        <f>SUM(P407:P408)</f>
        <v>5.400999999999998</v>
      </c>
      <c r="Q409" s="725">
        <f>SUM(Q407:Q408)</f>
        <v>4.9019999999999992</v>
      </c>
      <c r="R409" s="725">
        <f>SUM(R407:R408)</f>
        <v>4.5470000000000006</v>
      </c>
      <c r="S409" s="725">
        <f>SUM(S407:S408)</f>
        <v>4.5579999999999998</v>
      </c>
      <c r="T409" s="725">
        <v>5.3540000000000001</v>
      </c>
      <c r="U409" s="725">
        <f t="shared" ref="U409:AL409" si="418">SUM(U407:U408)</f>
        <v>5.4089999999999989</v>
      </c>
      <c r="V409" s="725">
        <f t="shared" si="418"/>
        <v>5.1230000000000011</v>
      </c>
      <c r="W409" s="725">
        <f t="shared" si="418"/>
        <v>4.9519999999999982</v>
      </c>
      <c r="X409" s="725">
        <f t="shared" si="418"/>
        <v>5.5009999999999994</v>
      </c>
      <c r="Y409" s="725">
        <f t="shared" si="418"/>
        <v>5.5989999999999984</v>
      </c>
      <c r="Z409" s="725">
        <f t="shared" si="418"/>
        <v>5.8589999999999982</v>
      </c>
      <c r="AA409" s="725">
        <f t="shared" si="418"/>
        <v>5.8309999999999995</v>
      </c>
      <c r="AB409" s="725">
        <f t="shared" si="418"/>
        <v>5.7199999999999989</v>
      </c>
      <c r="AC409" s="725">
        <f t="shared" si="418"/>
        <v>5.8840000000000003</v>
      </c>
      <c r="AD409" s="723">
        <f t="shared" si="418"/>
        <v>5.8029999999999973</v>
      </c>
      <c r="AE409" s="725">
        <f t="shared" si="418"/>
        <v>5.5079999999999991</v>
      </c>
      <c r="AF409" s="771">
        <f t="shared" si="418"/>
        <v>5.3930000000000007</v>
      </c>
      <c r="AG409" s="730">
        <f t="shared" si="418"/>
        <v>3.6929999999999978</v>
      </c>
      <c r="AH409" s="730">
        <f t="shared" si="418"/>
        <v>1.992999999999995</v>
      </c>
      <c r="AI409" s="730">
        <f t="shared" si="418"/>
        <v>0.69299999999999429</v>
      </c>
      <c r="AJ409" s="730">
        <f t="shared" si="418"/>
        <v>-0.60700000000000642</v>
      </c>
      <c r="AK409" s="730">
        <f t="shared" si="418"/>
        <v>-1.9070000000000071</v>
      </c>
      <c r="AL409" s="730">
        <f t="shared" si="418"/>
        <v>-3.2070000000000078</v>
      </c>
      <c r="AM409" s="730"/>
      <c r="AN409" s="726">
        <v>3.121</v>
      </c>
      <c r="AO409" s="726">
        <v>2.9649999999999999</v>
      </c>
      <c r="AP409" s="726">
        <v>5.5620000000000003</v>
      </c>
      <c r="AQ409" s="726">
        <v>5.5110000000000001</v>
      </c>
      <c r="AR409" s="726">
        <v>9.2309999999999999</v>
      </c>
      <c r="AS409" s="726">
        <v>7.8639999999999999</v>
      </c>
      <c r="AT409" s="726">
        <v>6.2450000000000001</v>
      </c>
      <c r="AU409" s="726">
        <f t="shared" ref="AU409:BC409" si="419">SUM(AU407:AU408)</f>
        <v>4.5470000000000006</v>
      </c>
      <c r="AV409" s="726">
        <f t="shared" si="419"/>
        <v>5.1230000000000011</v>
      </c>
      <c r="AW409" s="726">
        <f t="shared" si="419"/>
        <v>5.8589999999999982</v>
      </c>
      <c r="AX409" s="927">
        <f t="shared" si="419"/>
        <v>5.8029999999999973</v>
      </c>
      <c r="AY409" s="729">
        <f t="shared" si="419"/>
        <v>1.992999999999995</v>
      </c>
      <c r="AZ409" s="729">
        <f t="shared" si="419"/>
        <v>-3.2070000000000078</v>
      </c>
      <c r="BA409" s="729">
        <f t="shared" si="419"/>
        <v>-8.4070000000000107</v>
      </c>
      <c r="BB409" s="729">
        <f t="shared" si="419"/>
        <v>-13.607000000000006</v>
      </c>
      <c r="BC409" s="729">
        <f t="shared" si="419"/>
        <v>-18.807000000000002</v>
      </c>
      <c r="BD409" s="631"/>
    </row>
    <row r="410" spans="1:56" s="39" customFormat="1" x14ac:dyDescent="0.25">
      <c r="A410" s="307" t="s">
        <v>219</v>
      </c>
      <c r="B410" s="225"/>
      <c r="C410" s="725">
        <v>101.922</v>
      </c>
      <c r="D410" s="725">
        <v>115.312</v>
      </c>
      <c r="E410" s="725">
        <v>116.70699999999999</v>
      </c>
      <c r="F410" s="725">
        <f>AR410</f>
        <v>116.98699999999999</v>
      </c>
      <c r="G410" s="725">
        <v>116.90600000000001</v>
      </c>
      <c r="H410" s="725">
        <v>130.09100000000001</v>
      </c>
      <c r="I410" s="725">
        <v>127.514</v>
      </c>
      <c r="J410" s="725">
        <f>AS410</f>
        <v>125.75700000000001</v>
      </c>
      <c r="K410" s="725">
        <v>122.67</v>
      </c>
      <c r="L410" s="725">
        <v>124.43600000000001</v>
      </c>
      <c r="M410" s="725">
        <v>123.129</v>
      </c>
      <c r="N410" s="725">
        <f>AT410</f>
        <v>121.97499999999999</v>
      </c>
      <c r="O410" s="725">
        <v>124.056</v>
      </c>
      <c r="P410" s="725">
        <v>122.354</v>
      </c>
      <c r="Q410" s="725">
        <v>121.578</v>
      </c>
      <c r="R410" s="725">
        <f>AU410</f>
        <v>127.77200000000001</v>
      </c>
      <c r="S410" s="725">
        <v>131.738</v>
      </c>
      <c r="T410" s="725">
        <v>147.09</v>
      </c>
      <c r="U410" s="725">
        <v>144.374</v>
      </c>
      <c r="V410" s="725">
        <f>AV410</f>
        <v>144.83500000000001</v>
      </c>
      <c r="W410" s="725">
        <v>154.59</v>
      </c>
      <c r="X410" s="725">
        <v>172.97499999999999</v>
      </c>
      <c r="Y410" s="725">
        <v>174.97499999999999</v>
      </c>
      <c r="Z410" s="725">
        <f>AW410</f>
        <v>176.124</v>
      </c>
      <c r="AA410" s="725">
        <v>177.28800000000001</v>
      </c>
      <c r="AB410" s="725">
        <v>177.25800000000001</v>
      </c>
      <c r="AC410" s="725">
        <v>176.21299999999999</v>
      </c>
      <c r="AD410" s="725">
        <f>AX410</f>
        <v>171.56299999999999</v>
      </c>
      <c r="AE410" s="725">
        <v>164.81200000000001</v>
      </c>
      <c r="AF410" s="779">
        <f>179.83-AF412</f>
        <v>165.24700000000001</v>
      </c>
      <c r="AG410" s="730">
        <f t="shared" ref="AG410:AH414" si="420">AF410</f>
        <v>165.24700000000001</v>
      </c>
      <c r="AH410" s="730">
        <f t="shared" si="420"/>
        <v>165.24700000000001</v>
      </c>
      <c r="AI410" s="730">
        <f>AY410</f>
        <v>165.24700000000001</v>
      </c>
      <c r="AJ410" s="730">
        <f t="shared" ref="AJ410:AL414" si="421">AI410</f>
        <v>165.24700000000001</v>
      </c>
      <c r="AK410" s="730">
        <f t="shared" si="421"/>
        <v>165.24700000000001</v>
      </c>
      <c r="AL410" s="730">
        <f t="shared" si="421"/>
        <v>165.24700000000001</v>
      </c>
      <c r="AM410" s="730"/>
      <c r="AN410" s="726">
        <v>67.283000000000001</v>
      </c>
      <c r="AO410" s="726">
        <v>72.995999999999995</v>
      </c>
      <c r="AP410" s="726">
        <v>93.337999999999994</v>
      </c>
      <c r="AQ410" s="726">
        <v>102.821</v>
      </c>
      <c r="AR410" s="726">
        <v>116.98699999999999</v>
      </c>
      <c r="AS410" s="726">
        <v>125.75700000000001</v>
      </c>
      <c r="AT410" s="726">
        <v>121.97499999999999</v>
      </c>
      <c r="AU410" s="726">
        <v>127.77200000000001</v>
      </c>
      <c r="AV410" s="726">
        <v>144.83500000000001</v>
      </c>
      <c r="AW410" s="726">
        <v>176.124</v>
      </c>
      <c r="AX410" s="925">
        <v>171.56299999999999</v>
      </c>
      <c r="AY410" s="729">
        <f>AH410</f>
        <v>165.24700000000001</v>
      </c>
      <c r="AZ410" s="729">
        <f>AL410</f>
        <v>165.24700000000001</v>
      </c>
      <c r="BA410" s="729">
        <f t="shared" ref="BA410:BC414" si="422">AZ410</f>
        <v>165.24700000000001</v>
      </c>
      <c r="BB410" s="729">
        <f t="shared" si="422"/>
        <v>165.24700000000001</v>
      </c>
      <c r="BC410" s="729">
        <f t="shared" si="422"/>
        <v>165.24700000000001</v>
      </c>
      <c r="BD410" s="631"/>
    </row>
    <row r="411" spans="1:56" s="39" customFormat="1" x14ac:dyDescent="0.25">
      <c r="A411" s="307" t="s">
        <v>382</v>
      </c>
      <c r="B411" s="225"/>
      <c r="C411" s="725"/>
      <c r="D411" s="725"/>
      <c r="E411" s="725"/>
      <c r="F411" s="725"/>
      <c r="G411" s="725"/>
      <c r="H411" s="725"/>
      <c r="I411" s="725"/>
      <c r="J411" s="725"/>
      <c r="K411" s="725"/>
      <c r="L411" s="725"/>
      <c r="M411" s="725"/>
      <c r="N411" s="725"/>
      <c r="O411" s="725"/>
      <c r="P411" s="725"/>
      <c r="Q411" s="725"/>
      <c r="R411" s="725"/>
      <c r="S411" s="725"/>
      <c r="T411" s="725"/>
      <c r="U411" s="725"/>
      <c r="V411" s="725"/>
      <c r="W411" s="725"/>
      <c r="X411" s="725"/>
      <c r="Y411" s="725"/>
      <c r="Z411" s="725">
        <f>AW411</f>
        <v>0</v>
      </c>
      <c r="AA411" s="725">
        <v>29.273</v>
      </c>
      <c r="AB411" s="725">
        <v>28.867000000000001</v>
      </c>
      <c r="AC411" s="725">
        <v>27.135999999999999</v>
      </c>
      <c r="AD411" s="723">
        <f>AX411</f>
        <v>27.251000000000001</v>
      </c>
      <c r="AE411" s="725">
        <v>25.036000000000001</v>
      </c>
      <c r="AF411" s="771">
        <v>23.591000000000001</v>
      </c>
      <c r="AG411" s="730">
        <f t="shared" si="420"/>
        <v>23.591000000000001</v>
      </c>
      <c r="AH411" s="730">
        <f t="shared" si="420"/>
        <v>23.591000000000001</v>
      </c>
      <c r="AI411" s="730">
        <f>AY411</f>
        <v>23.591000000000001</v>
      </c>
      <c r="AJ411" s="730">
        <f t="shared" si="421"/>
        <v>23.591000000000001</v>
      </c>
      <c r="AK411" s="730">
        <f t="shared" si="421"/>
        <v>23.591000000000001</v>
      </c>
      <c r="AL411" s="730">
        <f t="shared" si="421"/>
        <v>23.591000000000001</v>
      </c>
      <c r="AM411" s="730"/>
      <c r="AN411" s="726"/>
      <c r="AO411" s="726"/>
      <c r="AP411" s="726"/>
      <c r="AQ411" s="726"/>
      <c r="AR411" s="726"/>
      <c r="AS411" s="726"/>
      <c r="AT411" s="726"/>
      <c r="AU411" s="726"/>
      <c r="AV411" s="726"/>
      <c r="AW411" s="726"/>
      <c r="AX411" s="927">
        <v>27.251000000000001</v>
      </c>
      <c r="AY411" s="729">
        <f>AH411</f>
        <v>23.591000000000001</v>
      </c>
      <c r="AZ411" s="729">
        <f>AL411</f>
        <v>23.591000000000001</v>
      </c>
      <c r="BA411" s="729">
        <f t="shared" si="422"/>
        <v>23.591000000000001</v>
      </c>
      <c r="BB411" s="729">
        <f t="shared" si="422"/>
        <v>23.591000000000001</v>
      </c>
      <c r="BC411" s="729">
        <f t="shared" si="422"/>
        <v>23.591000000000001</v>
      </c>
      <c r="BD411" s="631"/>
    </row>
    <row r="412" spans="1:56" s="39" customFormat="1" x14ac:dyDescent="0.25">
      <c r="A412" s="307" t="s">
        <v>220</v>
      </c>
      <c r="B412" s="225"/>
      <c r="C412" s="725">
        <v>14.254</v>
      </c>
      <c r="D412" s="725">
        <v>17.541</v>
      </c>
      <c r="E412" s="725">
        <v>16.486999999999998</v>
      </c>
      <c r="F412" s="725">
        <f>AR412</f>
        <v>15.129</v>
      </c>
      <c r="G412" s="725">
        <v>13.701000000000001</v>
      </c>
      <c r="H412" s="725">
        <v>13.997</v>
      </c>
      <c r="I412" s="725">
        <v>12.161</v>
      </c>
      <c r="J412" s="725">
        <f>AS412</f>
        <v>10.535</v>
      </c>
      <c r="K412" s="725">
        <v>9.0120000000000005</v>
      </c>
      <c r="L412" s="725">
        <v>8.4390000000000001</v>
      </c>
      <c r="M412" s="725">
        <v>7.2460000000000004</v>
      </c>
      <c r="N412" s="725">
        <f>AT412</f>
        <v>6.2210000000000001</v>
      </c>
      <c r="O412" s="725">
        <v>6.81</v>
      </c>
      <c r="P412" s="725">
        <v>5.7549999999999999</v>
      </c>
      <c r="Q412" s="725">
        <v>4.8639999999999999</v>
      </c>
      <c r="R412" s="725">
        <f>AU412</f>
        <v>5.8250000000000002</v>
      </c>
      <c r="S412" s="725">
        <v>7.6589999999999998</v>
      </c>
      <c r="T412" s="725"/>
      <c r="U412" s="725">
        <v>9.3179999999999996</v>
      </c>
      <c r="V412" s="725">
        <f>AV412</f>
        <v>8.3629999999999995</v>
      </c>
      <c r="W412" s="725">
        <v>8.8379999999999992</v>
      </c>
      <c r="X412" s="725">
        <v>17.922000000000001</v>
      </c>
      <c r="Y412" s="725">
        <v>17.463000000000001</v>
      </c>
      <c r="Z412" s="725">
        <f>AW412</f>
        <v>20.933</v>
      </c>
      <c r="AA412" s="725">
        <v>19.888000000000002</v>
      </c>
      <c r="AB412" s="725">
        <v>18.751999999999999</v>
      </c>
      <c r="AC412" s="725">
        <v>17.34</v>
      </c>
      <c r="AD412" s="725">
        <f>AX412</f>
        <v>16.344000000000001</v>
      </c>
      <c r="AE412" s="725">
        <v>14.583</v>
      </c>
      <c r="AF412" s="779">
        <f>AE412</f>
        <v>14.583</v>
      </c>
      <c r="AG412" s="730">
        <f t="shared" si="420"/>
        <v>14.583</v>
      </c>
      <c r="AH412" s="730">
        <f t="shared" si="420"/>
        <v>14.583</v>
      </c>
      <c r="AI412" s="730">
        <f>AY412</f>
        <v>14.583</v>
      </c>
      <c r="AJ412" s="730">
        <f t="shared" si="421"/>
        <v>14.583</v>
      </c>
      <c r="AK412" s="730">
        <f t="shared" si="421"/>
        <v>14.583</v>
      </c>
      <c r="AL412" s="730">
        <f t="shared" si="421"/>
        <v>14.583</v>
      </c>
      <c r="AM412" s="730"/>
      <c r="AN412" s="726">
        <v>10.247999999999999</v>
      </c>
      <c r="AO412" s="726">
        <v>9.7949999999999999</v>
      </c>
      <c r="AP412" s="726">
        <v>15.122</v>
      </c>
      <c r="AQ412" s="726">
        <v>15.872</v>
      </c>
      <c r="AR412" s="726">
        <v>15.129</v>
      </c>
      <c r="AS412" s="726">
        <v>10.535</v>
      </c>
      <c r="AT412" s="726">
        <v>6.2210000000000001</v>
      </c>
      <c r="AU412" s="726">
        <v>5.8250000000000002</v>
      </c>
      <c r="AV412" s="726">
        <v>8.3629999999999995</v>
      </c>
      <c r="AW412" s="726">
        <v>20.933</v>
      </c>
      <c r="AX412" s="925">
        <v>16.344000000000001</v>
      </c>
      <c r="AY412" s="729">
        <f>AH412</f>
        <v>14.583</v>
      </c>
      <c r="AZ412" s="729">
        <f>AL412</f>
        <v>14.583</v>
      </c>
      <c r="BA412" s="729">
        <f t="shared" si="422"/>
        <v>14.583</v>
      </c>
      <c r="BB412" s="729">
        <f t="shared" si="422"/>
        <v>14.583</v>
      </c>
      <c r="BC412" s="729">
        <f t="shared" si="422"/>
        <v>14.583</v>
      </c>
      <c r="BD412" s="631"/>
    </row>
    <row r="413" spans="1:56" s="39" customFormat="1" x14ac:dyDescent="0.25">
      <c r="A413" s="307" t="s">
        <v>212</v>
      </c>
      <c r="B413" s="225"/>
      <c r="C413" s="725"/>
      <c r="D413" s="725"/>
      <c r="E413" s="725"/>
      <c r="F413" s="725"/>
      <c r="G413" s="725"/>
      <c r="H413" s="725"/>
      <c r="I413" s="725"/>
      <c r="J413" s="725"/>
      <c r="K413" s="725"/>
      <c r="L413" s="725"/>
      <c r="M413" s="725"/>
      <c r="N413" s="725"/>
      <c r="O413" s="725"/>
      <c r="P413" s="725"/>
      <c r="Q413" s="725"/>
      <c r="R413" s="725">
        <f>AU413</f>
        <v>1.0580000000000001</v>
      </c>
      <c r="S413" s="725"/>
      <c r="T413" s="725"/>
      <c r="U413" s="725"/>
      <c r="V413" s="725">
        <f>AV413</f>
        <v>1.135</v>
      </c>
      <c r="W413" s="725"/>
      <c r="X413" s="725"/>
      <c r="Y413" s="725"/>
      <c r="Z413" s="725">
        <f>AW413</f>
        <v>1.077</v>
      </c>
      <c r="AA413" s="725"/>
      <c r="AB413" s="725"/>
      <c r="AC413" s="725"/>
      <c r="AD413" s="723">
        <f>AX413</f>
        <v>1.121</v>
      </c>
      <c r="AE413" s="725"/>
      <c r="AF413" s="771"/>
      <c r="AG413" s="730">
        <f t="shared" si="420"/>
        <v>0</v>
      </c>
      <c r="AH413" s="730">
        <f t="shared" si="420"/>
        <v>0</v>
      </c>
      <c r="AI413" s="730">
        <f>AY413</f>
        <v>0</v>
      </c>
      <c r="AJ413" s="730">
        <f t="shared" si="421"/>
        <v>0</v>
      </c>
      <c r="AK413" s="730">
        <f t="shared" si="421"/>
        <v>0</v>
      </c>
      <c r="AL413" s="730">
        <f t="shared" si="421"/>
        <v>0</v>
      </c>
      <c r="AM413" s="730"/>
      <c r="AN413" s="726"/>
      <c r="AO413" s="726"/>
      <c r="AP413" s="726"/>
      <c r="AQ413" s="726"/>
      <c r="AR413" s="726"/>
      <c r="AS413" s="726"/>
      <c r="AT413" s="726"/>
      <c r="AU413" s="726">
        <v>1.0580000000000001</v>
      </c>
      <c r="AV413" s="726">
        <v>1.135</v>
      </c>
      <c r="AW413" s="726">
        <v>1.077</v>
      </c>
      <c r="AX413" s="927">
        <v>1.121</v>
      </c>
      <c r="AY413" s="729">
        <f>AH413</f>
        <v>0</v>
      </c>
      <c r="AZ413" s="729">
        <f>AL413</f>
        <v>0</v>
      </c>
      <c r="BA413" s="729">
        <f t="shared" si="422"/>
        <v>0</v>
      </c>
      <c r="BB413" s="729">
        <f t="shared" si="422"/>
        <v>0</v>
      </c>
      <c r="BC413" s="729">
        <f t="shared" si="422"/>
        <v>0</v>
      </c>
      <c r="BD413" s="631"/>
    </row>
    <row r="414" spans="1:56" s="39" customFormat="1" x14ac:dyDescent="0.25">
      <c r="A414" s="307" t="s">
        <v>221</v>
      </c>
      <c r="B414" s="225"/>
      <c r="C414" s="725">
        <v>1.526</v>
      </c>
      <c r="D414" s="725">
        <v>1.502</v>
      </c>
      <c r="E414" s="725">
        <v>1.548</v>
      </c>
      <c r="F414" s="725">
        <f>AR414</f>
        <v>2.2709999999999999</v>
      </c>
      <c r="G414" s="725">
        <v>2.1160000000000001</v>
      </c>
      <c r="H414" s="725">
        <v>1.7270000000000001</v>
      </c>
      <c r="I414" s="725">
        <v>1.6859999999999999</v>
      </c>
      <c r="J414" s="725">
        <f>AS414</f>
        <v>0.93899999999999995</v>
      </c>
      <c r="K414" s="725">
        <v>0.95399999999999996</v>
      </c>
      <c r="L414" s="725">
        <v>0.89800000000000002</v>
      </c>
      <c r="M414" s="725">
        <v>1.0389999999999999</v>
      </c>
      <c r="N414" s="725">
        <f>AT414</f>
        <v>0.73299999999999998</v>
      </c>
      <c r="O414" s="725">
        <v>0.82199999999999995</v>
      </c>
      <c r="P414" s="725">
        <v>2.9129999999999998</v>
      </c>
      <c r="Q414" s="725">
        <v>3.1579999999999999</v>
      </c>
      <c r="R414" s="725">
        <f>AU414</f>
        <v>3.7050000000000001</v>
      </c>
      <c r="S414" s="725">
        <v>6.0060000000000002</v>
      </c>
      <c r="T414" s="725">
        <v>6.9050000000000002</v>
      </c>
      <c r="U414" s="725">
        <v>6.5350000000000001</v>
      </c>
      <c r="V414" s="725">
        <f>AV414</f>
        <v>5.4340000000000002</v>
      </c>
      <c r="W414" s="725">
        <v>7.569</v>
      </c>
      <c r="X414" s="725">
        <v>8.25</v>
      </c>
      <c r="Y414" s="725">
        <v>10.17</v>
      </c>
      <c r="Z414" s="725">
        <f>AW414</f>
        <v>9.843</v>
      </c>
      <c r="AA414" s="725">
        <v>10.784000000000001</v>
      </c>
      <c r="AB414" s="734">
        <v>12.121</v>
      </c>
      <c r="AC414" s="725">
        <v>13.423</v>
      </c>
      <c r="AD414" s="723">
        <f>AX414</f>
        <v>10.465</v>
      </c>
      <c r="AE414" s="725">
        <v>11.474</v>
      </c>
      <c r="AF414" s="799">
        <v>11.67</v>
      </c>
      <c r="AG414" s="730">
        <f t="shared" si="420"/>
        <v>11.67</v>
      </c>
      <c r="AH414" s="730">
        <f t="shared" si="420"/>
        <v>11.67</v>
      </c>
      <c r="AI414" s="730">
        <f>AY414</f>
        <v>11.67</v>
      </c>
      <c r="AJ414" s="730">
        <f t="shared" si="421"/>
        <v>11.67</v>
      </c>
      <c r="AK414" s="730">
        <f t="shared" si="421"/>
        <v>11.67</v>
      </c>
      <c r="AL414" s="730">
        <f t="shared" si="421"/>
        <v>11.67</v>
      </c>
      <c r="AM414" s="730"/>
      <c r="AN414" s="726">
        <v>1.9359999999999999</v>
      </c>
      <c r="AO414" s="726">
        <v>1.617</v>
      </c>
      <c r="AP414" s="726">
        <v>1.83</v>
      </c>
      <c r="AQ414" s="726">
        <v>1.75</v>
      </c>
      <c r="AR414" s="726">
        <v>2.2709999999999999</v>
      </c>
      <c r="AS414" s="726">
        <v>0.93899999999999995</v>
      </c>
      <c r="AT414" s="726">
        <v>0.73299999999999998</v>
      </c>
      <c r="AU414" s="726">
        <v>3.7050000000000001</v>
      </c>
      <c r="AV414" s="726">
        <v>5.4340000000000002</v>
      </c>
      <c r="AW414" s="726">
        <v>9.843</v>
      </c>
      <c r="AX414" s="927">
        <v>10.465</v>
      </c>
      <c r="AY414" s="729">
        <f>AH414</f>
        <v>11.67</v>
      </c>
      <c r="AZ414" s="729">
        <f>AL414</f>
        <v>11.67</v>
      </c>
      <c r="BA414" s="729">
        <f t="shared" si="422"/>
        <v>11.67</v>
      </c>
      <c r="BB414" s="729">
        <f t="shared" si="422"/>
        <v>11.67</v>
      </c>
      <c r="BC414" s="729">
        <f t="shared" si="422"/>
        <v>11.67</v>
      </c>
      <c r="BD414" s="631"/>
    </row>
    <row r="415" spans="1:56" s="38" customFormat="1" x14ac:dyDescent="0.25">
      <c r="A415" s="259" t="s">
        <v>222</v>
      </c>
      <c r="B415" s="260"/>
      <c r="C415" s="747">
        <f t="shared" ref="C415:AL415" si="423">C406+SUM(C409:C414)</f>
        <v>123.342</v>
      </c>
      <c r="D415" s="747">
        <f t="shared" si="423"/>
        <v>140.839</v>
      </c>
      <c r="E415" s="747">
        <f t="shared" si="423"/>
        <v>142.96099999999998</v>
      </c>
      <c r="F415" s="747">
        <f t="shared" si="423"/>
        <v>143.61799999999997</v>
      </c>
      <c r="G415" s="747">
        <f t="shared" si="423"/>
        <v>141.90700000000001</v>
      </c>
      <c r="H415" s="747">
        <f t="shared" si="423"/>
        <v>154.68000000000004</v>
      </c>
      <c r="I415" s="747">
        <f t="shared" si="423"/>
        <v>149.76400000000001</v>
      </c>
      <c r="J415" s="747">
        <f t="shared" si="423"/>
        <v>145.095</v>
      </c>
      <c r="K415" s="747">
        <f t="shared" si="423"/>
        <v>140.083</v>
      </c>
      <c r="L415" s="747">
        <f t="shared" si="423"/>
        <v>141.17099999999999</v>
      </c>
      <c r="M415" s="747">
        <f t="shared" si="423"/>
        <v>138.16499999999999</v>
      </c>
      <c r="N415" s="747">
        <f t="shared" si="423"/>
        <v>135.17400000000001</v>
      </c>
      <c r="O415" s="747">
        <f t="shared" si="423"/>
        <v>137.648</v>
      </c>
      <c r="P415" s="747">
        <f t="shared" si="423"/>
        <v>136.423</v>
      </c>
      <c r="Q415" s="747">
        <f t="shared" si="423"/>
        <v>134.50199999999998</v>
      </c>
      <c r="R415" s="747">
        <f t="shared" si="423"/>
        <v>142.90700000000001</v>
      </c>
      <c r="S415" s="747">
        <f t="shared" si="423"/>
        <v>149.96099999999998</v>
      </c>
      <c r="T415" s="747">
        <f t="shared" si="423"/>
        <v>159.34900000000002</v>
      </c>
      <c r="U415" s="747">
        <f t="shared" si="423"/>
        <v>165.636</v>
      </c>
      <c r="V415" s="747">
        <f t="shared" si="423"/>
        <v>164.89</v>
      </c>
      <c r="W415" s="747">
        <f t="shared" si="423"/>
        <v>175.94899999999998</v>
      </c>
      <c r="X415" s="747">
        <f t="shared" si="423"/>
        <v>204.648</v>
      </c>
      <c r="Y415" s="747">
        <f t="shared" si="423"/>
        <v>208.20699999999997</v>
      </c>
      <c r="Z415" s="747">
        <f t="shared" si="423"/>
        <v>213.83599999999998</v>
      </c>
      <c r="AA415" s="747">
        <f t="shared" si="423"/>
        <v>243.06399999999999</v>
      </c>
      <c r="AB415" s="747">
        <f t="shared" si="423"/>
        <v>242.71800000000002</v>
      </c>
      <c r="AC415" s="747">
        <f t="shared" si="423"/>
        <v>239.99599999999998</v>
      </c>
      <c r="AD415" s="745">
        <f t="shared" si="423"/>
        <v>232.547</v>
      </c>
      <c r="AE415" s="747">
        <f t="shared" si="423"/>
        <v>221.41300000000001</v>
      </c>
      <c r="AF415" s="772">
        <f t="shared" si="423"/>
        <v>220.48400000000001</v>
      </c>
      <c r="AG415" s="747">
        <f t="shared" si="423"/>
        <v>218.78399999999999</v>
      </c>
      <c r="AH415" s="747">
        <f t="shared" si="423"/>
        <v>217.084</v>
      </c>
      <c r="AI415" s="747">
        <f t="shared" si="423"/>
        <v>215.78399999999999</v>
      </c>
      <c r="AJ415" s="747">
        <f t="shared" si="423"/>
        <v>214.48400000000001</v>
      </c>
      <c r="AK415" s="747">
        <f t="shared" si="423"/>
        <v>213.184</v>
      </c>
      <c r="AL415" s="747">
        <f t="shared" si="423"/>
        <v>211.88400000000001</v>
      </c>
      <c r="AM415" s="747"/>
      <c r="AN415" s="748">
        <f t="shared" ref="AN415:BC415" si="424">AN406+SUM(AN409:AN414)</f>
        <v>83.144999999999996</v>
      </c>
      <c r="AO415" s="748">
        <f t="shared" si="424"/>
        <v>87.373000000000005</v>
      </c>
      <c r="AP415" s="748">
        <f t="shared" si="424"/>
        <v>115.85199999999999</v>
      </c>
      <c r="AQ415" s="748">
        <f t="shared" si="424"/>
        <v>125.95399999999999</v>
      </c>
      <c r="AR415" s="748">
        <f t="shared" si="424"/>
        <v>143.61799999999997</v>
      </c>
      <c r="AS415" s="748">
        <f t="shared" si="424"/>
        <v>145.095</v>
      </c>
      <c r="AT415" s="748">
        <f t="shared" si="424"/>
        <v>135.17400000000001</v>
      </c>
      <c r="AU415" s="748">
        <f t="shared" si="424"/>
        <v>142.90700000000001</v>
      </c>
      <c r="AV415" s="748">
        <f t="shared" si="424"/>
        <v>164.89</v>
      </c>
      <c r="AW415" s="748">
        <f t="shared" si="424"/>
        <v>213.83599999999998</v>
      </c>
      <c r="AX415" s="935">
        <f t="shared" si="424"/>
        <v>232.547</v>
      </c>
      <c r="AY415" s="748">
        <f t="shared" si="424"/>
        <v>217.084</v>
      </c>
      <c r="AZ415" s="748">
        <f t="shared" si="424"/>
        <v>211.88400000000001</v>
      </c>
      <c r="BA415" s="748">
        <f t="shared" si="424"/>
        <v>206.684</v>
      </c>
      <c r="BB415" s="748">
        <f t="shared" si="424"/>
        <v>201.48400000000001</v>
      </c>
      <c r="BC415" s="748">
        <f t="shared" si="424"/>
        <v>196.28399999999999</v>
      </c>
      <c r="BD415" s="632"/>
    </row>
    <row r="416" spans="1:56" s="38" customFormat="1" x14ac:dyDescent="0.25">
      <c r="A416" s="503" t="s">
        <v>223</v>
      </c>
      <c r="B416" s="504"/>
      <c r="C416" s="757">
        <f t="shared" ref="C416:AL416" si="425">C403+C415</f>
        <v>236.47199999999998</v>
      </c>
      <c r="D416" s="757">
        <f t="shared" si="425"/>
        <v>259.54899999999998</v>
      </c>
      <c r="E416" s="757">
        <f t="shared" si="425"/>
        <v>271.73599999999999</v>
      </c>
      <c r="F416" s="757">
        <f t="shared" si="425"/>
        <v>280.15599999999995</v>
      </c>
      <c r="G416" s="757">
        <f t="shared" si="425"/>
        <v>290.52800000000002</v>
      </c>
      <c r="H416" s="757">
        <f t="shared" si="425"/>
        <v>321.82900000000006</v>
      </c>
      <c r="I416" s="757">
        <f t="shared" si="425"/>
        <v>302.68399999999997</v>
      </c>
      <c r="J416" s="757">
        <f t="shared" si="425"/>
        <v>305.452</v>
      </c>
      <c r="K416" s="757">
        <f t="shared" si="425"/>
        <v>294.65499999999997</v>
      </c>
      <c r="L416" s="757">
        <f t="shared" si="425"/>
        <v>309.125</v>
      </c>
      <c r="M416" s="757">
        <f t="shared" si="425"/>
        <v>306.92099999999999</v>
      </c>
      <c r="N416" s="757">
        <f t="shared" si="425"/>
        <v>302.35000000000002</v>
      </c>
      <c r="O416" s="757">
        <f t="shared" si="425"/>
        <v>294.517</v>
      </c>
      <c r="P416" s="757">
        <f t="shared" si="425"/>
        <v>295.87</v>
      </c>
      <c r="Q416" s="757">
        <f t="shared" si="425"/>
        <v>307.30099999999993</v>
      </c>
      <c r="R416" s="757">
        <f t="shared" si="425"/>
        <v>315.601</v>
      </c>
      <c r="S416" s="757">
        <f t="shared" si="425"/>
        <v>324.54199999999997</v>
      </c>
      <c r="T416" s="757">
        <f t="shared" si="425"/>
        <v>341.48900000000003</v>
      </c>
      <c r="U416" s="757">
        <f t="shared" si="425"/>
        <v>351.07399999999996</v>
      </c>
      <c r="V416" s="757">
        <f t="shared" si="425"/>
        <v>365.00699999999995</v>
      </c>
      <c r="W416" s="757">
        <f t="shared" si="425"/>
        <v>363.07499999999999</v>
      </c>
      <c r="X416" s="757">
        <f t="shared" si="425"/>
        <v>389.09500000000003</v>
      </c>
      <c r="Y416" s="757">
        <f t="shared" si="425"/>
        <v>401.49699999999996</v>
      </c>
      <c r="Z416" s="757">
        <f t="shared" si="425"/>
        <v>434.73799999999994</v>
      </c>
      <c r="AA416" s="757">
        <f t="shared" si="425"/>
        <v>461.46500000000003</v>
      </c>
      <c r="AB416" s="757">
        <f t="shared" si="425"/>
        <v>461.255</v>
      </c>
      <c r="AC416" s="757">
        <f t="shared" si="425"/>
        <v>449.57299999999998</v>
      </c>
      <c r="AD416" s="740">
        <f t="shared" si="425"/>
        <v>448.90200000000004</v>
      </c>
      <c r="AE416" s="757">
        <f t="shared" si="425"/>
        <v>416.59400000000005</v>
      </c>
      <c r="AF416" s="758">
        <f t="shared" si="425"/>
        <v>393.71000000000004</v>
      </c>
      <c r="AG416" s="759">
        <f t="shared" ca="1" si="425"/>
        <v>395.99148004266999</v>
      </c>
      <c r="AH416" s="759">
        <f t="shared" ca="1" si="425"/>
        <v>409.02190796972059</v>
      </c>
      <c r="AI416" s="759">
        <f t="shared" ca="1" si="425"/>
        <v>399.39751241116539</v>
      </c>
      <c r="AJ416" s="759">
        <f t="shared" ca="1" si="425"/>
        <v>408.41616784801369</v>
      </c>
      <c r="AK416" s="759">
        <f t="shared" ca="1" si="425"/>
        <v>413.15539864594109</v>
      </c>
      <c r="AL416" s="759">
        <f t="shared" ca="1" si="425"/>
        <v>430.45046739653537</v>
      </c>
      <c r="AM416" s="759"/>
      <c r="AN416" s="756">
        <f t="shared" ref="AN416:BC416" si="426">AN403+AN415</f>
        <v>156.70100000000002</v>
      </c>
      <c r="AO416" s="756">
        <f t="shared" si="426"/>
        <v>183.19600000000003</v>
      </c>
      <c r="AP416" s="756">
        <f t="shared" si="426"/>
        <v>211.57599999999996</v>
      </c>
      <c r="AQ416" s="756">
        <f t="shared" si="426"/>
        <v>244.43399999999997</v>
      </c>
      <c r="AR416" s="756">
        <f t="shared" si="426"/>
        <v>280.15599999999995</v>
      </c>
      <c r="AS416" s="756">
        <f t="shared" si="426"/>
        <v>305.452</v>
      </c>
      <c r="AT416" s="756">
        <f t="shared" si="426"/>
        <v>302.35000000000002</v>
      </c>
      <c r="AU416" s="756">
        <f t="shared" si="426"/>
        <v>315.601</v>
      </c>
      <c r="AV416" s="756">
        <f t="shared" si="426"/>
        <v>365.00699999999995</v>
      </c>
      <c r="AW416" s="756">
        <f t="shared" si="426"/>
        <v>434.73799999999994</v>
      </c>
      <c r="AX416" s="934">
        <f t="shared" si="426"/>
        <v>448.90200000000004</v>
      </c>
      <c r="AY416" s="760">
        <f t="shared" ca="1" si="426"/>
        <v>409.02190796972059</v>
      </c>
      <c r="AZ416" s="760">
        <f t="shared" ca="1" si="426"/>
        <v>430.45046739653537</v>
      </c>
      <c r="BA416" s="760">
        <f t="shared" ca="1" si="426"/>
        <v>462.70697327045491</v>
      </c>
      <c r="BB416" s="760">
        <f t="shared" ca="1" si="426"/>
        <v>503.39078905323015</v>
      </c>
      <c r="BC416" s="760">
        <f t="shared" ca="1" si="426"/>
        <v>541.4326000819342</v>
      </c>
      <c r="BD416" s="632"/>
    </row>
    <row r="417" spans="1:56" s="38" customFormat="1" x14ac:dyDescent="0.25">
      <c r="A417" s="503"/>
      <c r="B417" s="504"/>
      <c r="C417" s="757"/>
      <c r="D417" s="757"/>
      <c r="E417" s="757"/>
      <c r="F417" s="757"/>
      <c r="G417" s="757"/>
      <c r="H417" s="757"/>
      <c r="I417" s="757"/>
      <c r="J417" s="757"/>
      <c r="K417" s="757"/>
      <c r="L417" s="757"/>
      <c r="M417" s="757"/>
      <c r="N417" s="757"/>
      <c r="O417" s="757"/>
      <c r="P417" s="757"/>
      <c r="Q417" s="757"/>
      <c r="R417" s="757"/>
      <c r="S417" s="757"/>
      <c r="T417" s="757"/>
      <c r="U417" s="757"/>
      <c r="V417" s="757"/>
      <c r="W417" s="757"/>
      <c r="X417" s="757"/>
      <c r="Y417" s="757"/>
      <c r="Z417" s="757"/>
      <c r="AA417" s="757"/>
      <c r="AB417" s="757"/>
      <c r="AC417" s="757"/>
      <c r="AD417" s="740"/>
      <c r="AE417" s="757"/>
      <c r="AF417" s="758"/>
      <c r="AG417" s="769"/>
      <c r="AH417" s="769"/>
      <c r="AI417" s="769"/>
      <c r="AJ417" s="769"/>
      <c r="AK417" s="769"/>
      <c r="AL417" s="769"/>
      <c r="AM417" s="769"/>
      <c r="AN417" s="756"/>
      <c r="AO417" s="756"/>
      <c r="AP417" s="756"/>
      <c r="AQ417" s="756"/>
      <c r="AR417" s="756"/>
      <c r="AS417" s="756"/>
      <c r="AT417" s="756"/>
      <c r="AU417" s="756"/>
      <c r="AV417" s="756"/>
      <c r="AW417" s="756"/>
      <c r="AX417" s="934"/>
      <c r="AY417" s="770"/>
      <c r="AZ417" s="770"/>
      <c r="BA417" s="770"/>
      <c r="BB417" s="770"/>
      <c r="BC417" s="770"/>
      <c r="BD417" s="632"/>
    </row>
    <row r="418" spans="1:56" s="38" customFormat="1" x14ac:dyDescent="0.25">
      <c r="A418" s="503" t="s">
        <v>224</v>
      </c>
      <c r="B418" s="504"/>
      <c r="C418" s="757"/>
      <c r="D418" s="757"/>
      <c r="E418" s="757"/>
      <c r="F418" s="757"/>
      <c r="G418" s="757"/>
      <c r="H418" s="757"/>
      <c r="I418" s="757"/>
      <c r="J418" s="757"/>
      <c r="K418" s="757"/>
      <c r="L418" s="757"/>
      <c r="M418" s="757"/>
      <c r="N418" s="757"/>
      <c r="O418" s="757"/>
      <c r="P418" s="757"/>
      <c r="Q418" s="757"/>
      <c r="R418" s="757"/>
      <c r="S418" s="757"/>
      <c r="T418" s="757"/>
      <c r="U418" s="757"/>
      <c r="V418" s="757"/>
      <c r="W418" s="757"/>
      <c r="X418" s="757"/>
      <c r="Y418" s="757"/>
      <c r="Z418" s="757"/>
      <c r="AA418" s="757"/>
      <c r="AB418" s="757"/>
      <c r="AC418" s="757"/>
      <c r="AD418" s="740"/>
      <c r="AE418" s="757"/>
      <c r="AF418" s="758"/>
      <c r="AG418" s="769"/>
      <c r="AH418" s="769"/>
      <c r="AI418" s="769"/>
      <c r="AJ418" s="769"/>
      <c r="AK418" s="769"/>
      <c r="AL418" s="769"/>
      <c r="AM418" s="769"/>
      <c r="AN418" s="756"/>
      <c r="AO418" s="756"/>
      <c r="AP418" s="756"/>
      <c r="AQ418" s="756"/>
      <c r="AR418" s="756"/>
      <c r="AS418" s="756"/>
      <c r="AT418" s="756"/>
      <c r="AU418" s="756"/>
      <c r="AV418" s="756"/>
      <c r="AW418" s="756"/>
      <c r="AX418" s="934"/>
      <c r="AY418" s="770"/>
      <c r="AZ418" s="770"/>
      <c r="BA418" s="770"/>
      <c r="BB418" s="770"/>
      <c r="BC418" s="770"/>
      <c r="BD418" s="632"/>
    </row>
    <row r="419" spans="1:56" s="39" customFormat="1" x14ac:dyDescent="0.25">
      <c r="A419" s="307" t="s">
        <v>225</v>
      </c>
      <c r="B419" s="225"/>
      <c r="C419" s="725">
        <v>0</v>
      </c>
      <c r="D419" s="725">
        <v>6.77</v>
      </c>
      <c r="E419" s="725">
        <v>4.82</v>
      </c>
      <c r="F419" s="725">
        <f>AR419</f>
        <v>0.40699999999999997</v>
      </c>
      <c r="G419" s="725">
        <v>2.7770000000000001</v>
      </c>
      <c r="H419" s="725">
        <v>17.771000000000001</v>
      </c>
      <c r="I419" s="725">
        <v>4.88</v>
      </c>
      <c r="J419" s="725">
        <f>AS419</f>
        <v>20.798999999999999</v>
      </c>
      <c r="K419" s="725">
        <v>21.533999999999999</v>
      </c>
      <c r="L419" s="725">
        <v>28.797999999999998</v>
      </c>
      <c r="M419" s="725">
        <v>32.906999999999996</v>
      </c>
      <c r="N419" s="725">
        <f>AT419</f>
        <v>34.084000000000003</v>
      </c>
      <c r="O419" s="725">
        <v>33.091999999999999</v>
      </c>
      <c r="P419" s="725">
        <v>42.481999999999999</v>
      </c>
      <c r="Q419" s="725">
        <v>44.848999999999997</v>
      </c>
      <c r="R419" s="725">
        <f>AU419</f>
        <v>17.693999999999999</v>
      </c>
      <c r="S419" s="725">
        <v>23.529</v>
      </c>
      <c r="T419" s="725">
        <v>24.483000000000001</v>
      </c>
      <c r="U419" s="725">
        <v>27.506</v>
      </c>
      <c r="V419" s="725">
        <f>AV419</f>
        <v>37.695999999999998</v>
      </c>
      <c r="W419" s="725">
        <v>43.706000000000003</v>
      </c>
      <c r="X419" s="725">
        <v>61.823</v>
      </c>
      <c r="Y419" s="725">
        <v>69.043999999999997</v>
      </c>
      <c r="Z419" s="725">
        <f>AW419</f>
        <v>0</v>
      </c>
      <c r="AA419" s="725"/>
      <c r="AB419" s="725"/>
      <c r="AC419" s="725"/>
      <c r="AD419" s="723">
        <f>AX419</f>
        <v>0</v>
      </c>
      <c r="AE419" s="725"/>
      <c r="AF419" s="771"/>
      <c r="AG419" s="730"/>
      <c r="AH419" s="730"/>
      <c r="AI419" s="730"/>
      <c r="AJ419" s="730"/>
      <c r="AK419" s="730"/>
      <c r="AL419" s="730"/>
      <c r="AM419" s="730"/>
      <c r="AN419" s="726">
        <v>0</v>
      </c>
      <c r="AO419" s="726">
        <v>0</v>
      </c>
      <c r="AP419" s="726">
        <v>0</v>
      </c>
      <c r="AQ419" s="726">
        <v>0</v>
      </c>
      <c r="AR419" s="726">
        <v>0.40699999999999997</v>
      </c>
      <c r="AS419" s="726">
        <v>20.798999999999999</v>
      </c>
      <c r="AT419" s="726">
        <v>34.084000000000003</v>
      </c>
      <c r="AU419" s="726">
        <v>17.693999999999999</v>
      </c>
      <c r="AV419" s="726">
        <v>37.695999999999998</v>
      </c>
      <c r="AW419" s="726"/>
      <c r="AX419" s="927"/>
      <c r="AY419" s="729"/>
      <c r="AZ419" s="729"/>
      <c r="BA419" s="729"/>
      <c r="BB419" s="729"/>
      <c r="BC419" s="729"/>
      <c r="BD419" s="631"/>
    </row>
    <row r="420" spans="1:56" s="39" customFormat="1" x14ac:dyDescent="0.25">
      <c r="A420" s="307" t="s">
        <v>226</v>
      </c>
      <c r="B420" s="225"/>
      <c r="C420" s="725">
        <v>0</v>
      </c>
      <c r="D420" s="725">
        <v>0</v>
      </c>
      <c r="E420" s="725">
        <v>0</v>
      </c>
      <c r="F420" s="725">
        <f>AR420</f>
        <v>0</v>
      </c>
      <c r="G420" s="725">
        <v>0</v>
      </c>
      <c r="H420" s="725">
        <v>0</v>
      </c>
      <c r="I420" s="725">
        <v>0</v>
      </c>
      <c r="J420" s="725">
        <f>AS420</f>
        <v>13.333</v>
      </c>
      <c r="K420" s="725">
        <v>13.333</v>
      </c>
      <c r="L420" s="725">
        <v>13.333</v>
      </c>
      <c r="M420" s="725">
        <v>13.333</v>
      </c>
      <c r="N420" s="725">
        <f>AT420</f>
        <v>13.333</v>
      </c>
      <c r="O420" s="725">
        <v>13.333</v>
      </c>
      <c r="P420" s="725">
        <v>13.333</v>
      </c>
      <c r="Q420" s="725">
        <v>13.333</v>
      </c>
      <c r="R420" s="725">
        <f>AU420</f>
        <v>12</v>
      </c>
      <c r="S420" s="725">
        <v>12</v>
      </c>
      <c r="T420" s="725">
        <v>12</v>
      </c>
      <c r="U420" s="725">
        <v>12</v>
      </c>
      <c r="V420" s="725">
        <f>AV420</f>
        <v>12</v>
      </c>
      <c r="W420" s="725">
        <v>12</v>
      </c>
      <c r="X420" s="725">
        <v>12</v>
      </c>
      <c r="Y420" s="725">
        <v>12</v>
      </c>
      <c r="Z420" s="725">
        <f>AW420</f>
        <v>0</v>
      </c>
      <c r="AA420" s="725"/>
      <c r="AB420" s="725"/>
      <c r="AC420" s="725"/>
      <c r="AD420" s="723">
        <f>AX420</f>
        <v>0</v>
      </c>
      <c r="AE420" s="725"/>
      <c r="AF420" s="771"/>
      <c r="AG420" s="730">
        <f t="shared" ref="AG420:AL420" si="427">AG228</f>
        <v>0</v>
      </c>
      <c r="AH420" s="730">
        <f t="shared" si="427"/>
        <v>0</v>
      </c>
      <c r="AI420" s="730">
        <f t="shared" si="427"/>
        <v>0</v>
      </c>
      <c r="AJ420" s="730">
        <f t="shared" si="427"/>
        <v>0</v>
      </c>
      <c r="AK420" s="730">
        <f t="shared" si="427"/>
        <v>0</v>
      </c>
      <c r="AL420" s="730">
        <f t="shared" si="427"/>
        <v>0</v>
      </c>
      <c r="AM420" s="730"/>
      <c r="AN420" s="726">
        <v>0</v>
      </c>
      <c r="AO420" s="726">
        <v>0</v>
      </c>
      <c r="AP420" s="726">
        <v>0</v>
      </c>
      <c r="AQ420" s="726">
        <v>0</v>
      </c>
      <c r="AR420" s="726">
        <v>0</v>
      </c>
      <c r="AS420" s="726">
        <v>13.333</v>
      </c>
      <c r="AT420" s="726">
        <v>13.333</v>
      </c>
      <c r="AU420" s="726">
        <v>12</v>
      </c>
      <c r="AV420" s="726">
        <v>12</v>
      </c>
      <c r="AW420" s="726"/>
      <c r="AX420" s="927"/>
      <c r="AY420" s="729">
        <f>AH420</f>
        <v>0</v>
      </c>
      <c r="AZ420" s="729">
        <f>AL420</f>
        <v>0</v>
      </c>
      <c r="BA420" s="729">
        <f>BA228</f>
        <v>0</v>
      </c>
      <c r="BB420" s="729">
        <f>BB228</f>
        <v>0</v>
      </c>
      <c r="BC420" s="729">
        <f>BC228</f>
        <v>0</v>
      </c>
      <c r="BD420" s="631"/>
    </row>
    <row r="421" spans="1:56" s="39" customFormat="1" x14ac:dyDescent="0.25">
      <c r="A421" s="307" t="s">
        <v>383</v>
      </c>
      <c r="B421" s="225"/>
      <c r="C421" s="725"/>
      <c r="D421" s="725"/>
      <c r="E421" s="725"/>
      <c r="F421" s="725"/>
      <c r="G421" s="725"/>
      <c r="H421" s="725"/>
      <c r="I421" s="725"/>
      <c r="J421" s="725"/>
      <c r="K421" s="725"/>
      <c r="L421" s="725"/>
      <c r="M421" s="725"/>
      <c r="N421" s="725"/>
      <c r="O421" s="725"/>
      <c r="P421" s="725"/>
      <c r="Q421" s="725"/>
      <c r="R421" s="725"/>
      <c r="S421" s="725"/>
      <c r="T421" s="725"/>
      <c r="U421" s="725"/>
      <c r="V421" s="725"/>
      <c r="W421" s="725"/>
      <c r="X421" s="725"/>
      <c r="Y421" s="725"/>
      <c r="Z421" s="725">
        <f>AW421</f>
        <v>0</v>
      </c>
      <c r="AA421" s="725">
        <v>9.4019999999999992</v>
      </c>
      <c r="AB421" s="725">
        <v>9.0779999999999994</v>
      </c>
      <c r="AC421" s="725">
        <v>8.4290000000000003</v>
      </c>
      <c r="AD421" s="723">
        <f>AX421</f>
        <v>7.8710000000000004</v>
      </c>
      <c r="AE421" s="725">
        <v>7.7389999999999999</v>
      </c>
      <c r="AF421" s="771">
        <v>6.7069999999999999</v>
      </c>
      <c r="AG421" s="730">
        <f>AF421</f>
        <v>6.7069999999999999</v>
      </c>
      <c r="AH421" s="730">
        <f>AG421</f>
        <v>6.7069999999999999</v>
      </c>
      <c r="AI421" s="730">
        <f>AY421</f>
        <v>6.7069999999999999</v>
      </c>
      <c r="AJ421" s="730">
        <f>AI421</f>
        <v>6.7069999999999999</v>
      </c>
      <c r="AK421" s="730">
        <f>AJ421</f>
        <v>6.7069999999999999</v>
      </c>
      <c r="AL421" s="730">
        <f>AK421</f>
        <v>6.7069999999999999</v>
      </c>
      <c r="AM421" s="730"/>
      <c r="AN421" s="726"/>
      <c r="AO421" s="726"/>
      <c r="AP421" s="726"/>
      <c r="AQ421" s="726"/>
      <c r="AR421" s="726"/>
      <c r="AS421" s="726"/>
      <c r="AT421" s="726"/>
      <c r="AU421" s="726"/>
      <c r="AV421" s="726"/>
      <c r="AW421" s="726"/>
      <c r="AX421" s="927">
        <v>7.8710000000000004</v>
      </c>
      <c r="AY421" s="729">
        <f>AH421</f>
        <v>6.7069999999999999</v>
      </c>
      <c r="AZ421" s="729">
        <f>AL421</f>
        <v>6.7069999999999999</v>
      </c>
      <c r="BA421" s="729">
        <f>AZ421</f>
        <v>6.7069999999999999</v>
      </c>
      <c r="BB421" s="729">
        <f>BA421</f>
        <v>6.7069999999999999</v>
      </c>
      <c r="BC421" s="729">
        <f>BB421</f>
        <v>6.7069999999999999</v>
      </c>
      <c r="BD421" s="631"/>
    </row>
    <row r="422" spans="1:56" s="39" customFormat="1" x14ac:dyDescent="0.25">
      <c r="A422" s="307" t="s">
        <v>162</v>
      </c>
      <c r="B422" s="225"/>
      <c r="C422" s="725">
        <v>40.329000000000001</v>
      </c>
      <c r="D422" s="725">
        <v>49.814999999999998</v>
      </c>
      <c r="E422" s="725">
        <v>51.499000000000002</v>
      </c>
      <c r="F422" s="725">
        <f>AR422</f>
        <v>55.338999999999999</v>
      </c>
      <c r="G422" s="725">
        <v>53.795999999999999</v>
      </c>
      <c r="H422" s="725">
        <v>60.975000000000001</v>
      </c>
      <c r="I422" s="725">
        <v>55.881</v>
      </c>
      <c r="J422" s="725">
        <f>AS422</f>
        <v>59.018000000000001</v>
      </c>
      <c r="K422" s="725">
        <v>56.424999999999997</v>
      </c>
      <c r="L422" s="725">
        <v>57.677</v>
      </c>
      <c r="M422" s="725">
        <v>60.746000000000002</v>
      </c>
      <c r="N422" s="725">
        <f>AT422</f>
        <v>61.070999999999998</v>
      </c>
      <c r="O422" s="725">
        <v>57.057000000000002</v>
      </c>
      <c r="P422" s="725">
        <v>55.444000000000003</v>
      </c>
      <c r="Q422" s="725">
        <v>67.066000000000003</v>
      </c>
      <c r="R422" s="725">
        <f>AU422</f>
        <v>64.596000000000004</v>
      </c>
      <c r="S422" s="725">
        <v>61.149000000000001</v>
      </c>
      <c r="T422" s="725">
        <v>72.260000000000005</v>
      </c>
      <c r="U422" s="725">
        <v>76.162000000000006</v>
      </c>
      <c r="V422" s="725">
        <f>AV422</f>
        <v>78.28</v>
      </c>
      <c r="W422" s="725">
        <v>74.888999999999996</v>
      </c>
      <c r="X422" s="725">
        <v>72.893000000000001</v>
      </c>
      <c r="Y422" s="725">
        <v>71.421999999999997</v>
      </c>
      <c r="Z422" s="725">
        <f>AW422</f>
        <v>93.254000000000005</v>
      </c>
      <c r="AA422" s="725">
        <v>92.156000000000006</v>
      </c>
      <c r="AB422" s="725">
        <v>80.117000000000004</v>
      </c>
      <c r="AC422" s="725">
        <v>77.72</v>
      </c>
      <c r="AD422" s="723">
        <f>AX422</f>
        <v>92.331999999999994</v>
      </c>
      <c r="AE422" s="725">
        <v>75.328000000000003</v>
      </c>
      <c r="AF422" s="771">
        <v>72.519000000000005</v>
      </c>
      <c r="AG422" s="730">
        <f t="shared" ref="AG422:AL422" si="428">(AG$160+AF$160+AE$160+AD$160)*AG389</f>
        <v>72.046110970429524</v>
      </c>
      <c r="AH422" s="730">
        <f t="shared" si="428"/>
        <v>80.956116340070977</v>
      </c>
      <c r="AI422" s="730">
        <f t="shared" si="428"/>
        <v>68.52155221965468</v>
      </c>
      <c r="AJ422" s="730">
        <f t="shared" si="428"/>
        <v>74.271932752780216</v>
      </c>
      <c r="AK422" s="730">
        <f t="shared" si="428"/>
        <v>75.384621842421566</v>
      </c>
      <c r="AL422" s="730">
        <f t="shared" si="428"/>
        <v>86.527613064101899</v>
      </c>
      <c r="AM422" s="730"/>
      <c r="AN422" s="726">
        <v>23.463999999999999</v>
      </c>
      <c r="AO422" s="726">
        <v>32.694000000000003</v>
      </c>
      <c r="AP422" s="726">
        <v>42.5</v>
      </c>
      <c r="AQ422" s="726">
        <v>47.457000000000001</v>
      </c>
      <c r="AR422" s="726">
        <v>55.338999999999999</v>
      </c>
      <c r="AS422" s="726">
        <v>59.018000000000001</v>
      </c>
      <c r="AT422" s="726">
        <v>61.070999999999998</v>
      </c>
      <c r="AU422" s="726">
        <v>64.596000000000004</v>
      </c>
      <c r="AV422" s="726">
        <v>78.28</v>
      </c>
      <c r="AW422" s="726">
        <v>93.254000000000005</v>
      </c>
      <c r="AX422" s="927">
        <v>92.331999999999994</v>
      </c>
      <c r="AY422" s="729">
        <f>AH422</f>
        <v>80.956116340070977</v>
      </c>
      <c r="AZ422" s="729">
        <f>AL422</f>
        <v>86.527613064101899</v>
      </c>
      <c r="BA422" s="729">
        <f>BA160*BA389</f>
        <v>95.180374370512098</v>
      </c>
      <c r="BB422" s="729">
        <f>BB160*BB389</f>
        <v>104.69841180756332</v>
      </c>
      <c r="BC422" s="729">
        <f>BC160*BC389</f>
        <v>109.93333239794148</v>
      </c>
      <c r="BD422" s="631"/>
    </row>
    <row r="423" spans="1:56" s="39" customFormat="1" x14ac:dyDescent="0.25">
      <c r="A423" s="307" t="s">
        <v>227</v>
      </c>
      <c r="B423" s="225"/>
      <c r="C423" s="725">
        <v>18.106999999999999</v>
      </c>
      <c r="D423" s="725">
        <v>18.111999999999998</v>
      </c>
      <c r="E423" s="725">
        <v>21.282</v>
      </c>
      <c r="F423" s="725">
        <f>AR423</f>
        <v>22.062000000000001</v>
      </c>
      <c r="G423" s="725">
        <v>26.617999999999999</v>
      </c>
      <c r="H423" s="725">
        <v>23.315000000000001</v>
      </c>
      <c r="I423" s="725">
        <v>18.931000000000001</v>
      </c>
      <c r="J423" s="725">
        <f>AS423</f>
        <v>23.67</v>
      </c>
      <c r="K423" s="725">
        <v>19.847000000000001</v>
      </c>
      <c r="L423" s="725">
        <v>19.706</v>
      </c>
      <c r="M423" s="725">
        <v>16.475999999999999</v>
      </c>
      <c r="N423" s="725">
        <f>AT423</f>
        <v>18.366</v>
      </c>
      <c r="O423" s="725">
        <v>17.95</v>
      </c>
      <c r="P423" s="725">
        <v>15.901</v>
      </c>
      <c r="Q423" s="725">
        <v>13.759</v>
      </c>
      <c r="R423" s="725">
        <f>AU423</f>
        <v>18.545000000000002</v>
      </c>
      <c r="S423" s="725">
        <v>21.677</v>
      </c>
      <c r="T423" s="725">
        <v>18.605</v>
      </c>
      <c r="U423" s="725">
        <v>16.620999999999999</v>
      </c>
      <c r="V423" s="725">
        <f>AV423</f>
        <v>22.356000000000002</v>
      </c>
      <c r="W423" s="725">
        <v>22.562999999999999</v>
      </c>
      <c r="X423" s="725">
        <v>18.693999999999999</v>
      </c>
      <c r="Y423" s="725">
        <v>23.498999999999999</v>
      </c>
      <c r="Z423" s="725">
        <f>AW423</f>
        <v>23.704000000000001</v>
      </c>
      <c r="AA423" s="734">
        <v>18.100000000000001</v>
      </c>
      <c r="AB423" s="734">
        <v>23.812000000000001</v>
      </c>
      <c r="AC423" s="725">
        <v>21.594000000000001</v>
      </c>
      <c r="AD423" s="723">
        <f>AX423</f>
        <v>23.234000000000002</v>
      </c>
      <c r="AE423" s="734">
        <v>25.56</v>
      </c>
      <c r="AF423" s="799">
        <v>21.529</v>
      </c>
      <c r="AG423" s="730">
        <f>AF423</f>
        <v>21.529</v>
      </c>
      <c r="AH423" s="730">
        <f>AG423</f>
        <v>21.529</v>
      </c>
      <c r="AI423" s="730">
        <f>AY423</f>
        <v>21.529</v>
      </c>
      <c r="AJ423" s="730">
        <f>AI423</f>
        <v>21.529</v>
      </c>
      <c r="AK423" s="730">
        <f>AJ423</f>
        <v>21.529</v>
      </c>
      <c r="AL423" s="730">
        <f>AK423</f>
        <v>21.529</v>
      </c>
      <c r="AM423" s="730"/>
      <c r="AN423" s="726">
        <v>13.272</v>
      </c>
      <c r="AO423" s="726">
        <v>15.807</v>
      </c>
      <c r="AP423" s="726">
        <v>17.265999999999998</v>
      </c>
      <c r="AQ423" s="726">
        <v>21.876999999999999</v>
      </c>
      <c r="AR423" s="726">
        <v>22.062000000000001</v>
      </c>
      <c r="AS423" s="726">
        <v>23.67</v>
      </c>
      <c r="AT423" s="726">
        <v>18.366</v>
      </c>
      <c r="AU423" s="726">
        <v>18.545000000000002</v>
      </c>
      <c r="AV423" s="726">
        <v>22.356000000000002</v>
      </c>
      <c r="AW423" s="726">
        <v>23.704000000000001</v>
      </c>
      <c r="AX423" s="927">
        <v>23.234000000000002</v>
      </c>
      <c r="AY423" s="729">
        <f>AH423</f>
        <v>21.529</v>
      </c>
      <c r="AZ423" s="729">
        <f>AL423</f>
        <v>21.529</v>
      </c>
      <c r="BA423" s="729">
        <f>AZ423</f>
        <v>21.529</v>
      </c>
      <c r="BB423" s="729">
        <f>BA423</f>
        <v>21.529</v>
      </c>
      <c r="BC423" s="729">
        <f>BB423</f>
        <v>21.529</v>
      </c>
      <c r="BD423" s="631"/>
    </row>
    <row r="424" spans="1:56" s="38" customFormat="1" x14ac:dyDescent="0.25">
      <c r="A424" s="259" t="s">
        <v>228</v>
      </c>
      <c r="B424" s="260"/>
      <c r="C424" s="747">
        <f t="shared" ref="C424:AL424" si="429">SUM(C419:C423)</f>
        <v>58.436</v>
      </c>
      <c r="D424" s="747">
        <f t="shared" si="429"/>
        <v>74.696999999999989</v>
      </c>
      <c r="E424" s="747">
        <f t="shared" si="429"/>
        <v>77.600999999999999</v>
      </c>
      <c r="F424" s="747">
        <f t="shared" si="429"/>
        <v>77.807999999999993</v>
      </c>
      <c r="G424" s="747">
        <f t="shared" si="429"/>
        <v>83.191000000000003</v>
      </c>
      <c r="H424" s="747">
        <f t="shared" si="429"/>
        <v>102.06100000000001</v>
      </c>
      <c r="I424" s="747">
        <f t="shared" si="429"/>
        <v>79.692000000000007</v>
      </c>
      <c r="J424" s="747">
        <f t="shared" si="429"/>
        <v>116.82000000000001</v>
      </c>
      <c r="K424" s="747">
        <f t="shared" si="429"/>
        <v>111.13900000000001</v>
      </c>
      <c r="L424" s="747">
        <f t="shared" si="429"/>
        <v>119.514</v>
      </c>
      <c r="M424" s="747">
        <f t="shared" si="429"/>
        <v>123.46199999999999</v>
      </c>
      <c r="N424" s="747">
        <f t="shared" si="429"/>
        <v>126.854</v>
      </c>
      <c r="O424" s="747">
        <f t="shared" si="429"/>
        <v>121.432</v>
      </c>
      <c r="P424" s="747">
        <f t="shared" si="429"/>
        <v>127.16</v>
      </c>
      <c r="Q424" s="747">
        <f t="shared" si="429"/>
        <v>139.00700000000001</v>
      </c>
      <c r="R424" s="747">
        <f t="shared" si="429"/>
        <v>112.83500000000001</v>
      </c>
      <c r="S424" s="747">
        <f t="shared" si="429"/>
        <v>118.35499999999999</v>
      </c>
      <c r="T424" s="747">
        <f t="shared" si="429"/>
        <v>127.34800000000001</v>
      </c>
      <c r="U424" s="747">
        <f t="shared" si="429"/>
        <v>132.28900000000002</v>
      </c>
      <c r="V424" s="747">
        <f t="shared" si="429"/>
        <v>150.33199999999999</v>
      </c>
      <c r="W424" s="747">
        <f t="shared" si="429"/>
        <v>153.15799999999999</v>
      </c>
      <c r="X424" s="747">
        <f t="shared" si="429"/>
        <v>165.41</v>
      </c>
      <c r="Y424" s="747">
        <f t="shared" si="429"/>
        <v>175.965</v>
      </c>
      <c r="Z424" s="747">
        <f t="shared" si="429"/>
        <v>116.958</v>
      </c>
      <c r="AA424" s="747">
        <f t="shared" si="429"/>
        <v>119.65800000000002</v>
      </c>
      <c r="AB424" s="747">
        <f t="shared" si="429"/>
        <v>113.00700000000001</v>
      </c>
      <c r="AC424" s="747">
        <f t="shared" si="429"/>
        <v>107.74299999999999</v>
      </c>
      <c r="AD424" s="745">
        <f t="shared" si="429"/>
        <v>123.43699999999998</v>
      </c>
      <c r="AE424" s="747">
        <f t="shared" si="429"/>
        <v>108.62700000000001</v>
      </c>
      <c r="AF424" s="772">
        <f t="shared" si="429"/>
        <v>100.755</v>
      </c>
      <c r="AG424" s="747">
        <f t="shared" si="429"/>
        <v>100.28211097042951</v>
      </c>
      <c r="AH424" s="747">
        <f t="shared" si="429"/>
        <v>109.19211634007097</v>
      </c>
      <c r="AI424" s="747">
        <f t="shared" si="429"/>
        <v>96.75755221965467</v>
      </c>
      <c r="AJ424" s="747">
        <f t="shared" si="429"/>
        <v>102.50793275278021</v>
      </c>
      <c r="AK424" s="747">
        <f t="shared" si="429"/>
        <v>103.62062184242156</v>
      </c>
      <c r="AL424" s="747">
        <f t="shared" si="429"/>
        <v>114.76361306410189</v>
      </c>
      <c r="AM424" s="747"/>
      <c r="AN424" s="748">
        <f t="shared" ref="AN424:BC424" si="430">SUM(AN419:AN423)</f>
        <v>36.735999999999997</v>
      </c>
      <c r="AO424" s="748">
        <f t="shared" si="430"/>
        <v>48.501000000000005</v>
      </c>
      <c r="AP424" s="748">
        <f t="shared" si="430"/>
        <v>59.765999999999998</v>
      </c>
      <c r="AQ424" s="748">
        <f t="shared" si="430"/>
        <v>69.334000000000003</v>
      </c>
      <c r="AR424" s="748">
        <f t="shared" si="430"/>
        <v>77.807999999999993</v>
      </c>
      <c r="AS424" s="748">
        <f t="shared" si="430"/>
        <v>116.82000000000001</v>
      </c>
      <c r="AT424" s="748">
        <f t="shared" si="430"/>
        <v>126.854</v>
      </c>
      <c r="AU424" s="748">
        <f t="shared" si="430"/>
        <v>112.83500000000001</v>
      </c>
      <c r="AV424" s="748">
        <f t="shared" si="430"/>
        <v>150.33199999999999</v>
      </c>
      <c r="AW424" s="748">
        <f t="shared" si="430"/>
        <v>116.958</v>
      </c>
      <c r="AX424" s="935">
        <f t="shared" si="430"/>
        <v>123.43699999999998</v>
      </c>
      <c r="AY424" s="748">
        <f t="shared" si="430"/>
        <v>109.19211634007097</v>
      </c>
      <c r="AZ424" s="748">
        <f t="shared" si="430"/>
        <v>114.76361306410189</v>
      </c>
      <c r="BA424" s="748">
        <f t="shared" si="430"/>
        <v>123.41637437051209</v>
      </c>
      <c r="BB424" s="748">
        <f t="shared" si="430"/>
        <v>132.93441180756332</v>
      </c>
      <c r="BC424" s="748">
        <f t="shared" si="430"/>
        <v>138.16933239794147</v>
      </c>
      <c r="BD424" s="632"/>
    </row>
    <row r="425" spans="1:56" s="38" customFormat="1" x14ac:dyDescent="0.25">
      <c r="A425" s="503"/>
      <c r="B425" s="504"/>
      <c r="C425" s="757"/>
      <c r="D425" s="757"/>
      <c r="E425" s="757"/>
      <c r="F425" s="757"/>
      <c r="G425" s="757"/>
      <c r="H425" s="757"/>
      <c r="I425" s="757"/>
      <c r="J425" s="757"/>
      <c r="K425" s="757"/>
      <c r="L425" s="757"/>
      <c r="M425" s="757"/>
      <c r="N425" s="757"/>
      <c r="O425" s="757"/>
      <c r="P425" s="757"/>
      <c r="Q425" s="757"/>
      <c r="R425" s="757"/>
      <c r="S425" s="757"/>
      <c r="T425" s="757"/>
      <c r="U425" s="757"/>
      <c r="V425" s="757"/>
      <c r="W425" s="757"/>
      <c r="X425" s="757"/>
      <c r="Y425" s="757"/>
      <c r="Z425" s="757"/>
      <c r="AA425" s="757"/>
      <c r="AB425" s="757"/>
      <c r="AC425" s="757"/>
      <c r="AD425" s="740"/>
      <c r="AE425" s="757"/>
      <c r="AF425" s="758"/>
      <c r="AG425" s="769"/>
      <c r="AH425" s="769"/>
      <c r="AI425" s="769"/>
      <c r="AJ425" s="769"/>
      <c r="AK425" s="769"/>
      <c r="AL425" s="769"/>
      <c r="AM425" s="769"/>
      <c r="AN425" s="756"/>
      <c r="AO425" s="756"/>
      <c r="AP425" s="756"/>
      <c r="AQ425" s="756"/>
      <c r="AR425" s="756"/>
      <c r="AS425" s="756"/>
      <c r="AT425" s="756"/>
      <c r="AU425" s="756"/>
      <c r="AV425" s="756"/>
      <c r="AW425" s="756"/>
      <c r="AX425" s="934"/>
      <c r="AY425" s="770"/>
      <c r="AZ425" s="770"/>
      <c r="BA425" s="770"/>
      <c r="BB425" s="770"/>
      <c r="BC425" s="770"/>
      <c r="BD425" s="632"/>
    </row>
    <row r="426" spans="1:56" s="38" customFormat="1" x14ac:dyDescent="0.25">
      <c r="A426" s="518" t="s">
        <v>229</v>
      </c>
      <c r="B426" s="504"/>
      <c r="C426" s="757"/>
      <c r="D426" s="757"/>
      <c r="E426" s="757"/>
      <c r="F426" s="757"/>
      <c r="G426" s="757"/>
      <c r="H426" s="757"/>
      <c r="I426" s="757"/>
      <c r="J426" s="757"/>
      <c r="K426" s="757"/>
      <c r="L426" s="757"/>
      <c r="M426" s="757"/>
      <c r="N426" s="757"/>
      <c r="O426" s="757"/>
      <c r="P426" s="757"/>
      <c r="Q426" s="757"/>
      <c r="R426" s="757"/>
      <c r="S426" s="757"/>
      <c r="T426" s="757"/>
      <c r="U426" s="757"/>
      <c r="V426" s="757"/>
      <c r="W426" s="757"/>
      <c r="X426" s="757"/>
      <c r="Y426" s="757"/>
      <c r="Z426" s="757"/>
      <c r="AA426" s="757"/>
      <c r="AB426" s="757"/>
      <c r="AC426" s="757"/>
      <c r="AD426" s="740"/>
      <c r="AE426" s="757"/>
      <c r="AF426" s="758"/>
      <c r="AG426" s="769"/>
      <c r="AH426" s="769"/>
      <c r="AI426" s="769"/>
      <c r="AJ426" s="769"/>
      <c r="AK426" s="769"/>
      <c r="AL426" s="769"/>
      <c r="AM426" s="769"/>
      <c r="AN426" s="756"/>
      <c r="AO426" s="756"/>
      <c r="AP426" s="756"/>
      <c r="AQ426" s="756"/>
      <c r="AR426" s="756"/>
      <c r="AS426" s="756"/>
      <c r="AT426" s="756"/>
      <c r="AU426" s="756"/>
      <c r="AV426" s="756"/>
      <c r="AW426" s="756"/>
      <c r="AX426" s="934"/>
      <c r="AY426" s="770"/>
      <c r="AZ426" s="770"/>
      <c r="BA426" s="770"/>
      <c r="BB426" s="770"/>
      <c r="BC426" s="770"/>
      <c r="BD426" s="632"/>
    </row>
    <row r="427" spans="1:56" s="39" customFormat="1" x14ac:dyDescent="0.25">
      <c r="A427" s="307" t="s">
        <v>230</v>
      </c>
      <c r="B427" s="225"/>
      <c r="C427" s="725">
        <v>0</v>
      </c>
      <c r="D427" s="725">
        <v>0</v>
      </c>
      <c r="E427" s="725">
        <v>0</v>
      </c>
      <c r="F427" s="725">
        <f>AR427</f>
        <v>0</v>
      </c>
      <c r="G427" s="725">
        <v>0</v>
      </c>
      <c r="H427" s="725">
        <v>0</v>
      </c>
      <c r="I427" s="725">
        <v>0</v>
      </c>
      <c r="J427" s="725">
        <f>AS427</f>
        <v>24.443999999999999</v>
      </c>
      <c r="K427" s="725">
        <v>21.111000000000001</v>
      </c>
      <c r="L427" s="725">
        <v>17.777999999999999</v>
      </c>
      <c r="M427" s="725">
        <v>14.444000000000001</v>
      </c>
      <c r="N427" s="725">
        <f>AT427</f>
        <v>11.111000000000001</v>
      </c>
      <c r="O427" s="725">
        <v>7.7779999999999996</v>
      </c>
      <c r="P427" s="725">
        <v>4.444</v>
      </c>
      <c r="Q427" s="725">
        <v>1.111</v>
      </c>
      <c r="R427" s="725">
        <f>AU427</f>
        <v>28</v>
      </c>
      <c r="S427" s="725">
        <v>25</v>
      </c>
      <c r="T427" s="725">
        <v>22</v>
      </c>
      <c r="U427" s="725">
        <v>19</v>
      </c>
      <c r="V427" s="725">
        <f>AV427</f>
        <v>16</v>
      </c>
      <c r="W427" s="725">
        <v>13</v>
      </c>
      <c r="X427" s="725">
        <v>28</v>
      </c>
      <c r="Y427" s="725">
        <v>25</v>
      </c>
      <c r="Z427" s="725">
        <f>AW427</f>
        <v>116.5</v>
      </c>
      <c r="AA427" s="725">
        <v>116.607</v>
      </c>
      <c r="AB427" s="725">
        <v>119.65</v>
      </c>
      <c r="AC427" s="725">
        <v>113.15</v>
      </c>
      <c r="AD427" s="723">
        <f>AX427</f>
        <v>82.87</v>
      </c>
      <c r="AE427" s="725">
        <v>74.837000000000003</v>
      </c>
      <c r="AF427" s="771">
        <v>57.65</v>
      </c>
      <c r="AG427" s="730">
        <f t="shared" ref="AG427:AL427" si="431">AG229</f>
        <v>57.65</v>
      </c>
      <c r="AH427" s="730">
        <f t="shared" si="431"/>
        <v>57.65</v>
      </c>
      <c r="AI427" s="730">
        <f t="shared" si="431"/>
        <v>57.65</v>
      </c>
      <c r="AJ427" s="730">
        <f t="shared" si="431"/>
        <v>57.65</v>
      </c>
      <c r="AK427" s="730">
        <f t="shared" si="431"/>
        <v>57.65</v>
      </c>
      <c r="AL427" s="730">
        <f t="shared" si="431"/>
        <v>57.65</v>
      </c>
      <c r="AM427" s="730"/>
      <c r="AN427" s="726">
        <v>0</v>
      </c>
      <c r="AO427" s="726">
        <v>0</v>
      </c>
      <c r="AP427" s="726">
        <v>0</v>
      </c>
      <c r="AQ427" s="726">
        <v>0</v>
      </c>
      <c r="AR427" s="726">
        <v>0</v>
      </c>
      <c r="AS427" s="726">
        <v>24.443999999999999</v>
      </c>
      <c r="AT427" s="726">
        <v>11.111000000000001</v>
      </c>
      <c r="AU427" s="726">
        <v>28</v>
      </c>
      <c r="AV427" s="726">
        <v>16</v>
      </c>
      <c r="AW427" s="726">
        <v>116.5</v>
      </c>
      <c r="AX427" s="927">
        <v>82.87</v>
      </c>
      <c r="AY427" s="729">
        <f>AH427</f>
        <v>57.65</v>
      </c>
      <c r="AZ427" s="729">
        <f>AL427</f>
        <v>57.65</v>
      </c>
      <c r="BA427" s="729">
        <f>BA229</f>
        <v>57.65</v>
      </c>
      <c r="BB427" s="729">
        <f>BB229</f>
        <v>57.65</v>
      </c>
      <c r="BC427" s="729">
        <f>BC229</f>
        <v>57.65</v>
      </c>
      <c r="BD427" s="631"/>
    </row>
    <row r="428" spans="1:56" s="39" customFormat="1" x14ac:dyDescent="0.25">
      <c r="A428" s="307" t="s">
        <v>384</v>
      </c>
      <c r="B428" s="225"/>
      <c r="C428" s="725"/>
      <c r="D428" s="725"/>
      <c r="E428" s="725"/>
      <c r="F428" s="725"/>
      <c r="G428" s="725"/>
      <c r="H428" s="725"/>
      <c r="I428" s="725"/>
      <c r="J428" s="725"/>
      <c r="K428" s="725"/>
      <c r="L428" s="725"/>
      <c r="M428" s="725"/>
      <c r="N428" s="725"/>
      <c r="O428" s="725"/>
      <c r="P428" s="725"/>
      <c r="Q428" s="725"/>
      <c r="R428" s="725"/>
      <c r="S428" s="725"/>
      <c r="T428" s="725"/>
      <c r="U428" s="725"/>
      <c r="V428" s="725"/>
      <c r="W428" s="725"/>
      <c r="X428" s="725"/>
      <c r="Y428" s="725"/>
      <c r="Z428" s="725">
        <f>AW428</f>
        <v>0</v>
      </c>
      <c r="AA428" s="725">
        <v>23.652999999999999</v>
      </c>
      <c r="AB428" s="725">
        <v>23.414999999999999</v>
      </c>
      <c r="AC428" s="725">
        <v>22.196000000000002</v>
      </c>
      <c r="AD428" s="723">
        <f>AX428</f>
        <v>22.158999999999999</v>
      </c>
      <c r="AE428" s="725">
        <v>20.776</v>
      </c>
      <c r="AF428" s="771">
        <v>19.824000000000002</v>
      </c>
      <c r="AG428" s="730">
        <f>AF428</f>
        <v>19.824000000000002</v>
      </c>
      <c r="AH428" s="730">
        <f>AG428</f>
        <v>19.824000000000002</v>
      </c>
      <c r="AI428" s="730">
        <f>AY428</f>
        <v>19.824000000000002</v>
      </c>
      <c r="AJ428" s="730">
        <f t="shared" ref="AJ428:AL429" si="432">AI428</f>
        <v>19.824000000000002</v>
      </c>
      <c r="AK428" s="730">
        <f t="shared" si="432"/>
        <v>19.824000000000002</v>
      </c>
      <c r="AL428" s="730">
        <f t="shared" si="432"/>
        <v>19.824000000000002</v>
      </c>
      <c r="AM428" s="730"/>
      <c r="AN428" s="726"/>
      <c r="AO428" s="726"/>
      <c r="AP428" s="726"/>
      <c r="AQ428" s="726"/>
      <c r="AR428" s="726"/>
      <c r="AS428" s="726"/>
      <c r="AT428" s="726"/>
      <c r="AU428" s="726"/>
      <c r="AV428" s="726"/>
      <c r="AW428" s="726"/>
      <c r="AX428" s="927">
        <v>22.158999999999999</v>
      </c>
      <c r="AY428" s="729">
        <f>AH428</f>
        <v>19.824000000000002</v>
      </c>
      <c r="AZ428" s="729">
        <f>AL428</f>
        <v>19.824000000000002</v>
      </c>
      <c r="BA428" s="729">
        <f t="shared" ref="BA428:BC429" si="433">AZ428</f>
        <v>19.824000000000002</v>
      </c>
      <c r="BB428" s="729">
        <f t="shared" si="433"/>
        <v>19.824000000000002</v>
      </c>
      <c r="BC428" s="729">
        <f t="shared" si="433"/>
        <v>19.824000000000002</v>
      </c>
      <c r="BD428" s="631"/>
    </row>
    <row r="429" spans="1:56" s="39" customFormat="1" x14ac:dyDescent="0.25">
      <c r="A429" s="307" t="s">
        <v>231</v>
      </c>
      <c r="B429" s="225"/>
      <c r="C429" s="725">
        <v>0</v>
      </c>
      <c r="D429" s="725">
        <v>0</v>
      </c>
      <c r="E429" s="725">
        <v>0</v>
      </c>
      <c r="F429" s="725">
        <f>AR429</f>
        <v>7.2869999999999999</v>
      </c>
      <c r="G429" s="725">
        <v>0</v>
      </c>
      <c r="H429" s="725">
        <v>0</v>
      </c>
      <c r="I429" s="725">
        <v>0</v>
      </c>
      <c r="J429" s="725">
        <f>AS429</f>
        <v>8.0860000000000003</v>
      </c>
      <c r="K429" s="725">
        <v>0</v>
      </c>
      <c r="L429" s="725">
        <v>0</v>
      </c>
      <c r="M429" s="725">
        <v>0</v>
      </c>
      <c r="N429" s="725">
        <f>AT429</f>
        <v>3.6059999999999999</v>
      </c>
      <c r="O429" s="725">
        <v>0</v>
      </c>
      <c r="P429" s="725">
        <v>0</v>
      </c>
      <c r="Q429" s="725"/>
      <c r="R429" s="725">
        <f>AU429</f>
        <v>3.1240000000000001</v>
      </c>
      <c r="S429" s="725"/>
      <c r="T429" s="725">
        <v>0</v>
      </c>
      <c r="U429" s="725"/>
      <c r="V429" s="725">
        <f>AV429</f>
        <v>3.1859999999999999</v>
      </c>
      <c r="W429" s="725"/>
      <c r="X429" s="725"/>
      <c r="Y429" s="725"/>
      <c r="Z429" s="725">
        <f>AW429</f>
        <v>8.8170000000000002</v>
      </c>
      <c r="AA429" s="725"/>
      <c r="AB429" s="725"/>
      <c r="AC429" s="725"/>
      <c r="AD429" s="723">
        <f>AX429</f>
        <v>7.4390000000000001</v>
      </c>
      <c r="AE429" s="725"/>
      <c r="AF429" s="779">
        <v>0</v>
      </c>
      <c r="AG429" s="730">
        <f>AF429</f>
        <v>0</v>
      </c>
      <c r="AH429" s="730">
        <f>AG429</f>
        <v>0</v>
      </c>
      <c r="AI429" s="730">
        <f>AY429</f>
        <v>0</v>
      </c>
      <c r="AJ429" s="730">
        <f t="shared" si="432"/>
        <v>0</v>
      </c>
      <c r="AK429" s="730">
        <f t="shared" si="432"/>
        <v>0</v>
      </c>
      <c r="AL429" s="730">
        <f t="shared" si="432"/>
        <v>0</v>
      </c>
      <c r="AM429" s="730"/>
      <c r="AN429" s="726">
        <v>1.2749999999999999</v>
      </c>
      <c r="AO429" s="726">
        <v>3.423</v>
      </c>
      <c r="AP429" s="726">
        <v>5.3230000000000004</v>
      </c>
      <c r="AQ429" s="726">
        <v>6.8739999999999997</v>
      </c>
      <c r="AR429" s="726">
        <v>7.2869999999999999</v>
      </c>
      <c r="AS429" s="726">
        <v>8.0860000000000003</v>
      </c>
      <c r="AT429" s="726">
        <v>3.6059999999999999</v>
      </c>
      <c r="AU429" s="726">
        <v>3.1240000000000001</v>
      </c>
      <c r="AV429" s="726">
        <v>3.1859999999999999</v>
      </c>
      <c r="AW429" s="726">
        <v>8.8170000000000002</v>
      </c>
      <c r="AX429" s="927">
        <v>7.4390000000000001</v>
      </c>
      <c r="AY429" s="729">
        <f>AH429</f>
        <v>0</v>
      </c>
      <c r="AZ429" s="729">
        <f>AL429</f>
        <v>0</v>
      </c>
      <c r="BA429" s="729">
        <f t="shared" si="433"/>
        <v>0</v>
      </c>
      <c r="BB429" s="729">
        <f t="shared" si="433"/>
        <v>0</v>
      </c>
      <c r="BC429" s="729">
        <f t="shared" si="433"/>
        <v>0</v>
      </c>
      <c r="BD429" s="631"/>
    </row>
    <row r="430" spans="1:56" s="39" customFormat="1" x14ac:dyDescent="0.25">
      <c r="A430" s="307" t="s">
        <v>232</v>
      </c>
      <c r="B430" s="225"/>
      <c r="C430" s="725">
        <v>7.173</v>
      </c>
      <c r="D430" s="725">
        <v>8.4619999999999997</v>
      </c>
      <c r="E430" s="725">
        <v>8.8170000000000002</v>
      </c>
      <c r="F430" s="725">
        <f>AR430</f>
        <v>2.0339999999999998</v>
      </c>
      <c r="G430" s="725">
        <v>9.5139999999999993</v>
      </c>
      <c r="H430" s="725">
        <v>12.08</v>
      </c>
      <c r="I430" s="725">
        <v>12.64</v>
      </c>
      <c r="J430" s="725">
        <f>AS430</f>
        <v>4.3769999999999998</v>
      </c>
      <c r="K430" s="725">
        <v>10.161</v>
      </c>
      <c r="L430" s="725">
        <v>10.423999999999999</v>
      </c>
      <c r="M430" s="725">
        <v>10.778</v>
      </c>
      <c r="N430" s="725">
        <f>AT430</f>
        <v>2.4350000000000001</v>
      </c>
      <c r="O430" s="725">
        <v>6.3559999999999999</v>
      </c>
      <c r="P430" s="725">
        <v>6.3680000000000003</v>
      </c>
      <c r="Q430" s="725">
        <v>5.1159999999999997</v>
      </c>
      <c r="R430" s="725">
        <f>AU430</f>
        <v>4.1459999999999999</v>
      </c>
      <c r="S430" s="725">
        <v>8.9030000000000005</v>
      </c>
      <c r="T430" s="725">
        <v>9.6140000000000008</v>
      </c>
      <c r="U430" s="725">
        <v>10.077999999999999</v>
      </c>
      <c r="V430" s="725">
        <f>AV430</f>
        <v>7.4349999999999996</v>
      </c>
      <c r="W430" s="725">
        <v>9.8949999999999996</v>
      </c>
      <c r="X430" s="725">
        <v>9.6010000000000009</v>
      </c>
      <c r="Y430" s="725">
        <v>11.334</v>
      </c>
      <c r="Z430" s="725">
        <f>AW430</f>
        <v>5.8940000000000001</v>
      </c>
      <c r="AA430" s="725">
        <v>11.833</v>
      </c>
      <c r="AB430" s="734">
        <v>11.419</v>
      </c>
      <c r="AC430" s="725">
        <v>11.441000000000001</v>
      </c>
      <c r="AD430" s="723">
        <f>AX430</f>
        <v>3.0830000000000002</v>
      </c>
      <c r="AE430" s="725">
        <v>9.8620000000000001</v>
      </c>
      <c r="AF430" s="798">
        <f>12.74-AF429</f>
        <v>12.74</v>
      </c>
      <c r="AG430" s="730">
        <f>AF430+AG335</f>
        <v>12.756290507431695</v>
      </c>
      <c r="AH430" s="730">
        <f ca="1">AG430+AH335</f>
        <v>12.79032196921623</v>
      </c>
      <c r="AI430" s="730">
        <f ca="1">AY430+AI335</f>
        <v>12.807337145344295</v>
      </c>
      <c r="AJ430" s="730">
        <f ca="1">AI430+AJ335</f>
        <v>12.830301754483552</v>
      </c>
      <c r="AK430" s="730">
        <f ca="1">AJ430+AK335</f>
        <v>12.857919179266487</v>
      </c>
      <c r="AL430" s="730">
        <f ca="1">AK430+AL335</f>
        <v>12.918335770551083</v>
      </c>
      <c r="AM430" s="730"/>
      <c r="AN430" s="726">
        <v>7.8</v>
      </c>
      <c r="AO430" s="726">
        <v>6.4850000000000003</v>
      </c>
      <c r="AP430" s="726">
        <v>3.093</v>
      </c>
      <c r="AQ430" s="726">
        <v>0.88900000000000001</v>
      </c>
      <c r="AR430" s="726">
        <v>2.0339999999999998</v>
      </c>
      <c r="AS430" s="726">
        <v>4.3769999999999998</v>
      </c>
      <c r="AT430" s="726">
        <v>2.4350000000000001</v>
      </c>
      <c r="AU430" s="726">
        <v>4.1459999999999999</v>
      </c>
      <c r="AV430" s="726">
        <v>7.4349999999999996</v>
      </c>
      <c r="AW430" s="726">
        <v>5.8940000000000001</v>
      </c>
      <c r="AX430" s="927">
        <v>3.0830000000000002</v>
      </c>
      <c r="AY430" s="729">
        <f ca="1">AH430</f>
        <v>12.79032196921623</v>
      </c>
      <c r="AZ430" s="729">
        <f ca="1">AL430</f>
        <v>12.918335770551083</v>
      </c>
      <c r="BA430" s="729">
        <f ca="1">AZ430+BA335</f>
        <v>13.146955829869388</v>
      </c>
      <c r="BB430" s="729">
        <f ca="1">BA430+BB335</f>
        <v>13.473784120073594</v>
      </c>
      <c r="BC430" s="729">
        <f ca="1">BB430+BC335</f>
        <v>13.821925554337565</v>
      </c>
      <c r="BD430" s="631"/>
    </row>
    <row r="431" spans="1:56" s="38" customFormat="1" x14ac:dyDescent="0.25">
      <c r="A431" s="259" t="s">
        <v>233</v>
      </c>
      <c r="B431" s="260"/>
      <c r="C431" s="747">
        <f t="shared" ref="C431:AL431" si="434">SUM(C427:C430)</f>
        <v>7.173</v>
      </c>
      <c r="D431" s="747">
        <f t="shared" si="434"/>
        <v>8.4619999999999997</v>
      </c>
      <c r="E431" s="747">
        <f t="shared" si="434"/>
        <v>8.8170000000000002</v>
      </c>
      <c r="F431" s="747">
        <f t="shared" si="434"/>
        <v>9.3209999999999997</v>
      </c>
      <c r="G431" s="747">
        <f t="shared" si="434"/>
        <v>9.5139999999999993</v>
      </c>
      <c r="H431" s="747">
        <f t="shared" si="434"/>
        <v>12.08</v>
      </c>
      <c r="I431" s="747">
        <f t="shared" si="434"/>
        <v>12.64</v>
      </c>
      <c r="J431" s="747">
        <f t="shared" si="434"/>
        <v>36.907000000000004</v>
      </c>
      <c r="K431" s="747">
        <f t="shared" si="434"/>
        <v>31.271999999999998</v>
      </c>
      <c r="L431" s="747">
        <f t="shared" si="434"/>
        <v>28.201999999999998</v>
      </c>
      <c r="M431" s="747">
        <f t="shared" si="434"/>
        <v>25.222000000000001</v>
      </c>
      <c r="N431" s="747">
        <f t="shared" si="434"/>
        <v>17.152000000000001</v>
      </c>
      <c r="O431" s="747">
        <f t="shared" si="434"/>
        <v>14.134</v>
      </c>
      <c r="P431" s="747">
        <f t="shared" si="434"/>
        <v>10.812000000000001</v>
      </c>
      <c r="Q431" s="747">
        <f t="shared" si="434"/>
        <v>6.2269999999999994</v>
      </c>
      <c r="R431" s="747">
        <f t="shared" si="434"/>
        <v>35.269999999999996</v>
      </c>
      <c r="S431" s="747">
        <f t="shared" si="434"/>
        <v>33.902999999999999</v>
      </c>
      <c r="T431" s="747">
        <f t="shared" si="434"/>
        <v>31.614000000000001</v>
      </c>
      <c r="U431" s="747">
        <f t="shared" si="434"/>
        <v>29.077999999999999</v>
      </c>
      <c r="V431" s="747">
        <f t="shared" si="434"/>
        <v>26.620999999999999</v>
      </c>
      <c r="W431" s="747">
        <f t="shared" si="434"/>
        <v>22.895</v>
      </c>
      <c r="X431" s="747">
        <f t="shared" si="434"/>
        <v>37.600999999999999</v>
      </c>
      <c r="Y431" s="747">
        <f t="shared" si="434"/>
        <v>36.334000000000003</v>
      </c>
      <c r="Z431" s="747">
        <f t="shared" si="434"/>
        <v>131.21100000000001</v>
      </c>
      <c r="AA431" s="747">
        <f t="shared" si="434"/>
        <v>152.09299999999999</v>
      </c>
      <c r="AB431" s="747">
        <f t="shared" si="434"/>
        <v>154.48400000000001</v>
      </c>
      <c r="AC431" s="747">
        <f t="shared" si="434"/>
        <v>146.78700000000001</v>
      </c>
      <c r="AD431" s="745">
        <f t="shared" si="434"/>
        <v>115.55099999999999</v>
      </c>
      <c r="AE431" s="747">
        <f t="shared" si="434"/>
        <v>105.47499999999999</v>
      </c>
      <c r="AF431" s="772">
        <f t="shared" si="434"/>
        <v>90.213999999999999</v>
      </c>
      <c r="AG431" s="747">
        <f t="shared" si="434"/>
        <v>90.230290507431704</v>
      </c>
      <c r="AH431" s="747">
        <f t="shared" ca="1" si="434"/>
        <v>90.26432196921624</v>
      </c>
      <c r="AI431" s="747">
        <f t="shared" ca="1" si="434"/>
        <v>90.281337145344295</v>
      </c>
      <c r="AJ431" s="747">
        <f t="shared" ca="1" si="434"/>
        <v>90.304301754483561</v>
      </c>
      <c r="AK431" s="747">
        <f t="shared" ca="1" si="434"/>
        <v>90.331919179266492</v>
      </c>
      <c r="AL431" s="747">
        <f t="shared" ca="1" si="434"/>
        <v>90.392335770551085</v>
      </c>
      <c r="AM431" s="747"/>
      <c r="AN431" s="748">
        <f t="shared" ref="AN431:BC431" si="435">SUM(AN427:AN430)</f>
        <v>9.0749999999999993</v>
      </c>
      <c r="AO431" s="748">
        <f t="shared" si="435"/>
        <v>9.9080000000000013</v>
      </c>
      <c r="AP431" s="748">
        <f t="shared" si="435"/>
        <v>8.4160000000000004</v>
      </c>
      <c r="AQ431" s="748">
        <f t="shared" si="435"/>
        <v>7.7629999999999999</v>
      </c>
      <c r="AR431" s="748">
        <f t="shared" si="435"/>
        <v>9.3209999999999997</v>
      </c>
      <c r="AS431" s="748">
        <f t="shared" si="435"/>
        <v>36.907000000000004</v>
      </c>
      <c r="AT431" s="748">
        <f t="shared" si="435"/>
        <v>17.152000000000001</v>
      </c>
      <c r="AU431" s="748">
        <f t="shared" si="435"/>
        <v>35.269999999999996</v>
      </c>
      <c r="AV431" s="748">
        <f t="shared" si="435"/>
        <v>26.620999999999999</v>
      </c>
      <c r="AW431" s="748">
        <f t="shared" si="435"/>
        <v>131.21100000000001</v>
      </c>
      <c r="AX431" s="935">
        <f t="shared" si="435"/>
        <v>115.55099999999999</v>
      </c>
      <c r="AY431" s="748">
        <f t="shared" ca="1" si="435"/>
        <v>90.26432196921624</v>
      </c>
      <c r="AZ431" s="748">
        <f t="shared" ca="1" si="435"/>
        <v>90.392335770551085</v>
      </c>
      <c r="BA431" s="748">
        <f t="shared" ca="1" si="435"/>
        <v>90.620955829869388</v>
      </c>
      <c r="BB431" s="748">
        <f t="shared" ca="1" si="435"/>
        <v>90.947784120073592</v>
      </c>
      <c r="BC431" s="748">
        <f t="shared" ca="1" si="435"/>
        <v>91.295925554337572</v>
      </c>
      <c r="BD431" s="632"/>
    </row>
    <row r="432" spans="1:56" s="38" customFormat="1" x14ac:dyDescent="0.25">
      <c r="A432" s="503" t="s">
        <v>234</v>
      </c>
      <c r="B432" s="504"/>
      <c r="C432" s="757">
        <f t="shared" ref="C432:AL432" si="436">C424+C431</f>
        <v>65.608999999999995</v>
      </c>
      <c r="D432" s="757">
        <f t="shared" si="436"/>
        <v>83.158999999999992</v>
      </c>
      <c r="E432" s="757">
        <f t="shared" si="436"/>
        <v>86.418000000000006</v>
      </c>
      <c r="F432" s="757">
        <f t="shared" si="436"/>
        <v>87.128999999999991</v>
      </c>
      <c r="G432" s="757">
        <f t="shared" si="436"/>
        <v>92.704999999999998</v>
      </c>
      <c r="H432" s="757">
        <f t="shared" si="436"/>
        <v>114.14100000000001</v>
      </c>
      <c r="I432" s="757">
        <f t="shared" si="436"/>
        <v>92.332000000000008</v>
      </c>
      <c r="J432" s="757">
        <f t="shared" si="436"/>
        <v>153.727</v>
      </c>
      <c r="K432" s="757">
        <f t="shared" si="436"/>
        <v>142.411</v>
      </c>
      <c r="L432" s="757">
        <f t="shared" si="436"/>
        <v>147.71600000000001</v>
      </c>
      <c r="M432" s="757">
        <f t="shared" si="436"/>
        <v>148.684</v>
      </c>
      <c r="N432" s="757">
        <f t="shared" si="436"/>
        <v>144.006</v>
      </c>
      <c r="O432" s="757">
        <f t="shared" si="436"/>
        <v>135.566</v>
      </c>
      <c r="P432" s="757">
        <f t="shared" si="436"/>
        <v>137.97200000000001</v>
      </c>
      <c r="Q432" s="757">
        <f t="shared" si="436"/>
        <v>145.23400000000001</v>
      </c>
      <c r="R432" s="757">
        <f t="shared" si="436"/>
        <v>148.10500000000002</v>
      </c>
      <c r="S432" s="757">
        <f t="shared" si="436"/>
        <v>152.25799999999998</v>
      </c>
      <c r="T432" s="757">
        <f t="shared" si="436"/>
        <v>158.96200000000002</v>
      </c>
      <c r="U432" s="757">
        <f t="shared" si="436"/>
        <v>161.36700000000002</v>
      </c>
      <c r="V432" s="757">
        <f t="shared" si="436"/>
        <v>176.953</v>
      </c>
      <c r="W432" s="757">
        <f t="shared" si="436"/>
        <v>176.053</v>
      </c>
      <c r="X432" s="757">
        <f t="shared" si="436"/>
        <v>203.011</v>
      </c>
      <c r="Y432" s="757">
        <f t="shared" si="436"/>
        <v>212.29900000000001</v>
      </c>
      <c r="Z432" s="757">
        <f t="shared" si="436"/>
        <v>248.16900000000001</v>
      </c>
      <c r="AA432" s="757">
        <f t="shared" si="436"/>
        <v>271.75099999999998</v>
      </c>
      <c r="AB432" s="757">
        <f t="shared" si="436"/>
        <v>267.49099999999999</v>
      </c>
      <c r="AC432" s="757">
        <f t="shared" si="436"/>
        <v>254.53</v>
      </c>
      <c r="AD432" s="740">
        <f t="shared" si="436"/>
        <v>238.98799999999997</v>
      </c>
      <c r="AE432" s="757">
        <f t="shared" si="436"/>
        <v>214.102</v>
      </c>
      <c r="AF432" s="758">
        <f t="shared" si="436"/>
        <v>190.96899999999999</v>
      </c>
      <c r="AG432" s="759">
        <f t="shared" si="436"/>
        <v>190.5124014778612</v>
      </c>
      <c r="AH432" s="759">
        <f t="shared" ca="1" si="436"/>
        <v>199.45643830928719</v>
      </c>
      <c r="AI432" s="759">
        <f t="shared" ca="1" si="436"/>
        <v>187.03888936499897</v>
      </c>
      <c r="AJ432" s="759">
        <f t="shared" ca="1" si="436"/>
        <v>192.81223450726378</v>
      </c>
      <c r="AK432" s="759">
        <f t="shared" ca="1" si="436"/>
        <v>193.95254102168803</v>
      </c>
      <c r="AL432" s="759">
        <f t="shared" ca="1" si="436"/>
        <v>205.15594883465297</v>
      </c>
      <c r="AM432" s="759"/>
      <c r="AN432" s="756">
        <f t="shared" ref="AN432:BC432" si="437">AN424+AN431</f>
        <v>45.810999999999993</v>
      </c>
      <c r="AO432" s="756">
        <f t="shared" si="437"/>
        <v>58.409000000000006</v>
      </c>
      <c r="AP432" s="756">
        <f t="shared" si="437"/>
        <v>68.182000000000002</v>
      </c>
      <c r="AQ432" s="756">
        <f t="shared" si="437"/>
        <v>77.097000000000008</v>
      </c>
      <c r="AR432" s="756">
        <f t="shared" si="437"/>
        <v>87.128999999999991</v>
      </c>
      <c r="AS432" s="756">
        <f t="shared" si="437"/>
        <v>153.727</v>
      </c>
      <c r="AT432" s="756">
        <f t="shared" si="437"/>
        <v>144.006</v>
      </c>
      <c r="AU432" s="756">
        <f t="shared" si="437"/>
        <v>148.10500000000002</v>
      </c>
      <c r="AV432" s="756">
        <f t="shared" si="437"/>
        <v>176.953</v>
      </c>
      <c r="AW432" s="756">
        <f t="shared" si="437"/>
        <v>248.16900000000001</v>
      </c>
      <c r="AX432" s="934">
        <f t="shared" si="437"/>
        <v>238.98799999999997</v>
      </c>
      <c r="AY432" s="760">
        <f t="shared" ca="1" si="437"/>
        <v>199.45643830928719</v>
      </c>
      <c r="AZ432" s="760">
        <f t="shared" ca="1" si="437"/>
        <v>205.15594883465297</v>
      </c>
      <c r="BA432" s="760">
        <f t="shared" ca="1" si="437"/>
        <v>214.03733020038146</v>
      </c>
      <c r="BB432" s="760">
        <f t="shared" ca="1" si="437"/>
        <v>223.88219592763693</v>
      </c>
      <c r="BC432" s="760">
        <f t="shared" ca="1" si="437"/>
        <v>229.46525795227905</v>
      </c>
      <c r="BD432" s="632"/>
    </row>
    <row r="433" spans="1:56" s="38" customFormat="1" x14ac:dyDescent="0.25">
      <c r="A433" s="503"/>
      <c r="B433" s="504"/>
      <c r="C433" s="757"/>
      <c r="D433" s="757"/>
      <c r="E433" s="757"/>
      <c r="F433" s="757"/>
      <c r="G433" s="757"/>
      <c r="H433" s="757"/>
      <c r="I433" s="757"/>
      <c r="J433" s="757"/>
      <c r="K433" s="757"/>
      <c r="L433" s="757"/>
      <c r="M433" s="757"/>
      <c r="N433" s="757"/>
      <c r="O433" s="757"/>
      <c r="P433" s="757"/>
      <c r="Q433" s="757"/>
      <c r="R433" s="757"/>
      <c r="S433" s="757"/>
      <c r="T433" s="757"/>
      <c r="U433" s="757"/>
      <c r="V433" s="757"/>
      <c r="W433" s="757"/>
      <c r="X433" s="757"/>
      <c r="Y433" s="757"/>
      <c r="Z433" s="757"/>
      <c r="AA433" s="757"/>
      <c r="AB433" s="757"/>
      <c r="AC433" s="757"/>
      <c r="AD433" s="740"/>
      <c r="AE433" s="757"/>
      <c r="AF433" s="758"/>
      <c r="AG433" s="769"/>
      <c r="AH433" s="769"/>
      <c r="AI433" s="769"/>
      <c r="AJ433" s="769"/>
      <c r="AK433" s="769"/>
      <c r="AL433" s="769"/>
      <c r="AM433" s="769"/>
      <c r="AN433" s="756"/>
      <c r="AO433" s="756"/>
      <c r="AP433" s="756"/>
      <c r="AQ433" s="756"/>
      <c r="AR433" s="756"/>
      <c r="AS433" s="756"/>
      <c r="AT433" s="756"/>
      <c r="AU433" s="756"/>
      <c r="AV433" s="756"/>
      <c r="AW433" s="756"/>
      <c r="AX433" s="934"/>
      <c r="AY433" s="770"/>
      <c r="AZ433" s="770"/>
      <c r="BA433" s="770"/>
      <c r="BB433" s="770"/>
      <c r="BC433" s="770"/>
      <c r="BD433" s="632"/>
    </row>
    <row r="434" spans="1:56" s="38" customFormat="1" x14ac:dyDescent="0.25">
      <c r="A434" s="518" t="s">
        <v>235</v>
      </c>
      <c r="B434" s="504"/>
      <c r="C434" s="757"/>
      <c r="D434" s="757"/>
      <c r="E434" s="757"/>
      <c r="F434" s="757"/>
      <c r="G434" s="757"/>
      <c r="H434" s="757"/>
      <c r="I434" s="757"/>
      <c r="J434" s="757"/>
      <c r="K434" s="757"/>
      <c r="L434" s="757"/>
      <c r="M434" s="757"/>
      <c r="N434" s="757"/>
      <c r="O434" s="757"/>
      <c r="P434" s="757"/>
      <c r="Q434" s="757"/>
      <c r="R434" s="757"/>
      <c r="S434" s="757"/>
      <c r="T434" s="757"/>
      <c r="U434" s="757"/>
      <c r="V434" s="757"/>
      <c r="W434" s="757"/>
      <c r="X434" s="757"/>
      <c r="Y434" s="757"/>
      <c r="Z434" s="757"/>
      <c r="AA434" s="757"/>
      <c r="AB434" s="757"/>
      <c r="AC434" s="757"/>
      <c r="AD434" s="740"/>
      <c r="AE434" s="757"/>
      <c r="AF434" s="758"/>
      <c r="AG434" s="769"/>
      <c r="AH434" s="769"/>
      <c r="AI434" s="769"/>
      <c r="AJ434" s="769"/>
      <c r="AK434" s="769"/>
      <c r="AL434" s="769"/>
      <c r="AM434" s="769"/>
      <c r="AN434" s="756"/>
      <c r="AO434" s="756"/>
      <c r="AP434" s="756"/>
      <c r="AQ434" s="756"/>
      <c r="AR434" s="756"/>
      <c r="AS434" s="756"/>
      <c r="AT434" s="756"/>
      <c r="AU434" s="756"/>
      <c r="AV434" s="756"/>
      <c r="AW434" s="756"/>
      <c r="AX434" s="934"/>
      <c r="AY434" s="770"/>
      <c r="AZ434" s="770"/>
      <c r="BA434" s="770"/>
      <c r="BB434" s="770"/>
      <c r="BC434" s="770"/>
      <c r="BD434" s="632"/>
    </row>
    <row r="435" spans="1:56" s="39" customFormat="1" x14ac:dyDescent="0.25">
      <c r="A435" s="307" t="s">
        <v>236</v>
      </c>
      <c r="B435" s="225"/>
      <c r="C435" s="725">
        <v>0</v>
      </c>
      <c r="D435" s="725">
        <v>0</v>
      </c>
      <c r="E435" s="725">
        <v>0</v>
      </c>
      <c r="F435" s="725">
        <f t="shared" ref="F435:F440" si="438">AR435</f>
        <v>0</v>
      </c>
      <c r="G435" s="725">
        <v>0</v>
      </c>
      <c r="H435" s="725">
        <v>0</v>
      </c>
      <c r="I435" s="725">
        <v>0</v>
      </c>
      <c r="J435" s="725">
        <f t="shared" ref="J435:J440" si="439">AS435</f>
        <v>0</v>
      </c>
      <c r="K435" s="725">
        <v>0</v>
      </c>
      <c r="L435" s="725">
        <v>0</v>
      </c>
      <c r="M435" s="725">
        <v>0</v>
      </c>
      <c r="N435" s="725">
        <f t="shared" ref="N435:N440" si="440">AT435</f>
        <v>0</v>
      </c>
      <c r="O435" s="725">
        <v>0</v>
      </c>
      <c r="P435" s="725">
        <v>0</v>
      </c>
      <c r="Q435" s="725"/>
      <c r="R435" s="725">
        <f t="shared" ref="R435:R440" si="441">AU435</f>
        <v>0</v>
      </c>
      <c r="S435" s="725">
        <v>0</v>
      </c>
      <c r="T435" s="725"/>
      <c r="U435" s="725"/>
      <c r="V435" s="725">
        <f t="shared" ref="V435:V440" si="442">AV435</f>
        <v>0</v>
      </c>
      <c r="W435" s="725"/>
      <c r="X435" s="725"/>
      <c r="Y435" s="725"/>
      <c r="Z435" s="725">
        <f t="shared" ref="Z435:Z440" si="443">AW435</f>
        <v>0</v>
      </c>
      <c r="AA435" s="725"/>
      <c r="AB435" s="725"/>
      <c r="AC435" s="725"/>
      <c r="AD435" s="723">
        <f t="shared" ref="AD435:AD440" si="444">AX435</f>
        <v>0</v>
      </c>
      <c r="AE435" s="725"/>
      <c r="AF435" s="771"/>
      <c r="AG435" s="730">
        <f>AF435</f>
        <v>0</v>
      </c>
      <c r="AH435" s="730">
        <f>AG435</f>
        <v>0</v>
      </c>
      <c r="AI435" s="730">
        <f>AY435</f>
        <v>0</v>
      </c>
      <c r="AJ435" s="730">
        <f t="shared" ref="AJ435:AL436" si="445">AI435</f>
        <v>0</v>
      </c>
      <c r="AK435" s="730">
        <f t="shared" si="445"/>
        <v>0</v>
      </c>
      <c r="AL435" s="730">
        <f t="shared" si="445"/>
        <v>0</v>
      </c>
      <c r="AM435" s="730"/>
      <c r="AN435" s="726">
        <v>0</v>
      </c>
      <c r="AO435" s="726">
        <v>0</v>
      </c>
      <c r="AP435" s="726">
        <v>0</v>
      </c>
      <c r="AQ435" s="726">
        <v>0</v>
      </c>
      <c r="AR435" s="726">
        <v>0</v>
      </c>
      <c r="AS435" s="726">
        <v>0</v>
      </c>
      <c r="AT435" s="726">
        <v>0</v>
      </c>
      <c r="AU435" s="726">
        <v>0</v>
      </c>
      <c r="AV435" s="726"/>
      <c r="AW435" s="726"/>
      <c r="AX435" s="927"/>
      <c r="AY435" s="729">
        <f t="shared" ref="AY435:AY440" si="446">AH435</f>
        <v>0</v>
      </c>
      <c r="AZ435" s="729">
        <f t="shared" ref="AZ435:AZ440" si="447">AL435</f>
        <v>0</v>
      </c>
      <c r="BA435" s="729">
        <f t="shared" ref="BA435:BC436" si="448">AZ435</f>
        <v>0</v>
      </c>
      <c r="BB435" s="729">
        <f t="shared" si="448"/>
        <v>0</v>
      </c>
      <c r="BC435" s="729">
        <f t="shared" si="448"/>
        <v>0</v>
      </c>
      <c r="BD435" s="631"/>
    </row>
    <row r="436" spans="1:56" s="39" customFormat="1" x14ac:dyDescent="0.25">
      <c r="A436" s="307" t="s">
        <v>237</v>
      </c>
      <c r="B436" s="225"/>
      <c r="C436" s="725">
        <v>0.192</v>
      </c>
      <c r="D436" s="725">
        <v>0.192</v>
      </c>
      <c r="E436" s="725">
        <v>0.192</v>
      </c>
      <c r="F436" s="725">
        <f t="shared" si="438"/>
        <v>0.192</v>
      </c>
      <c r="G436" s="725">
        <v>0.192</v>
      </c>
      <c r="H436" s="725">
        <v>0.192</v>
      </c>
      <c r="I436" s="725">
        <v>0.192</v>
      </c>
      <c r="J436" s="725">
        <f t="shared" si="439"/>
        <v>0.17100000000000001</v>
      </c>
      <c r="K436" s="725">
        <v>0.17100000000000001</v>
      </c>
      <c r="L436" s="725">
        <v>0.17199999999999999</v>
      </c>
      <c r="M436" s="725">
        <v>0.17199999999999999</v>
      </c>
      <c r="N436" s="725">
        <f t="shared" si="440"/>
        <v>0.17199999999999999</v>
      </c>
      <c r="O436" s="725">
        <v>0.17199999999999999</v>
      </c>
      <c r="P436" s="725">
        <v>0.17199999999999999</v>
      </c>
      <c r="Q436" s="725">
        <v>0.17199999999999999</v>
      </c>
      <c r="R436" s="725">
        <f t="shared" si="441"/>
        <v>0.17199999999999999</v>
      </c>
      <c r="S436" s="725">
        <v>0.17199999999999999</v>
      </c>
      <c r="T436" s="725">
        <v>0.17199999999999999</v>
      </c>
      <c r="U436" s="725">
        <v>0.17199999999999999</v>
      </c>
      <c r="V436" s="725">
        <f t="shared" si="442"/>
        <v>0.17199999999999999</v>
      </c>
      <c r="W436" s="725">
        <v>0.17199999999999999</v>
      </c>
      <c r="X436" s="725">
        <v>0.17199999999999999</v>
      </c>
      <c r="Y436" s="725">
        <v>0.17199999999999999</v>
      </c>
      <c r="Z436" s="725">
        <f t="shared" si="443"/>
        <v>0.17199999999999999</v>
      </c>
      <c r="AA436" s="725">
        <v>0.17199999999999999</v>
      </c>
      <c r="AB436" s="725">
        <v>0.17199999999999999</v>
      </c>
      <c r="AC436" s="725">
        <v>0.17199999999999999</v>
      </c>
      <c r="AD436" s="725">
        <f t="shared" si="444"/>
        <v>0.17199999999999999</v>
      </c>
      <c r="AE436" s="725">
        <v>0.17199999999999999</v>
      </c>
      <c r="AF436" s="779">
        <f>AE436</f>
        <v>0.17199999999999999</v>
      </c>
      <c r="AG436" s="730">
        <f>AF436</f>
        <v>0.17199999999999999</v>
      </c>
      <c r="AH436" s="730">
        <f>AG436</f>
        <v>0.17199999999999999</v>
      </c>
      <c r="AI436" s="730">
        <f>AY436</f>
        <v>0.17199999999999999</v>
      </c>
      <c r="AJ436" s="730">
        <f t="shared" si="445"/>
        <v>0.17199999999999999</v>
      </c>
      <c r="AK436" s="730">
        <f t="shared" si="445"/>
        <v>0.17199999999999999</v>
      </c>
      <c r="AL436" s="730">
        <f t="shared" si="445"/>
        <v>0.17199999999999999</v>
      </c>
      <c r="AM436" s="730"/>
      <c r="AN436" s="726">
        <v>0.186</v>
      </c>
      <c r="AO436" s="726">
        <v>0.187</v>
      </c>
      <c r="AP436" s="726">
        <v>0.188</v>
      </c>
      <c r="AQ436" s="726">
        <v>0.192</v>
      </c>
      <c r="AR436" s="726">
        <v>0.192</v>
      </c>
      <c r="AS436" s="726">
        <v>0.17100000000000001</v>
      </c>
      <c r="AT436" s="726">
        <v>0.17199999999999999</v>
      </c>
      <c r="AU436" s="726">
        <v>0.17199999999999999</v>
      </c>
      <c r="AV436" s="726">
        <v>0.17199999999999999</v>
      </c>
      <c r="AW436" s="726">
        <v>0.17199999999999999</v>
      </c>
      <c r="AX436" s="925">
        <v>0.17199999999999999</v>
      </c>
      <c r="AY436" s="729">
        <f t="shared" si="446"/>
        <v>0.17199999999999999</v>
      </c>
      <c r="AZ436" s="729">
        <f t="shared" si="447"/>
        <v>0.17199999999999999</v>
      </c>
      <c r="BA436" s="729">
        <f t="shared" si="448"/>
        <v>0.17199999999999999</v>
      </c>
      <c r="BB436" s="729">
        <f t="shared" si="448"/>
        <v>0.17199999999999999</v>
      </c>
      <c r="BC436" s="729">
        <f t="shared" si="448"/>
        <v>0.17199999999999999</v>
      </c>
      <c r="BD436" s="631"/>
    </row>
    <row r="437" spans="1:56" s="39" customFormat="1" x14ac:dyDescent="0.25">
      <c r="A437" s="307" t="s">
        <v>238</v>
      </c>
      <c r="B437" s="225"/>
      <c r="C437" s="725">
        <v>167.66900000000001</v>
      </c>
      <c r="D437" s="725">
        <v>168.01599999999999</v>
      </c>
      <c r="E437" s="725">
        <v>167.63800000000001</v>
      </c>
      <c r="F437" s="725">
        <f t="shared" si="438"/>
        <v>167.90799999999999</v>
      </c>
      <c r="G437" s="725">
        <v>168.256</v>
      </c>
      <c r="H437" s="725">
        <v>168.65899999999999</v>
      </c>
      <c r="I437" s="725">
        <v>166.83500000000001</v>
      </c>
      <c r="J437" s="725">
        <f t="shared" si="439"/>
        <v>104.523</v>
      </c>
      <c r="K437" s="725">
        <v>105.30800000000001</v>
      </c>
      <c r="L437" s="725">
        <v>106.286</v>
      </c>
      <c r="M437" s="725">
        <v>106.914</v>
      </c>
      <c r="N437" s="725">
        <f t="shared" si="440"/>
        <v>105.872</v>
      </c>
      <c r="O437" s="725">
        <v>106.539</v>
      </c>
      <c r="P437" s="725">
        <v>107.093</v>
      </c>
      <c r="Q437" s="725">
        <v>106.919</v>
      </c>
      <c r="R437" s="725">
        <f t="shared" si="441"/>
        <v>106.569</v>
      </c>
      <c r="S437" s="725">
        <v>106.958</v>
      </c>
      <c r="T437" s="725">
        <v>107.613</v>
      </c>
      <c r="U437" s="725">
        <v>107.675</v>
      </c>
      <c r="V437" s="725">
        <f t="shared" si="442"/>
        <v>107.256</v>
      </c>
      <c r="W437" s="725">
        <v>107.369</v>
      </c>
      <c r="X437" s="725">
        <v>107.372</v>
      </c>
      <c r="Y437" s="725">
        <v>107.3</v>
      </c>
      <c r="Z437" s="725">
        <f t="shared" si="443"/>
        <v>105.85</v>
      </c>
      <c r="AA437" s="725">
        <v>104.90900000000001</v>
      </c>
      <c r="AB437" s="725">
        <v>104.187</v>
      </c>
      <c r="AC437" s="725">
        <v>102.991</v>
      </c>
      <c r="AD437" s="725">
        <f t="shared" si="444"/>
        <v>102.319</v>
      </c>
      <c r="AE437" s="725">
        <v>100.65</v>
      </c>
      <c r="AF437" s="779">
        <f>AE437+AF334</f>
        <v>102.18600000000001</v>
      </c>
      <c r="AG437" s="730">
        <f>AF437+AG334</f>
        <v>103.68600000000001</v>
      </c>
      <c r="AH437" s="730">
        <f>AG437+AH334</f>
        <v>105.18600000000001</v>
      </c>
      <c r="AI437" s="730">
        <f>AY437+AI334</f>
        <v>106.68600000000001</v>
      </c>
      <c r="AJ437" s="730">
        <f>AI437+AJ334</f>
        <v>108.18600000000001</v>
      </c>
      <c r="AK437" s="730">
        <f>AJ437+AK334</f>
        <v>109.68600000000001</v>
      </c>
      <c r="AL437" s="730">
        <f>AK437+AL334</f>
        <v>111.18600000000001</v>
      </c>
      <c r="AM437" s="730"/>
      <c r="AN437" s="726">
        <v>161.97499999999999</v>
      </c>
      <c r="AO437" s="726">
        <v>163.422</v>
      </c>
      <c r="AP437" s="726">
        <v>165.51900000000001</v>
      </c>
      <c r="AQ437" s="726">
        <v>167.495</v>
      </c>
      <c r="AR437" s="726">
        <v>167.90799999999999</v>
      </c>
      <c r="AS437" s="726">
        <v>104.523</v>
      </c>
      <c r="AT437" s="726">
        <v>105.872</v>
      </c>
      <c r="AU437" s="726">
        <v>106.569</v>
      </c>
      <c r="AV437" s="726">
        <v>107.256</v>
      </c>
      <c r="AW437" s="726">
        <v>105.85</v>
      </c>
      <c r="AX437" s="925">
        <v>102.319</v>
      </c>
      <c r="AY437" s="729">
        <f t="shared" si="446"/>
        <v>105.18600000000001</v>
      </c>
      <c r="AZ437" s="729">
        <f t="shared" si="447"/>
        <v>111.18600000000001</v>
      </c>
      <c r="BA437" s="729">
        <f>AZ437+BA334</f>
        <v>117.18600000000001</v>
      </c>
      <c r="BB437" s="729">
        <f>BA437+BB334</f>
        <v>123.18600000000001</v>
      </c>
      <c r="BC437" s="729">
        <f>BB437+BC334</f>
        <v>129.18600000000001</v>
      </c>
      <c r="BD437" s="631"/>
    </row>
    <row r="438" spans="1:56" s="39" customFormat="1" x14ac:dyDescent="0.25">
      <c r="A438" s="307" t="s">
        <v>239</v>
      </c>
      <c r="B438" s="225"/>
      <c r="C438" s="725">
        <v>8.8800000000000008</v>
      </c>
      <c r="D438" s="725">
        <v>14.127000000000001</v>
      </c>
      <c r="E438" s="725">
        <v>20.27</v>
      </c>
      <c r="F438" s="725">
        <f t="shared" si="438"/>
        <v>27.710999999999999</v>
      </c>
      <c r="G438" s="725">
        <v>32.027999999999999</v>
      </c>
      <c r="H438" s="725">
        <v>40.140999999999998</v>
      </c>
      <c r="I438" s="725">
        <v>47.384999999999998</v>
      </c>
      <c r="J438" s="725">
        <f t="shared" si="439"/>
        <v>54.808999999999997</v>
      </c>
      <c r="K438" s="725">
        <v>58.915999999999997</v>
      </c>
      <c r="L438" s="725">
        <v>63.63</v>
      </c>
      <c r="M438" s="725">
        <v>67.346000000000004</v>
      </c>
      <c r="N438" s="725">
        <f t="shared" si="440"/>
        <v>73.597999999999999</v>
      </c>
      <c r="O438" s="725">
        <v>77.397999999999996</v>
      </c>
      <c r="P438" s="725">
        <v>82.311000000000007</v>
      </c>
      <c r="Q438" s="725">
        <v>87.113</v>
      </c>
      <c r="R438" s="725">
        <f t="shared" si="441"/>
        <v>93.844999999999999</v>
      </c>
      <c r="S438" s="725">
        <v>97.793999999999997</v>
      </c>
      <c r="T438" s="725">
        <v>103.657</v>
      </c>
      <c r="U438" s="725">
        <v>106.938</v>
      </c>
      <c r="V438" s="725">
        <f t="shared" si="442"/>
        <v>106.599</v>
      </c>
      <c r="W438" s="725">
        <v>108.83499999999999</v>
      </c>
      <c r="X438" s="725">
        <v>112.41</v>
      </c>
      <c r="Y438" s="725">
        <v>115.654</v>
      </c>
      <c r="Z438" s="725">
        <f t="shared" si="443"/>
        <v>116.039</v>
      </c>
      <c r="AA438" s="725">
        <v>116.373</v>
      </c>
      <c r="AB438" s="725">
        <v>119.592</v>
      </c>
      <c r="AC438" s="725">
        <v>121.733</v>
      </c>
      <c r="AD438" s="725">
        <f t="shared" si="444"/>
        <v>131.22800000000001</v>
      </c>
      <c r="AE438" s="725">
        <v>129.934</v>
      </c>
      <c r="AF438" s="779">
        <f>AE438+AF374+AF327</f>
        <v>129.328</v>
      </c>
      <c r="AG438" s="730">
        <f ca="1">AF438+AG374+AG327</f>
        <v>130.56607856480875</v>
      </c>
      <c r="AH438" s="730">
        <f ca="1">AG438+AH374+AH327</f>
        <v>133.15246966043338</v>
      </c>
      <c r="AI438" s="730">
        <f ca="1">AY438+AI374+AI327</f>
        <v>134.44562304616639</v>
      </c>
      <c r="AJ438" s="730">
        <f ca="1">AI438+AJ374+AJ327</f>
        <v>136.19093334074989</v>
      </c>
      <c r="AK438" s="730">
        <f ca="1">AJ438+AK374+AK327</f>
        <v>138.28985762425302</v>
      </c>
      <c r="AL438" s="730">
        <f ca="1">AK438+AL374+AL327</f>
        <v>142.88151856188236</v>
      </c>
      <c r="AM438" s="730"/>
      <c r="AN438" s="726">
        <v>-49.325000000000003</v>
      </c>
      <c r="AO438" s="726">
        <v>-36.593000000000004</v>
      </c>
      <c r="AP438" s="726">
        <v>-18.733000000000001</v>
      </c>
      <c r="AQ438" s="726">
        <v>3.9550000000000001</v>
      </c>
      <c r="AR438" s="726">
        <v>27.710999999999999</v>
      </c>
      <c r="AS438" s="726">
        <v>54.808999999999997</v>
      </c>
      <c r="AT438" s="726">
        <v>73.597999999999999</v>
      </c>
      <c r="AU438" s="726">
        <v>93.844999999999999</v>
      </c>
      <c r="AV438" s="726">
        <v>106.599</v>
      </c>
      <c r="AW438" s="726">
        <v>116.039</v>
      </c>
      <c r="AX438" s="925">
        <v>131.22800000000001</v>
      </c>
      <c r="AY438" s="729">
        <f t="shared" ca="1" si="446"/>
        <v>133.15246966043338</v>
      </c>
      <c r="AZ438" s="729">
        <f t="shared" ca="1" si="447"/>
        <v>142.88151856188236</v>
      </c>
      <c r="BA438" s="729">
        <f ca="1">AZ438+BA374+BA327</f>
        <v>160.25664307007344</v>
      </c>
      <c r="BB438" s="729">
        <f ca="1">BA438+BB374+BB327</f>
        <v>185.09559312559321</v>
      </c>
      <c r="BC438" s="729">
        <f ca="1">BB438+BC374+BC327</f>
        <v>211.55434212965508</v>
      </c>
      <c r="BD438" s="631"/>
    </row>
    <row r="439" spans="1:56" s="39" customFormat="1" x14ac:dyDescent="0.25">
      <c r="A439" s="307" t="s">
        <v>240</v>
      </c>
      <c r="B439" s="225"/>
      <c r="C439" s="725">
        <v>-2.1589999999999998</v>
      </c>
      <c r="D439" s="725">
        <v>-1.5469999999999999</v>
      </c>
      <c r="E439" s="725">
        <v>-0.90900000000000003</v>
      </c>
      <c r="F439" s="725">
        <f t="shared" si="438"/>
        <v>-1.17</v>
      </c>
      <c r="G439" s="725">
        <v>-0.67900000000000005</v>
      </c>
      <c r="H439" s="725">
        <v>-0.91800000000000004</v>
      </c>
      <c r="I439" s="725">
        <v>0</v>
      </c>
      <c r="J439" s="725">
        <f t="shared" si="439"/>
        <v>-0.38100000000000001</v>
      </c>
      <c r="K439" s="725">
        <v>-0.16900000000000001</v>
      </c>
      <c r="L439" s="725">
        <v>-0.184</v>
      </c>
      <c r="M439" s="725">
        <v>-5.0039999999999996</v>
      </c>
      <c r="N439" s="725">
        <f t="shared" si="440"/>
        <v>-8.4969999999999999</v>
      </c>
      <c r="O439" s="725">
        <v>-11.961</v>
      </c>
      <c r="P439" s="725">
        <v>-14.765000000000001</v>
      </c>
      <c r="Q439" s="725">
        <v>-13.273999999999999</v>
      </c>
      <c r="R439" s="725">
        <f t="shared" si="441"/>
        <v>-11.628</v>
      </c>
      <c r="S439" s="725">
        <v>-12.134</v>
      </c>
      <c r="T439" s="725">
        <v>-11.797000000000001</v>
      </c>
      <c r="U439" s="725">
        <v>-10.528</v>
      </c>
      <c r="V439" s="725">
        <f t="shared" si="442"/>
        <v>-11.118</v>
      </c>
      <c r="W439" s="725">
        <v>-17.134</v>
      </c>
      <c r="X439" s="725">
        <v>-16.074000000000002</v>
      </c>
      <c r="Y439" s="725">
        <v>-15.71</v>
      </c>
      <c r="Z439" s="725">
        <f t="shared" si="443"/>
        <v>-13.802</v>
      </c>
      <c r="AA439" s="725">
        <v>-11.763</v>
      </c>
      <c r="AB439" s="725">
        <v>-9.83</v>
      </c>
      <c r="AC439" s="725">
        <v>-6.0449999999999999</v>
      </c>
      <c r="AD439" s="725">
        <f t="shared" si="444"/>
        <v>-4.07</v>
      </c>
      <c r="AE439" s="725">
        <v>-1.3740000000000001</v>
      </c>
      <c r="AF439" s="779">
        <f>AE439+INDEX(MO_CFS_Buyback,0,COLUMN())</f>
        <v>-1.3740000000000001</v>
      </c>
      <c r="AG439" s="730">
        <f>AF439+INDEX(MO_CFS_Buyback,0,COLUMN())</f>
        <v>-1.3740000000000001</v>
      </c>
      <c r="AH439" s="730">
        <f>AG439+INDEX(MO_CFS_Buyback,0,COLUMN())</f>
        <v>-1.3740000000000001</v>
      </c>
      <c r="AI439" s="730">
        <f>AY439+INDEX(MO_CFS_Buyback,0,COLUMN())</f>
        <v>-1.3740000000000001</v>
      </c>
      <c r="AJ439" s="730">
        <f>AI439+INDEX(MO_CFS_Buyback,0,COLUMN())</f>
        <v>-1.3740000000000001</v>
      </c>
      <c r="AK439" s="730">
        <f>AJ439+INDEX(MO_CFS_Buyback,0,COLUMN())</f>
        <v>-1.3740000000000001</v>
      </c>
      <c r="AL439" s="730">
        <f>AK439+INDEX(MO_CFS_Buyback,0,COLUMN())</f>
        <v>-1.3740000000000001</v>
      </c>
      <c r="AM439" s="730"/>
      <c r="AN439" s="726">
        <v>0</v>
      </c>
      <c r="AO439" s="726">
        <v>-2E-3</v>
      </c>
      <c r="AP439" s="726">
        <v>-0.35799999999999998</v>
      </c>
      <c r="AQ439" s="726">
        <v>-2.4940000000000002</v>
      </c>
      <c r="AR439" s="726">
        <v>-1.17</v>
      </c>
      <c r="AS439" s="726">
        <v>-0.38100000000000001</v>
      </c>
      <c r="AT439" s="726">
        <v>-8.4969999999999999</v>
      </c>
      <c r="AU439" s="726">
        <v>-11.628</v>
      </c>
      <c r="AV439" s="726">
        <v>-11.118</v>
      </c>
      <c r="AW439" s="726">
        <v>-13.802</v>
      </c>
      <c r="AX439" s="925">
        <v>-4.07</v>
      </c>
      <c r="AY439" s="729">
        <f t="shared" si="446"/>
        <v>-1.3740000000000001</v>
      </c>
      <c r="AZ439" s="729">
        <f t="shared" si="447"/>
        <v>-1.3740000000000001</v>
      </c>
      <c r="BA439" s="729">
        <f>AZ439+INDEX(MO_CFS_Buyback,0,COLUMN())</f>
        <v>-1.3740000000000001</v>
      </c>
      <c r="BB439" s="729">
        <f>BA439+INDEX(MO_CFS_Buyback,0,COLUMN())</f>
        <v>-1.3740000000000001</v>
      </c>
      <c r="BC439" s="729">
        <f>BB439+INDEX(MO_CFS_Buyback,0,COLUMN())</f>
        <v>-1.3740000000000001</v>
      </c>
      <c r="BD439" s="631"/>
    </row>
    <row r="440" spans="1:56" s="39" customFormat="1" x14ac:dyDescent="0.25">
      <c r="A440" s="307" t="s">
        <v>241</v>
      </c>
      <c r="B440" s="225"/>
      <c r="C440" s="725">
        <v>-3.7189999999999999</v>
      </c>
      <c r="D440" s="725">
        <v>-4.3979999999999997</v>
      </c>
      <c r="E440" s="725">
        <v>-1.873</v>
      </c>
      <c r="F440" s="725">
        <f t="shared" si="438"/>
        <v>-1.6140000000000001</v>
      </c>
      <c r="G440" s="725">
        <v>-1.974</v>
      </c>
      <c r="H440" s="725">
        <v>-0.38600000000000001</v>
      </c>
      <c r="I440" s="725">
        <v>-4.0599999999999996</v>
      </c>
      <c r="J440" s="725">
        <f t="shared" si="439"/>
        <v>-7.3970000000000002</v>
      </c>
      <c r="K440" s="725">
        <v>-11.981999999999999</v>
      </c>
      <c r="L440" s="725">
        <v>-8.4949999999999992</v>
      </c>
      <c r="M440" s="725">
        <v>-11.191000000000001</v>
      </c>
      <c r="N440" s="725">
        <f t="shared" si="440"/>
        <v>-12.801</v>
      </c>
      <c r="O440" s="725">
        <v>-13.196999999999999</v>
      </c>
      <c r="P440" s="734">
        <v>-16.913</v>
      </c>
      <c r="Q440" s="734">
        <v>-18.863</v>
      </c>
      <c r="R440" s="725">
        <f t="shared" si="441"/>
        <v>-21.462</v>
      </c>
      <c r="S440" s="725">
        <v>-20.506</v>
      </c>
      <c r="T440" s="734">
        <v>-17.117999999999999</v>
      </c>
      <c r="U440" s="734">
        <v>-14.55</v>
      </c>
      <c r="V440" s="734">
        <f t="shared" si="442"/>
        <v>-14.855</v>
      </c>
      <c r="W440" s="725">
        <v>-12.22</v>
      </c>
      <c r="X440" s="734">
        <v>-17.795999999999999</v>
      </c>
      <c r="Y440" s="734">
        <v>-18.218</v>
      </c>
      <c r="Z440" s="734">
        <f t="shared" si="443"/>
        <v>-21.69</v>
      </c>
      <c r="AA440" s="725">
        <v>-19.977</v>
      </c>
      <c r="AB440" s="734">
        <v>-20.356999999999999</v>
      </c>
      <c r="AC440" s="734">
        <v>-23.808</v>
      </c>
      <c r="AD440" s="734">
        <f t="shared" si="444"/>
        <v>-19.734999999999999</v>
      </c>
      <c r="AE440" s="725">
        <v>-26.89</v>
      </c>
      <c r="AF440" s="798">
        <f>202.741-SUM(AF436:AF439)</f>
        <v>-27.570999999999998</v>
      </c>
      <c r="AG440" s="730">
        <f>AF440</f>
        <v>-27.570999999999998</v>
      </c>
      <c r="AH440" s="730">
        <f>AG440</f>
        <v>-27.570999999999998</v>
      </c>
      <c r="AI440" s="730">
        <f>AY440</f>
        <v>-27.570999999999998</v>
      </c>
      <c r="AJ440" s="730">
        <f>AI440</f>
        <v>-27.570999999999998</v>
      </c>
      <c r="AK440" s="730">
        <f>AJ440</f>
        <v>-27.570999999999998</v>
      </c>
      <c r="AL440" s="730">
        <f>AK440</f>
        <v>-27.570999999999998</v>
      </c>
      <c r="AM440" s="730"/>
      <c r="AN440" s="726">
        <v>-1.946</v>
      </c>
      <c r="AO440" s="726">
        <v>-2.2269999999999999</v>
      </c>
      <c r="AP440" s="726">
        <v>-3.222</v>
      </c>
      <c r="AQ440" s="726">
        <v>-1.8109999999999999</v>
      </c>
      <c r="AR440" s="726">
        <v>-1.6140000000000001</v>
      </c>
      <c r="AS440" s="726">
        <v>-7.3970000000000002</v>
      </c>
      <c r="AT440" s="726">
        <v>-12.801</v>
      </c>
      <c r="AU440" s="726">
        <v>-21.462</v>
      </c>
      <c r="AV440" s="726">
        <v>-14.855</v>
      </c>
      <c r="AW440" s="726">
        <v>-21.69</v>
      </c>
      <c r="AX440" s="925">
        <v>-19.734999999999999</v>
      </c>
      <c r="AY440" s="729">
        <f t="shared" si="446"/>
        <v>-27.570999999999998</v>
      </c>
      <c r="AZ440" s="729">
        <f t="shared" si="447"/>
        <v>-27.570999999999998</v>
      </c>
      <c r="BA440" s="729">
        <f>AZ440</f>
        <v>-27.570999999999998</v>
      </c>
      <c r="BB440" s="729">
        <f>BA440</f>
        <v>-27.570999999999998</v>
      </c>
      <c r="BC440" s="729">
        <f>BB440</f>
        <v>-27.570999999999998</v>
      </c>
      <c r="BD440" s="631"/>
    </row>
    <row r="441" spans="1:56" s="38" customFormat="1" x14ac:dyDescent="0.25">
      <c r="A441" s="40" t="s">
        <v>242</v>
      </c>
      <c r="B441" s="117"/>
      <c r="C441" s="745">
        <f t="shared" ref="C441:S441" si="449">SUM(C435:C440)</f>
        <v>170.86300000000003</v>
      </c>
      <c r="D441" s="745">
        <f t="shared" si="449"/>
        <v>176.39000000000001</v>
      </c>
      <c r="E441" s="745">
        <f t="shared" si="449"/>
        <v>185.31800000000004</v>
      </c>
      <c r="F441" s="745">
        <f t="shared" si="449"/>
        <v>193.02699999999999</v>
      </c>
      <c r="G441" s="745">
        <f t="shared" si="449"/>
        <v>197.82300000000001</v>
      </c>
      <c r="H441" s="745">
        <f t="shared" si="449"/>
        <v>207.68799999999999</v>
      </c>
      <c r="I441" s="745">
        <f t="shared" si="449"/>
        <v>210.352</v>
      </c>
      <c r="J441" s="745">
        <f t="shared" si="449"/>
        <v>151.72499999999999</v>
      </c>
      <c r="K441" s="745">
        <f t="shared" si="449"/>
        <v>152.244</v>
      </c>
      <c r="L441" s="745">
        <f t="shared" si="449"/>
        <v>161.40899999999999</v>
      </c>
      <c r="M441" s="745">
        <f t="shared" si="449"/>
        <v>158.23700000000002</v>
      </c>
      <c r="N441" s="745">
        <f t="shared" si="449"/>
        <v>158.34399999999999</v>
      </c>
      <c r="O441" s="745">
        <f t="shared" si="449"/>
        <v>158.95099999999996</v>
      </c>
      <c r="P441" s="745">
        <f t="shared" si="449"/>
        <v>157.89800000000002</v>
      </c>
      <c r="Q441" s="755">
        <f t="shared" si="449"/>
        <v>162.06700000000001</v>
      </c>
      <c r="R441" s="745">
        <f t="shared" si="449"/>
        <v>167.49600000000004</v>
      </c>
      <c r="S441" s="745">
        <f t="shared" si="449"/>
        <v>172.28399999999996</v>
      </c>
      <c r="T441" s="745">
        <f>SUM(T436:T440)</f>
        <v>182.52700000000002</v>
      </c>
      <c r="U441" s="755">
        <f>SUM(U435:U440)</f>
        <v>189.70699999999999</v>
      </c>
      <c r="V441" s="747">
        <f>SUM(V435:V440)</f>
        <v>188.054</v>
      </c>
      <c r="W441" s="745">
        <f>SUM(W435:W440)</f>
        <v>187.02199999999996</v>
      </c>
      <c r="X441" s="745">
        <f>SUM(X436:X440)</f>
        <v>186.084</v>
      </c>
      <c r="Y441" s="745">
        <f>SUM(Y436:Y440)</f>
        <v>189.19799999999998</v>
      </c>
      <c r="Z441" s="747">
        <f>SUM(Z435:Z440)</f>
        <v>186.56899999999999</v>
      </c>
      <c r="AA441" s="745">
        <f>SUM(AA435:AA440)</f>
        <v>189.714</v>
      </c>
      <c r="AB441" s="745">
        <f>SUM(AB436:AB440)</f>
        <v>193.76399999999998</v>
      </c>
      <c r="AC441" s="745">
        <f>SUM(AC436:AC440)</f>
        <v>195.04300000000003</v>
      </c>
      <c r="AD441" s="745">
        <f>SUM(AD435:AD440)</f>
        <v>209.91399999999999</v>
      </c>
      <c r="AE441" s="745">
        <f>SUM(AE435:AE440)</f>
        <v>202.49200000000002</v>
      </c>
      <c r="AF441" s="746">
        <f>SUM(AF436:AF440)</f>
        <v>202.74100000000001</v>
      </c>
      <c r="AG441" s="747">
        <f t="shared" ref="AG441:AL441" ca="1" si="450">SUM(AG435:AG440)</f>
        <v>205.47907856480876</v>
      </c>
      <c r="AH441" s="747">
        <f t="shared" ca="1" si="450"/>
        <v>209.56546966043339</v>
      </c>
      <c r="AI441" s="747">
        <f t="shared" ca="1" si="450"/>
        <v>212.3586230461664</v>
      </c>
      <c r="AJ441" s="747">
        <f t="shared" ca="1" si="450"/>
        <v>215.6039333407499</v>
      </c>
      <c r="AK441" s="747">
        <f t="shared" ca="1" si="450"/>
        <v>219.20285762425303</v>
      </c>
      <c r="AL441" s="747">
        <f t="shared" ca="1" si="450"/>
        <v>225.29451856188237</v>
      </c>
      <c r="AM441" s="747"/>
      <c r="AN441" s="744">
        <f t="shared" ref="AN441:BC441" si="451">SUM(AN435:AN440)</f>
        <v>110.89</v>
      </c>
      <c r="AO441" s="744">
        <f t="shared" si="451"/>
        <v>124.78700000000001</v>
      </c>
      <c r="AP441" s="744">
        <f t="shared" si="451"/>
        <v>143.39399999999998</v>
      </c>
      <c r="AQ441" s="744">
        <f t="shared" si="451"/>
        <v>167.33700000000002</v>
      </c>
      <c r="AR441" s="744">
        <f t="shared" si="451"/>
        <v>193.02699999999999</v>
      </c>
      <c r="AS441" s="744">
        <f t="shared" si="451"/>
        <v>151.72499999999999</v>
      </c>
      <c r="AT441" s="744">
        <f t="shared" si="451"/>
        <v>158.34399999999999</v>
      </c>
      <c r="AU441" s="744">
        <f t="shared" si="451"/>
        <v>167.49600000000004</v>
      </c>
      <c r="AV441" s="748">
        <f t="shared" si="451"/>
        <v>188.054</v>
      </c>
      <c r="AW441" s="748">
        <f t="shared" si="451"/>
        <v>186.56899999999999</v>
      </c>
      <c r="AX441" s="935">
        <f t="shared" si="451"/>
        <v>209.91399999999999</v>
      </c>
      <c r="AY441" s="748">
        <f t="shared" ca="1" si="451"/>
        <v>209.56546966043339</v>
      </c>
      <c r="AZ441" s="748">
        <f t="shared" ca="1" si="451"/>
        <v>225.29451856188237</v>
      </c>
      <c r="BA441" s="748">
        <f t="shared" ca="1" si="451"/>
        <v>248.66964307007342</v>
      </c>
      <c r="BB441" s="748">
        <f t="shared" ca="1" si="451"/>
        <v>279.50859312559317</v>
      </c>
      <c r="BC441" s="748">
        <f t="shared" ca="1" si="451"/>
        <v>311.96734212965509</v>
      </c>
      <c r="BD441" s="632"/>
    </row>
    <row r="442" spans="1:56" s="39" customFormat="1" x14ac:dyDescent="0.25">
      <c r="A442" s="75" t="s">
        <v>243</v>
      </c>
      <c r="B442" s="171"/>
      <c r="C442" s="723"/>
      <c r="D442" s="723"/>
      <c r="E442" s="723"/>
      <c r="F442" s="723"/>
      <c r="G442" s="723"/>
      <c r="H442" s="723"/>
      <c r="I442" s="723"/>
      <c r="J442" s="723"/>
      <c r="K442" s="723"/>
      <c r="L442" s="723"/>
      <c r="M442" s="723"/>
      <c r="N442" s="723"/>
      <c r="O442" s="723"/>
      <c r="P442" s="723"/>
      <c r="Q442" s="724"/>
      <c r="R442" s="723"/>
      <c r="S442" s="723"/>
      <c r="T442" s="723"/>
      <c r="U442" s="724"/>
      <c r="V442" s="723">
        <f>AV442</f>
        <v>0</v>
      </c>
      <c r="W442" s="723"/>
      <c r="X442" s="723"/>
      <c r="Y442" s="724"/>
      <c r="Z442" s="723">
        <f>AW442</f>
        <v>0</v>
      </c>
      <c r="AA442" s="723"/>
      <c r="AB442" s="723"/>
      <c r="AC442" s="724"/>
      <c r="AD442" s="723">
        <f>AX442</f>
        <v>0</v>
      </c>
      <c r="AE442" s="723"/>
      <c r="AF442" s="727"/>
      <c r="AG442" s="737">
        <f>AF442</f>
        <v>0</v>
      </c>
      <c r="AH442" s="737">
        <f>AG442</f>
        <v>0</v>
      </c>
      <c r="AI442" s="737">
        <f>AY442</f>
        <v>0</v>
      </c>
      <c r="AJ442" s="737">
        <f>AI442</f>
        <v>0</v>
      </c>
      <c r="AK442" s="737">
        <f>AJ442</f>
        <v>0</v>
      </c>
      <c r="AL442" s="737">
        <f>AK442</f>
        <v>0</v>
      </c>
      <c r="AM442" s="737"/>
      <c r="AN442" s="722"/>
      <c r="AO442" s="722"/>
      <c r="AP442" s="722"/>
      <c r="AQ442" s="722"/>
      <c r="AR442" s="722"/>
      <c r="AS442" s="722"/>
      <c r="AT442" s="722"/>
      <c r="AU442" s="722"/>
      <c r="AV442" s="722"/>
      <c r="AW442" s="722"/>
      <c r="AX442" s="927"/>
      <c r="AY442" s="738">
        <f>AH442</f>
        <v>0</v>
      </c>
      <c r="AZ442" s="738">
        <f>AL442</f>
        <v>0</v>
      </c>
      <c r="BA442" s="738">
        <f>AZ442</f>
        <v>0</v>
      </c>
      <c r="BB442" s="738">
        <f>BA442</f>
        <v>0</v>
      </c>
      <c r="BC442" s="738">
        <f>BB442</f>
        <v>0</v>
      </c>
      <c r="BD442" s="631"/>
    </row>
    <row r="443" spans="1:56" s="38" customFormat="1" x14ac:dyDescent="0.25">
      <c r="A443" s="162" t="s">
        <v>244</v>
      </c>
      <c r="B443" s="187"/>
      <c r="C443" s="740">
        <f t="shared" ref="C443:AL443" si="452">C441+C432+C442</f>
        <v>236.47200000000004</v>
      </c>
      <c r="D443" s="740">
        <f t="shared" si="452"/>
        <v>259.54899999999998</v>
      </c>
      <c r="E443" s="740">
        <f t="shared" si="452"/>
        <v>271.73600000000005</v>
      </c>
      <c r="F443" s="740">
        <f t="shared" si="452"/>
        <v>280.15599999999995</v>
      </c>
      <c r="G443" s="740">
        <f t="shared" si="452"/>
        <v>290.52800000000002</v>
      </c>
      <c r="H443" s="740">
        <f t="shared" si="452"/>
        <v>321.82900000000001</v>
      </c>
      <c r="I443" s="740">
        <f t="shared" si="452"/>
        <v>302.68400000000003</v>
      </c>
      <c r="J443" s="740">
        <f t="shared" si="452"/>
        <v>305.452</v>
      </c>
      <c r="K443" s="740">
        <f t="shared" si="452"/>
        <v>294.65499999999997</v>
      </c>
      <c r="L443" s="740">
        <f t="shared" si="452"/>
        <v>309.125</v>
      </c>
      <c r="M443" s="740">
        <f t="shared" si="452"/>
        <v>306.92100000000005</v>
      </c>
      <c r="N443" s="740">
        <f t="shared" si="452"/>
        <v>302.35000000000002</v>
      </c>
      <c r="O443" s="740">
        <f t="shared" si="452"/>
        <v>294.51699999999994</v>
      </c>
      <c r="P443" s="740">
        <f t="shared" si="452"/>
        <v>295.87</v>
      </c>
      <c r="Q443" s="754">
        <f t="shared" si="452"/>
        <v>307.30100000000004</v>
      </c>
      <c r="R443" s="740">
        <f t="shared" si="452"/>
        <v>315.60100000000006</v>
      </c>
      <c r="S443" s="740">
        <f t="shared" si="452"/>
        <v>324.54199999999992</v>
      </c>
      <c r="T443" s="740">
        <f t="shared" si="452"/>
        <v>341.48900000000003</v>
      </c>
      <c r="U443" s="754">
        <f t="shared" si="452"/>
        <v>351.07400000000001</v>
      </c>
      <c r="V443" s="757">
        <f t="shared" si="452"/>
        <v>365.00700000000001</v>
      </c>
      <c r="W443" s="740">
        <f t="shared" si="452"/>
        <v>363.07499999999993</v>
      </c>
      <c r="X443" s="740">
        <f t="shared" si="452"/>
        <v>389.09500000000003</v>
      </c>
      <c r="Y443" s="754">
        <f t="shared" si="452"/>
        <v>401.49699999999996</v>
      </c>
      <c r="Z443" s="757">
        <f t="shared" si="452"/>
        <v>434.738</v>
      </c>
      <c r="AA443" s="740">
        <f t="shared" si="452"/>
        <v>461.46499999999997</v>
      </c>
      <c r="AB443" s="740">
        <f t="shared" si="452"/>
        <v>461.255</v>
      </c>
      <c r="AC443" s="754">
        <f t="shared" si="452"/>
        <v>449.57300000000004</v>
      </c>
      <c r="AD443" s="740">
        <f t="shared" si="452"/>
        <v>448.90199999999993</v>
      </c>
      <c r="AE443" s="740">
        <f t="shared" si="452"/>
        <v>416.59400000000005</v>
      </c>
      <c r="AF443" s="741">
        <f t="shared" si="452"/>
        <v>393.71000000000004</v>
      </c>
      <c r="AG443" s="759">
        <f t="shared" ca="1" si="452"/>
        <v>395.99148004266999</v>
      </c>
      <c r="AH443" s="759">
        <f t="shared" ca="1" si="452"/>
        <v>409.02190796972059</v>
      </c>
      <c r="AI443" s="759">
        <f t="shared" ca="1" si="452"/>
        <v>399.39751241116539</v>
      </c>
      <c r="AJ443" s="759">
        <f t="shared" ca="1" si="452"/>
        <v>408.41616784801369</v>
      </c>
      <c r="AK443" s="759">
        <f t="shared" ca="1" si="452"/>
        <v>413.15539864594109</v>
      </c>
      <c r="AL443" s="759">
        <f t="shared" ca="1" si="452"/>
        <v>430.45046739653537</v>
      </c>
      <c r="AM443" s="759"/>
      <c r="AN443" s="739">
        <f t="shared" ref="AN443:BC443" si="453">AN441+AN432+AN442</f>
        <v>156.70099999999999</v>
      </c>
      <c r="AO443" s="739">
        <f t="shared" si="453"/>
        <v>183.19600000000003</v>
      </c>
      <c r="AP443" s="739">
        <f t="shared" si="453"/>
        <v>211.57599999999996</v>
      </c>
      <c r="AQ443" s="739">
        <f t="shared" si="453"/>
        <v>244.43400000000003</v>
      </c>
      <c r="AR443" s="739">
        <f t="shared" si="453"/>
        <v>280.15599999999995</v>
      </c>
      <c r="AS443" s="739">
        <f t="shared" si="453"/>
        <v>305.452</v>
      </c>
      <c r="AT443" s="739">
        <f t="shared" si="453"/>
        <v>302.35000000000002</v>
      </c>
      <c r="AU443" s="739">
        <f t="shared" si="453"/>
        <v>315.60100000000006</v>
      </c>
      <c r="AV443" s="756">
        <f t="shared" si="453"/>
        <v>365.00700000000001</v>
      </c>
      <c r="AW443" s="756">
        <f t="shared" si="453"/>
        <v>434.738</v>
      </c>
      <c r="AX443" s="934">
        <f t="shared" si="453"/>
        <v>448.90199999999993</v>
      </c>
      <c r="AY443" s="760">
        <f t="shared" ca="1" si="453"/>
        <v>409.02190796972059</v>
      </c>
      <c r="AZ443" s="760">
        <f t="shared" ca="1" si="453"/>
        <v>430.45046739653537</v>
      </c>
      <c r="BA443" s="760">
        <f t="shared" ca="1" si="453"/>
        <v>462.70697327045491</v>
      </c>
      <c r="BB443" s="760">
        <f t="shared" ca="1" si="453"/>
        <v>503.39078905323009</v>
      </c>
      <c r="BC443" s="760">
        <f t="shared" ca="1" si="453"/>
        <v>541.4326000819342</v>
      </c>
      <c r="BD443" s="632"/>
    </row>
    <row r="444" spans="1:56" s="39" customFormat="1" x14ac:dyDescent="0.25">
      <c r="A444" s="631"/>
      <c r="B444" s="631"/>
      <c r="C444" s="723"/>
      <c r="D444" s="723"/>
      <c r="E444" s="723"/>
      <c r="F444" s="723"/>
      <c r="G444" s="723"/>
      <c r="H444" s="723"/>
      <c r="I444" s="723"/>
      <c r="J444" s="723"/>
      <c r="K444" s="723"/>
      <c r="L444" s="723"/>
      <c r="M444" s="723"/>
      <c r="N444" s="723"/>
      <c r="O444" s="723"/>
      <c r="P444" s="723"/>
      <c r="Q444" s="724"/>
      <c r="R444" s="723"/>
      <c r="S444" s="723"/>
      <c r="T444" s="723"/>
      <c r="U444" s="724"/>
      <c r="V444" s="723"/>
      <c r="W444" s="723"/>
      <c r="X444" s="723"/>
      <c r="Y444" s="724"/>
      <c r="Z444" s="723"/>
      <c r="AA444" s="723"/>
      <c r="AB444" s="723"/>
      <c r="AC444" s="724"/>
      <c r="AD444" s="723"/>
      <c r="AE444" s="723"/>
      <c r="AF444" s="727"/>
      <c r="AG444" s="737"/>
      <c r="AH444" s="737"/>
      <c r="AI444" s="737"/>
      <c r="AJ444" s="737"/>
      <c r="AK444" s="737"/>
      <c r="AL444" s="737"/>
      <c r="AM444" s="737"/>
      <c r="AN444" s="723"/>
      <c r="AO444" s="723"/>
      <c r="AP444" s="723"/>
      <c r="AQ444" s="723"/>
      <c r="AR444" s="723"/>
      <c r="AS444" s="723"/>
      <c r="AT444" s="723"/>
      <c r="AU444" s="723"/>
      <c r="AV444" s="723"/>
      <c r="AW444" s="723"/>
      <c r="AX444" s="727"/>
      <c r="AY444" s="737"/>
      <c r="AZ444" s="737"/>
      <c r="BA444" s="737"/>
      <c r="BB444" s="737"/>
      <c r="BC444" s="737"/>
      <c r="BD444" s="631"/>
    </row>
    <row r="445" spans="1:56" s="39" customFormat="1" x14ac:dyDescent="0.25">
      <c r="A445" s="92" t="s">
        <v>245</v>
      </c>
      <c r="B445" s="92"/>
      <c r="C445" s="804">
        <f t="shared" ref="C445:AL445" si="454">ROUND(C416-C443,6)</f>
        <v>0</v>
      </c>
      <c r="D445" s="804">
        <f t="shared" si="454"/>
        <v>0</v>
      </c>
      <c r="E445" s="804">
        <f t="shared" si="454"/>
        <v>0</v>
      </c>
      <c r="F445" s="804">
        <f t="shared" si="454"/>
        <v>0</v>
      </c>
      <c r="G445" s="804">
        <f t="shared" si="454"/>
        <v>0</v>
      </c>
      <c r="H445" s="804">
        <f t="shared" si="454"/>
        <v>0</v>
      </c>
      <c r="I445" s="804">
        <f t="shared" si="454"/>
        <v>0</v>
      </c>
      <c r="J445" s="804">
        <f t="shared" si="454"/>
        <v>0</v>
      </c>
      <c r="K445" s="804">
        <f t="shared" si="454"/>
        <v>0</v>
      </c>
      <c r="L445" s="804">
        <f t="shared" si="454"/>
        <v>0</v>
      </c>
      <c r="M445" s="804">
        <f t="shared" si="454"/>
        <v>0</v>
      </c>
      <c r="N445" s="804">
        <f t="shared" si="454"/>
        <v>0</v>
      </c>
      <c r="O445" s="804">
        <f t="shared" si="454"/>
        <v>0</v>
      </c>
      <c r="P445" s="804">
        <f t="shared" si="454"/>
        <v>0</v>
      </c>
      <c r="Q445" s="804">
        <f t="shared" si="454"/>
        <v>0</v>
      </c>
      <c r="R445" s="804">
        <f t="shared" si="454"/>
        <v>0</v>
      </c>
      <c r="S445" s="804">
        <f t="shared" si="454"/>
        <v>0</v>
      </c>
      <c r="T445" s="804">
        <f t="shared" si="454"/>
        <v>0</v>
      </c>
      <c r="U445" s="804">
        <f t="shared" si="454"/>
        <v>0</v>
      </c>
      <c r="V445" s="804">
        <f t="shared" si="454"/>
        <v>0</v>
      </c>
      <c r="W445" s="804">
        <f t="shared" si="454"/>
        <v>0</v>
      </c>
      <c r="X445" s="804">
        <f t="shared" si="454"/>
        <v>0</v>
      </c>
      <c r="Y445" s="804">
        <f t="shared" si="454"/>
        <v>0</v>
      </c>
      <c r="Z445" s="804">
        <f t="shared" si="454"/>
        <v>0</v>
      </c>
      <c r="AA445" s="804">
        <f t="shared" si="454"/>
        <v>0</v>
      </c>
      <c r="AB445" s="804">
        <f t="shared" si="454"/>
        <v>0</v>
      </c>
      <c r="AC445" s="804">
        <f t="shared" si="454"/>
        <v>0</v>
      </c>
      <c r="AD445" s="804">
        <f t="shared" si="454"/>
        <v>0</v>
      </c>
      <c r="AE445" s="804">
        <f t="shared" si="454"/>
        <v>0</v>
      </c>
      <c r="AF445" s="805">
        <f t="shared" si="454"/>
        <v>0</v>
      </c>
      <c r="AG445" s="806">
        <f t="shared" ca="1" si="454"/>
        <v>0</v>
      </c>
      <c r="AH445" s="806">
        <f t="shared" ca="1" si="454"/>
        <v>0</v>
      </c>
      <c r="AI445" s="806">
        <f t="shared" ca="1" si="454"/>
        <v>0</v>
      </c>
      <c r="AJ445" s="806">
        <f t="shared" ca="1" si="454"/>
        <v>0</v>
      </c>
      <c r="AK445" s="806">
        <f t="shared" ca="1" si="454"/>
        <v>0</v>
      </c>
      <c r="AL445" s="806">
        <f t="shared" ca="1" si="454"/>
        <v>0</v>
      </c>
      <c r="AM445" s="806"/>
      <c r="AN445" s="804">
        <f t="shared" ref="AN445:BC445" si="455">ROUND(AN416-AN443,6)</f>
        <v>0</v>
      </c>
      <c r="AO445" s="804">
        <f t="shared" si="455"/>
        <v>0</v>
      </c>
      <c r="AP445" s="804">
        <f t="shared" si="455"/>
        <v>0</v>
      </c>
      <c r="AQ445" s="804">
        <f t="shared" si="455"/>
        <v>0</v>
      </c>
      <c r="AR445" s="804">
        <f t="shared" si="455"/>
        <v>0</v>
      </c>
      <c r="AS445" s="804">
        <f t="shared" si="455"/>
        <v>0</v>
      </c>
      <c r="AT445" s="804">
        <f t="shared" si="455"/>
        <v>0</v>
      </c>
      <c r="AU445" s="804">
        <f t="shared" si="455"/>
        <v>0</v>
      </c>
      <c r="AV445" s="804">
        <f t="shared" si="455"/>
        <v>0</v>
      </c>
      <c r="AW445" s="804">
        <f t="shared" si="455"/>
        <v>0</v>
      </c>
      <c r="AX445" s="805">
        <f t="shared" si="455"/>
        <v>0</v>
      </c>
      <c r="AY445" s="806">
        <f t="shared" ca="1" si="455"/>
        <v>0</v>
      </c>
      <c r="AZ445" s="806">
        <f t="shared" ca="1" si="455"/>
        <v>0</v>
      </c>
      <c r="BA445" s="806">
        <f t="shared" ca="1" si="455"/>
        <v>0</v>
      </c>
      <c r="BB445" s="806">
        <f t="shared" ca="1" si="455"/>
        <v>0</v>
      </c>
      <c r="BC445" s="806">
        <f t="shared" ca="1" si="455"/>
        <v>0</v>
      </c>
      <c r="BD445" s="631"/>
    </row>
    <row r="446" spans="1:56" s="39" customFormat="1" x14ac:dyDescent="0.25">
      <c r="A446" s="631"/>
      <c r="B446" s="631"/>
      <c r="C446" s="723"/>
      <c r="D446" s="723"/>
      <c r="E446" s="723"/>
      <c r="F446" s="723"/>
      <c r="G446" s="723"/>
      <c r="H446" s="723"/>
      <c r="I446" s="723"/>
      <c r="J446" s="723"/>
      <c r="K446" s="723"/>
      <c r="L446" s="723"/>
      <c r="M446" s="723"/>
      <c r="N446" s="723"/>
      <c r="O446" s="723"/>
      <c r="P446" s="723"/>
      <c r="Q446" s="724"/>
      <c r="R446" s="723"/>
      <c r="S446" s="723"/>
      <c r="T446" s="723"/>
      <c r="U446" s="724"/>
      <c r="V446" s="723"/>
      <c r="W446" s="723"/>
      <c r="X446" s="723"/>
      <c r="Y446" s="724"/>
      <c r="Z446" s="723"/>
      <c r="AA446" s="723"/>
      <c r="AB446" s="723"/>
      <c r="AC446" s="724"/>
      <c r="AD446" s="723"/>
      <c r="AE446" s="723"/>
      <c r="AF446" s="727"/>
      <c r="AG446" s="737"/>
      <c r="AH446" s="737"/>
      <c r="AI446" s="737"/>
      <c r="AJ446" s="737"/>
      <c r="AK446" s="737"/>
      <c r="AL446" s="737"/>
      <c r="AM446" s="737"/>
      <c r="AN446" s="723"/>
      <c r="AO446" s="723"/>
      <c r="AP446" s="723"/>
      <c r="AQ446" s="723"/>
      <c r="AR446" s="723"/>
      <c r="AS446" s="723"/>
      <c r="AT446" s="723"/>
      <c r="AU446" s="723"/>
      <c r="AV446" s="723"/>
      <c r="AW446" s="723"/>
      <c r="AX446" s="727"/>
      <c r="AY446" s="737"/>
      <c r="AZ446" s="737"/>
      <c r="BA446" s="737"/>
      <c r="BB446" s="737"/>
      <c r="BC446" s="737"/>
      <c r="BD446" s="631"/>
    </row>
    <row r="447" spans="1:56" s="38" customFormat="1" x14ac:dyDescent="0.25">
      <c r="A447" s="637" t="s">
        <v>246</v>
      </c>
      <c r="B447" s="637"/>
      <c r="C447" s="800"/>
      <c r="D447" s="800"/>
      <c r="E447" s="800"/>
      <c r="F447" s="800"/>
      <c r="G447" s="800"/>
      <c r="H447" s="800"/>
      <c r="I447" s="800"/>
      <c r="J447" s="800"/>
      <c r="K447" s="800"/>
      <c r="L447" s="800"/>
      <c r="M447" s="800"/>
      <c r="N447" s="800"/>
      <c r="O447" s="800"/>
      <c r="P447" s="800"/>
      <c r="Q447" s="800"/>
      <c r="R447" s="800"/>
      <c r="S447" s="800"/>
      <c r="T447" s="800"/>
      <c r="U447" s="800"/>
      <c r="V447" s="800"/>
      <c r="W447" s="800"/>
      <c r="X447" s="800"/>
      <c r="Y447" s="800"/>
      <c r="Z447" s="800"/>
      <c r="AA447" s="800"/>
      <c r="AB447" s="800"/>
      <c r="AC447" s="800"/>
      <c r="AD447" s="800"/>
      <c r="AE447" s="800"/>
      <c r="AF447" s="801"/>
      <c r="AG447" s="802"/>
      <c r="AH447" s="802"/>
      <c r="AI447" s="802"/>
      <c r="AJ447" s="802"/>
      <c r="AK447" s="802"/>
      <c r="AL447" s="802"/>
      <c r="AM447" s="802"/>
      <c r="AN447" s="800"/>
      <c r="AO447" s="800"/>
      <c r="AP447" s="800"/>
      <c r="AQ447" s="800"/>
      <c r="AR447" s="800"/>
      <c r="AS447" s="800"/>
      <c r="AT447" s="800"/>
      <c r="AU447" s="800"/>
      <c r="AV447" s="800"/>
      <c r="AW447" s="800"/>
      <c r="AX447" s="801"/>
      <c r="AY447" s="802"/>
      <c r="AZ447" s="802"/>
      <c r="BA447" s="802"/>
      <c r="BB447" s="802"/>
      <c r="BC447" s="802"/>
      <c r="BD447" s="632"/>
    </row>
    <row r="448" spans="1:56" s="39" customFormat="1" hidden="1" outlineLevel="1" x14ac:dyDescent="0.25">
      <c r="A448" s="631" t="s">
        <v>247</v>
      </c>
      <c r="B448" s="625"/>
      <c r="C448" s="804">
        <f t="shared" ref="C448:AL448" si="456">IF(ISBLANK(INDEX(MO_IS_FirstRow,0,COLUMN())),0,ROUND(C327-C183,6))</f>
        <v>0</v>
      </c>
      <c r="D448" s="804">
        <f t="shared" si="456"/>
        <v>0</v>
      </c>
      <c r="E448" s="804">
        <f t="shared" si="456"/>
        <v>0</v>
      </c>
      <c r="F448" s="804">
        <f t="shared" si="456"/>
        <v>0</v>
      </c>
      <c r="G448" s="804">
        <f t="shared" si="456"/>
        <v>0</v>
      </c>
      <c r="H448" s="804">
        <f t="shared" si="456"/>
        <v>0</v>
      </c>
      <c r="I448" s="804">
        <f t="shared" si="456"/>
        <v>0</v>
      </c>
      <c r="J448" s="804">
        <f t="shared" si="456"/>
        <v>0</v>
      </c>
      <c r="K448" s="804">
        <f t="shared" si="456"/>
        <v>0</v>
      </c>
      <c r="L448" s="804">
        <f t="shared" si="456"/>
        <v>0</v>
      </c>
      <c r="M448" s="804">
        <f t="shared" si="456"/>
        <v>0</v>
      </c>
      <c r="N448" s="804">
        <f t="shared" si="456"/>
        <v>0</v>
      </c>
      <c r="O448" s="804">
        <f t="shared" si="456"/>
        <v>0</v>
      </c>
      <c r="P448" s="804">
        <f t="shared" si="456"/>
        <v>0</v>
      </c>
      <c r="Q448" s="804">
        <f t="shared" si="456"/>
        <v>0</v>
      </c>
      <c r="R448" s="804">
        <f t="shared" si="456"/>
        <v>0</v>
      </c>
      <c r="S448" s="804">
        <f t="shared" si="456"/>
        <v>0</v>
      </c>
      <c r="T448" s="804">
        <f t="shared" si="456"/>
        <v>0</v>
      </c>
      <c r="U448" s="804">
        <f t="shared" si="456"/>
        <v>0</v>
      </c>
      <c r="V448" s="804">
        <f t="shared" si="456"/>
        <v>0</v>
      </c>
      <c r="W448" s="804">
        <f t="shared" si="456"/>
        <v>0</v>
      </c>
      <c r="X448" s="804">
        <f t="shared" si="456"/>
        <v>0</v>
      </c>
      <c r="Y448" s="804">
        <f t="shared" si="456"/>
        <v>0</v>
      </c>
      <c r="Z448" s="804">
        <f t="shared" si="456"/>
        <v>0</v>
      </c>
      <c r="AA448" s="804">
        <f t="shared" si="456"/>
        <v>0</v>
      </c>
      <c r="AB448" s="804">
        <f t="shared" si="456"/>
        <v>0</v>
      </c>
      <c r="AC448" s="804">
        <f t="shared" si="456"/>
        <v>0</v>
      </c>
      <c r="AD448" s="804">
        <f t="shared" si="456"/>
        <v>0</v>
      </c>
      <c r="AE448" s="804">
        <f t="shared" si="456"/>
        <v>0</v>
      </c>
      <c r="AF448" s="805">
        <f t="shared" si="456"/>
        <v>0</v>
      </c>
      <c r="AG448" s="806">
        <f t="shared" si="456"/>
        <v>0</v>
      </c>
      <c r="AH448" s="806">
        <f t="shared" si="456"/>
        <v>0</v>
      </c>
      <c r="AI448" s="806">
        <f t="shared" si="456"/>
        <v>0</v>
      </c>
      <c r="AJ448" s="806">
        <f t="shared" si="456"/>
        <v>0</v>
      </c>
      <c r="AK448" s="806">
        <f t="shared" si="456"/>
        <v>0</v>
      </c>
      <c r="AL448" s="806">
        <f t="shared" si="456"/>
        <v>0</v>
      </c>
      <c r="AM448" s="806"/>
      <c r="AN448" s="804">
        <f t="shared" ref="AN448:BC448" si="457">IF(ISBLANK(INDEX(MO_IS_FirstRow,0,COLUMN())),0,ROUND(AN327-AN183,6))</f>
        <v>0</v>
      </c>
      <c r="AO448" s="804">
        <f t="shared" si="457"/>
        <v>0</v>
      </c>
      <c r="AP448" s="804">
        <f t="shared" si="457"/>
        <v>0</v>
      </c>
      <c r="AQ448" s="804">
        <f t="shared" si="457"/>
        <v>0</v>
      </c>
      <c r="AR448" s="804">
        <f t="shared" si="457"/>
        <v>0</v>
      </c>
      <c r="AS448" s="804">
        <f t="shared" si="457"/>
        <v>0</v>
      </c>
      <c r="AT448" s="804">
        <f t="shared" si="457"/>
        <v>0</v>
      </c>
      <c r="AU448" s="804">
        <f t="shared" si="457"/>
        <v>0</v>
      </c>
      <c r="AV448" s="804">
        <f t="shared" si="457"/>
        <v>0</v>
      </c>
      <c r="AW448" s="804">
        <f t="shared" si="457"/>
        <v>0</v>
      </c>
      <c r="AX448" s="805">
        <f t="shared" si="457"/>
        <v>0</v>
      </c>
      <c r="AY448" s="806">
        <f t="shared" si="457"/>
        <v>0</v>
      </c>
      <c r="AZ448" s="806">
        <f t="shared" si="457"/>
        <v>0</v>
      </c>
      <c r="BA448" s="806">
        <f t="shared" si="457"/>
        <v>0</v>
      </c>
      <c r="BB448" s="806">
        <f t="shared" si="457"/>
        <v>0</v>
      </c>
      <c r="BC448" s="806">
        <f t="shared" si="457"/>
        <v>0</v>
      </c>
      <c r="BD448" s="631"/>
    </row>
    <row r="449" spans="1:56" s="39" customFormat="1" hidden="1" outlineLevel="1" x14ac:dyDescent="0.25">
      <c r="A449" s="631" t="s">
        <v>248</v>
      </c>
      <c r="B449" s="625"/>
      <c r="C449" s="804">
        <f t="shared" ref="C449:AL449" si="458">IF(ISBLANK(INDEX(MO_IS_FirstRow,0,COLUMN())),0,ROUND(C115-C183,6))</f>
        <v>0</v>
      </c>
      <c r="D449" s="804">
        <f t="shared" si="458"/>
        <v>0</v>
      </c>
      <c r="E449" s="804">
        <f t="shared" si="458"/>
        <v>0</v>
      </c>
      <c r="F449" s="804">
        <f t="shared" si="458"/>
        <v>0</v>
      </c>
      <c r="G449" s="804">
        <f t="shared" si="458"/>
        <v>0</v>
      </c>
      <c r="H449" s="804">
        <f t="shared" si="458"/>
        <v>0</v>
      </c>
      <c r="I449" s="804">
        <f t="shared" si="458"/>
        <v>0</v>
      </c>
      <c r="J449" s="804">
        <f t="shared" si="458"/>
        <v>0</v>
      </c>
      <c r="K449" s="804">
        <f t="shared" si="458"/>
        <v>0</v>
      </c>
      <c r="L449" s="804">
        <f t="shared" si="458"/>
        <v>0</v>
      </c>
      <c r="M449" s="804">
        <f t="shared" si="458"/>
        <v>0</v>
      </c>
      <c r="N449" s="804">
        <f t="shared" si="458"/>
        <v>0</v>
      </c>
      <c r="O449" s="804">
        <f t="shared" si="458"/>
        <v>0</v>
      </c>
      <c r="P449" s="804">
        <f t="shared" si="458"/>
        <v>0</v>
      </c>
      <c r="Q449" s="804">
        <f t="shared" si="458"/>
        <v>0</v>
      </c>
      <c r="R449" s="804">
        <f t="shared" si="458"/>
        <v>0</v>
      </c>
      <c r="S449" s="804">
        <f t="shared" si="458"/>
        <v>0</v>
      </c>
      <c r="T449" s="804">
        <f t="shared" si="458"/>
        <v>0</v>
      </c>
      <c r="U449" s="804">
        <f t="shared" si="458"/>
        <v>0</v>
      </c>
      <c r="V449" s="804">
        <f t="shared" si="458"/>
        <v>0</v>
      </c>
      <c r="W449" s="804">
        <f t="shared" si="458"/>
        <v>0</v>
      </c>
      <c r="X449" s="804">
        <f t="shared" si="458"/>
        <v>0</v>
      </c>
      <c r="Y449" s="804">
        <f t="shared" si="458"/>
        <v>0</v>
      </c>
      <c r="Z449" s="804">
        <f t="shared" si="458"/>
        <v>0</v>
      </c>
      <c r="AA449" s="804">
        <f t="shared" si="458"/>
        <v>0</v>
      </c>
      <c r="AB449" s="804">
        <f t="shared" si="458"/>
        <v>0</v>
      </c>
      <c r="AC449" s="804">
        <f t="shared" si="458"/>
        <v>0</v>
      </c>
      <c r="AD449" s="804">
        <f t="shared" si="458"/>
        <v>0</v>
      </c>
      <c r="AE449" s="804">
        <f t="shared" si="458"/>
        <v>0</v>
      </c>
      <c r="AF449" s="805">
        <f t="shared" si="458"/>
        <v>0</v>
      </c>
      <c r="AG449" s="806">
        <f t="shared" si="458"/>
        <v>0</v>
      </c>
      <c r="AH449" s="806">
        <f t="shared" si="458"/>
        <v>0</v>
      </c>
      <c r="AI449" s="806">
        <f t="shared" si="458"/>
        <v>0</v>
      </c>
      <c r="AJ449" s="806">
        <f t="shared" si="458"/>
        <v>0</v>
      </c>
      <c r="AK449" s="806">
        <f t="shared" si="458"/>
        <v>0</v>
      </c>
      <c r="AL449" s="806">
        <f t="shared" si="458"/>
        <v>0</v>
      </c>
      <c r="AM449" s="806"/>
      <c r="AN449" s="804">
        <f t="shared" ref="AN449:BC449" si="459">IF(ISBLANK(INDEX(MO_IS_FirstRow,0,COLUMN())),0,ROUND(AN115-AN183,6))</f>
        <v>0</v>
      </c>
      <c r="AO449" s="804">
        <f t="shared" si="459"/>
        <v>0</v>
      </c>
      <c r="AP449" s="804">
        <f t="shared" si="459"/>
        <v>0</v>
      </c>
      <c r="AQ449" s="804">
        <f t="shared" si="459"/>
        <v>0</v>
      </c>
      <c r="AR449" s="804">
        <f t="shared" si="459"/>
        <v>0</v>
      </c>
      <c r="AS449" s="804">
        <f t="shared" si="459"/>
        <v>0</v>
      </c>
      <c r="AT449" s="804">
        <f t="shared" si="459"/>
        <v>0</v>
      </c>
      <c r="AU449" s="804">
        <f t="shared" si="459"/>
        <v>0</v>
      </c>
      <c r="AV449" s="804">
        <f t="shared" si="459"/>
        <v>0</v>
      </c>
      <c r="AW449" s="804">
        <f t="shared" si="459"/>
        <v>0</v>
      </c>
      <c r="AX449" s="805">
        <f t="shared" si="459"/>
        <v>0</v>
      </c>
      <c r="AY449" s="806">
        <f t="shared" si="459"/>
        <v>0</v>
      </c>
      <c r="AZ449" s="806">
        <f t="shared" si="459"/>
        <v>0</v>
      </c>
      <c r="BA449" s="806">
        <f t="shared" si="459"/>
        <v>0</v>
      </c>
      <c r="BB449" s="806">
        <f t="shared" si="459"/>
        <v>0</v>
      </c>
      <c r="BC449" s="806">
        <f t="shared" si="459"/>
        <v>0</v>
      </c>
      <c r="BD449" s="631"/>
    </row>
    <row r="450" spans="1:56" s="39" customFormat="1" hidden="1" outlineLevel="1" x14ac:dyDescent="0.25">
      <c r="A450" s="631" t="s">
        <v>462</v>
      </c>
      <c r="B450" s="625"/>
      <c r="C450" s="804">
        <f t="shared" ref="C450:AL450" si="460">IF(C227&lt;0,C227,0)</f>
        <v>0</v>
      </c>
      <c r="D450" s="804">
        <f t="shared" si="460"/>
        <v>0</v>
      </c>
      <c r="E450" s="804">
        <f t="shared" si="460"/>
        <v>0</v>
      </c>
      <c r="F450" s="804">
        <f t="shared" si="460"/>
        <v>0</v>
      </c>
      <c r="G450" s="804">
        <f t="shared" si="460"/>
        <v>0</v>
      </c>
      <c r="H450" s="804">
        <f t="shared" si="460"/>
        <v>0</v>
      </c>
      <c r="I450" s="804">
        <f t="shared" si="460"/>
        <v>0</v>
      </c>
      <c r="J450" s="804">
        <f t="shared" si="460"/>
        <v>0</v>
      </c>
      <c r="K450" s="804">
        <f t="shared" si="460"/>
        <v>0</v>
      </c>
      <c r="L450" s="804">
        <f t="shared" si="460"/>
        <v>0</v>
      </c>
      <c r="M450" s="804">
        <f t="shared" si="460"/>
        <v>0</v>
      </c>
      <c r="N450" s="804">
        <f t="shared" si="460"/>
        <v>0</v>
      </c>
      <c r="O450" s="804">
        <f t="shared" si="460"/>
        <v>0</v>
      </c>
      <c r="P450" s="804">
        <f t="shared" si="460"/>
        <v>0</v>
      </c>
      <c r="Q450" s="804">
        <f t="shared" si="460"/>
        <v>0</v>
      </c>
      <c r="R450" s="804">
        <f t="shared" si="460"/>
        <v>0</v>
      </c>
      <c r="S450" s="804">
        <f t="shared" si="460"/>
        <v>0</v>
      </c>
      <c r="T450" s="804">
        <f t="shared" si="460"/>
        <v>0</v>
      </c>
      <c r="U450" s="804">
        <f t="shared" si="460"/>
        <v>0</v>
      </c>
      <c r="V450" s="804">
        <f t="shared" si="460"/>
        <v>0</v>
      </c>
      <c r="W450" s="804">
        <f t="shared" si="460"/>
        <v>0</v>
      </c>
      <c r="X450" s="804">
        <f t="shared" si="460"/>
        <v>0</v>
      </c>
      <c r="Y450" s="804">
        <f t="shared" si="460"/>
        <v>0</v>
      </c>
      <c r="Z450" s="804">
        <f t="shared" si="460"/>
        <v>0</v>
      </c>
      <c r="AA450" s="804">
        <f t="shared" si="460"/>
        <v>0</v>
      </c>
      <c r="AB450" s="804">
        <f t="shared" si="460"/>
        <v>0</v>
      </c>
      <c r="AC450" s="804">
        <f t="shared" si="460"/>
        <v>0</v>
      </c>
      <c r="AD450" s="804">
        <f t="shared" si="460"/>
        <v>0</v>
      </c>
      <c r="AE450" s="804">
        <f t="shared" si="460"/>
        <v>0</v>
      </c>
      <c r="AF450" s="805">
        <f t="shared" si="460"/>
        <v>0</v>
      </c>
      <c r="AG450" s="806">
        <f t="shared" ca="1" si="460"/>
        <v>0</v>
      </c>
      <c r="AH450" s="806">
        <f t="shared" ca="1" si="460"/>
        <v>0</v>
      </c>
      <c r="AI450" s="806">
        <f t="shared" ca="1" si="460"/>
        <v>0</v>
      </c>
      <c r="AJ450" s="806">
        <f t="shared" ca="1" si="460"/>
        <v>0</v>
      </c>
      <c r="AK450" s="806">
        <f t="shared" ca="1" si="460"/>
        <v>0</v>
      </c>
      <c r="AL450" s="806">
        <f t="shared" ca="1" si="460"/>
        <v>0</v>
      </c>
      <c r="AM450" s="806"/>
      <c r="AN450" s="804">
        <f t="shared" ref="AN450:BC450" si="461">IF(AN227&lt;0,AN227,0)</f>
        <v>0</v>
      </c>
      <c r="AO450" s="804">
        <f t="shared" si="461"/>
        <v>0</v>
      </c>
      <c r="AP450" s="804">
        <f t="shared" si="461"/>
        <v>0</v>
      </c>
      <c r="AQ450" s="804">
        <f t="shared" si="461"/>
        <v>0</v>
      </c>
      <c r="AR450" s="804">
        <f t="shared" si="461"/>
        <v>0</v>
      </c>
      <c r="AS450" s="804">
        <f t="shared" si="461"/>
        <v>0</v>
      </c>
      <c r="AT450" s="804">
        <f t="shared" si="461"/>
        <v>0</v>
      </c>
      <c r="AU450" s="804">
        <f t="shared" si="461"/>
        <v>0</v>
      </c>
      <c r="AV450" s="804">
        <f t="shared" si="461"/>
        <v>0</v>
      </c>
      <c r="AW450" s="804">
        <f t="shared" si="461"/>
        <v>0</v>
      </c>
      <c r="AX450" s="805">
        <f t="shared" si="461"/>
        <v>0</v>
      </c>
      <c r="AY450" s="806">
        <f t="shared" ca="1" si="461"/>
        <v>0</v>
      </c>
      <c r="AZ450" s="806">
        <f t="shared" ca="1" si="461"/>
        <v>0</v>
      </c>
      <c r="BA450" s="806">
        <f t="shared" ca="1" si="461"/>
        <v>0</v>
      </c>
      <c r="BB450" s="806">
        <f t="shared" ca="1" si="461"/>
        <v>0</v>
      </c>
      <c r="BC450" s="806">
        <f t="shared" ca="1" si="461"/>
        <v>0</v>
      </c>
      <c r="BD450" s="631"/>
    </row>
    <row r="451" spans="1:56" s="39" customFormat="1" hidden="1" outlineLevel="1" x14ac:dyDescent="0.25">
      <c r="A451" s="631" t="s">
        <v>463</v>
      </c>
      <c r="B451" s="625"/>
      <c r="C451" s="804">
        <f t="shared" ref="C451:AL451" si="462">IF(C230&lt;0,C230,0)</f>
        <v>0</v>
      </c>
      <c r="D451" s="804">
        <f t="shared" si="462"/>
        <v>0</v>
      </c>
      <c r="E451" s="804">
        <f t="shared" si="462"/>
        <v>0</v>
      </c>
      <c r="F451" s="804">
        <f t="shared" si="462"/>
        <v>0</v>
      </c>
      <c r="G451" s="804">
        <f t="shared" si="462"/>
        <v>0</v>
      </c>
      <c r="H451" s="804">
        <f t="shared" si="462"/>
        <v>0</v>
      </c>
      <c r="I451" s="804">
        <f t="shared" si="462"/>
        <v>0</v>
      </c>
      <c r="J451" s="804">
        <f t="shared" si="462"/>
        <v>0</v>
      </c>
      <c r="K451" s="804">
        <f t="shared" si="462"/>
        <v>0</v>
      </c>
      <c r="L451" s="804">
        <f t="shared" si="462"/>
        <v>0</v>
      </c>
      <c r="M451" s="804">
        <f t="shared" si="462"/>
        <v>0</v>
      </c>
      <c r="N451" s="804">
        <f t="shared" si="462"/>
        <v>0</v>
      </c>
      <c r="O451" s="804">
        <f t="shared" si="462"/>
        <v>0</v>
      </c>
      <c r="P451" s="804">
        <f t="shared" si="462"/>
        <v>0</v>
      </c>
      <c r="Q451" s="804">
        <f t="shared" si="462"/>
        <v>0</v>
      </c>
      <c r="R451" s="804">
        <f t="shared" si="462"/>
        <v>0</v>
      </c>
      <c r="S451" s="804">
        <f t="shared" si="462"/>
        <v>0</v>
      </c>
      <c r="T451" s="804">
        <f t="shared" si="462"/>
        <v>0</v>
      </c>
      <c r="U451" s="804">
        <f t="shared" si="462"/>
        <v>0</v>
      </c>
      <c r="V451" s="804">
        <f t="shared" si="462"/>
        <v>0</v>
      </c>
      <c r="W451" s="804">
        <f t="shared" si="462"/>
        <v>0</v>
      </c>
      <c r="X451" s="804">
        <f t="shared" si="462"/>
        <v>0</v>
      </c>
      <c r="Y451" s="804">
        <f t="shared" si="462"/>
        <v>0</v>
      </c>
      <c r="Z451" s="804">
        <f t="shared" si="462"/>
        <v>0</v>
      </c>
      <c r="AA451" s="804">
        <f t="shared" si="462"/>
        <v>0</v>
      </c>
      <c r="AB451" s="804">
        <f t="shared" si="462"/>
        <v>0</v>
      </c>
      <c r="AC451" s="804">
        <f t="shared" si="462"/>
        <v>0</v>
      </c>
      <c r="AD451" s="804">
        <f t="shared" si="462"/>
        <v>0</v>
      </c>
      <c r="AE451" s="804">
        <f t="shared" si="462"/>
        <v>0</v>
      </c>
      <c r="AF451" s="805">
        <f t="shared" si="462"/>
        <v>0</v>
      </c>
      <c r="AG451" s="806">
        <f t="shared" si="462"/>
        <v>0</v>
      </c>
      <c r="AH451" s="806">
        <f t="shared" si="462"/>
        <v>0</v>
      </c>
      <c r="AI451" s="806">
        <f t="shared" si="462"/>
        <v>0</v>
      </c>
      <c r="AJ451" s="806">
        <f t="shared" si="462"/>
        <v>0</v>
      </c>
      <c r="AK451" s="806">
        <f t="shared" si="462"/>
        <v>0</v>
      </c>
      <c r="AL451" s="806">
        <f t="shared" si="462"/>
        <v>0</v>
      </c>
      <c r="AM451" s="806"/>
      <c r="AN451" s="804">
        <f t="shared" ref="AN451:BC451" si="463">IF(AN230&lt;0,AN230,0)</f>
        <v>0</v>
      </c>
      <c r="AO451" s="804">
        <f t="shared" si="463"/>
        <v>0</v>
      </c>
      <c r="AP451" s="804">
        <f t="shared" si="463"/>
        <v>0</v>
      </c>
      <c r="AQ451" s="804">
        <f t="shared" si="463"/>
        <v>0</v>
      </c>
      <c r="AR451" s="804">
        <f t="shared" si="463"/>
        <v>0</v>
      </c>
      <c r="AS451" s="804">
        <f t="shared" si="463"/>
        <v>0</v>
      </c>
      <c r="AT451" s="804">
        <f t="shared" si="463"/>
        <v>0</v>
      </c>
      <c r="AU451" s="804">
        <f t="shared" si="463"/>
        <v>0</v>
      </c>
      <c r="AV451" s="804">
        <f t="shared" si="463"/>
        <v>0</v>
      </c>
      <c r="AW451" s="804">
        <f t="shared" si="463"/>
        <v>0</v>
      </c>
      <c r="AX451" s="805">
        <f t="shared" si="463"/>
        <v>0</v>
      </c>
      <c r="AY451" s="806">
        <f t="shared" si="463"/>
        <v>0</v>
      </c>
      <c r="AZ451" s="806">
        <f t="shared" si="463"/>
        <v>0</v>
      </c>
      <c r="BA451" s="806">
        <f t="shared" si="463"/>
        <v>0</v>
      </c>
      <c r="BB451" s="806">
        <f t="shared" si="463"/>
        <v>0</v>
      </c>
      <c r="BC451" s="806">
        <f t="shared" si="463"/>
        <v>0</v>
      </c>
      <c r="BD451" s="631"/>
    </row>
    <row r="452" spans="1:56" s="39" customFormat="1" hidden="1" outlineLevel="1" x14ac:dyDescent="0.25">
      <c r="A452" s="631" t="s">
        <v>249</v>
      </c>
      <c r="B452" s="625"/>
      <c r="C452" s="804">
        <f t="shared" ref="C452:R452" si="464">IF(AND(ISBLANK(C43),ISBLANK(C44),ISBLANK(C45),ISBLANK(C46)),0,ROUND(C160-C43-C44-C45-C46,6))</f>
        <v>0</v>
      </c>
      <c r="D452" s="804">
        <f t="shared" si="464"/>
        <v>0</v>
      </c>
      <c r="E452" s="804">
        <f t="shared" si="464"/>
        <v>0</v>
      </c>
      <c r="F452" s="804">
        <f t="shared" si="464"/>
        <v>0</v>
      </c>
      <c r="G452" s="804">
        <f t="shared" si="464"/>
        <v>0</v>
      </c>
      <c r="H452" s="804">
        <f t="shared" si="464"/>
        <v>0</v>
      </c>
      <c r="I452" s="804">
        <f t="shared" si="464"/>
        <v>0</v>
      </c>
      <c r="J452" s="804">
        <f t="shared" si="464"/>
        <v>0</v>
      </c>
      <c r="K452" s="804">
        <f t="shared" si="464"/>
        <v>0</v>
      </c>
      <c r="L452" s="804">
        <f t="shared" si="464"/>
        <v>0</v>
      </c>
      <c r="M452" s="804">
        <f t="shared" si="464"/>
        <v>0</v>
      </c>
      <c r="N452" s="804">
        <f t="shared" si="464"/>
        <v>0</v>
      </c>
      <c r="O452" s="804">
        <f t="shared" si="464"/>
        <v>0</v>
      </c>
      <c r="P452" s="804">
        <f t="shared" si="464"/>
        <v>0</v>
      </c>
      <c r="Q452" s="804">
        <f t="shared" si="464"/>
        <v>0</v>
      </c>
      <c r="R452" s="804">
        <f t="shared" si="464"/>
        <v>0</v>
      </c>
      <c r="S452" s="804">
        <f t="shared" ref="S452:AL452" si="465">IF(AND(ISBLANK(S28),ISBLANK(S27)),0,ROUND(S160-S28-S27,6))</f>
        <v>0</v>
      </c>
      <c r="T452" s="804">
        <f t="shared" si="465"/>
        <v>0</v>
      </c>
      <c r="U452" s="804">
        <f t="shared" si="465"/>
        <v>0</v>
      </c>
      <c r="V452" s="804">
        <f t="shared" si="465"/>
        <v>0</v>
      </c>
      <c r="W452" s="804">
        <f t="shared" si="465"/>
        <v>0</v>
      </c>
      <c r="X452" s="804">
        <f t="shared" si="465"/>
        <v>0</v>
      </c>
      <c r="Y452" s="804">
        <f t="shared" si="465"/>
        <v>0</v>
      </c>
      <c r="Z452" s="804">
        <f t="shared" si="465"/>
        <v>0</v>
      </c>
      <c r="AA452" s="804">
        <f t="shared" si="465"/>
        <v>0</v>
      </c>
      <c r="AB452" s="804">
        <f t="shared" si="465"/>
        <v>0</v>
      </c>
      <c r="AC452" s="804">
        <f t="shared" si="465"/>
        <v>0</v>
      </c>
      <c r="AD452" s="804">
        <f t="shared" si="465"/>
        <v>0</v>
      </c>
      <c r="AE452" s="804">
        <f t="shared" si="465"/>
        <v>0</v>
      </c>
      <c r="AF452" s="805">
        <f t="shared" si="465"/>
        <v>0</v>
      </c>
      <c r="AG452" s="806">
        <f t="shared" si="465"/>
        <v>0</v>
      </c>
      <c r="AH452" s="806">
        <f t="shared" si="465"/>
        <v>0</v>
      </c>
      <c r="AI452" s="806">
        <f t="shared" si="465"/>
        <v>0</v>
      </c>
      <c r="AJ452" s="806">
        <f t="shared" si="465"/>
        <v>0</v>
      </c>
      <c r="AK452" s="806">
        <f t="shared" si="465"/>
        <v>0</v>
      </c>
      <c r="AL452" s="806">
        <f t="shared" si="465"/>
        <v>0</v>
      </c>
      <c r="AM452" s="806"/>
      <c r="AN452" s="804">
        <f t="shared" ref="AN452:AU452" si="466">IF(AND(ISBLANK(AN43),ISBLANK(AN44),ISBLANK(AN45),ISBLANK(AN46)),0,ROUND(AN160-AN43-AN44-AN45-AN46,6))</f>
        <v>0</v>
      </c>
      <c r="AO452" s="804">
        <f t="shared" si="466"/>
        <v>0</v>
      </c>
      <c r="AP452" s="804">
        <f t="shared" si="466"/>
        <v>0</v>
      </c>
      <c r="AQ452" s="804">
        <f t="shared" si="466"/>
        <v>0</v>
      </c>
      <c r="AR452" s="804">
        <f t="shared" si="466"/>
        <v>0</v>
      </c>
      <c r="AS452" s="804">
        <f t="shared" si="466"/>
        <v>0</v>
      </c>
      <c r="AT452" s="804">
        <f t="shared" si="466"/>
        <v>0</v>
      </c>
      <c r="AU452" s="804">
        <f t="shared" si="466"/>
        <v>0</v>
      </c>
      <c r="AV452" s="804">
        <f t="shared" ref="AV452:BC452" si="467">IF(AND(ISBLANK(AV28),ISBLANK(AV27)),0,ROUND(AV160-AV28-AV27,6))</f>
        <v>0</v>
      </c>
      <c r="AW452" s="804">
        <f t="shared" si="467"/>
        <v>0</v>
      </c>
      <c r="AX452" s="805">
        <f t="shared" si="467"/>
        <v>0</v>
      </c>
      <c r="AY452" s="806">
        <f t="shared" si="467"/>
        <v>0</v>
      </c>
      <c r="AZ452" s="806">
        <f t="shared" si="467"/>
        <v>0</v>
      </c>
      <c r="BA452" s="806">
        <f t="shared" si="467"/>
        <v>0</v>
      </c>
      <c r="BB452" s="806">
        <f t="shared" si="467"/>
        <v>0</v>
      </c>
      <c r="BC452" s="806">
        <f t="shared" si="467"/>
        <v>0</v>
      </c>
      <c r="BD452" s="631"/>
    </row>
    <row r="453" spans="1:56" s="39" customFormat="1" hidden="1" outlineLevel="1" x14ac:dyDescent="0.25">
      <c r="A453" s="631" t="s">
        <v>250</v>
      </c>
      <c r="B453" s="625"/>
      <c r="C453" s="804">
        <f>IF(ISBLANK(INDEX(MO_IS_FirstRow,0,COLUMN())),0,IF(OR(C378=B378,C378=D378,C378=AP378),"CHECK",0))</f>
        <v>0</v>
      </c>
      <c r="D453" s="804">
        <f>IF(ISBLANK(INDEX(MO_IS_FirstRow,0,COLUMN())),0,IF(OR(D378=AN378,D378=E378,D378=C378),"CHECK",0))</f>
        <v>0</v>
      </c>
      <c r="E453" s="804">
        <f>IF(ISBLANK(INDEX(MO_IS_FirstRow,0,COLUMN())),0,IF(OR(E378=AO378,E378=F378,E378=D378),"CHECK",0))</f>
        <v>0</v>
      </c>
      <c r="F453" s="804">
        <f>IF(ISBLANK(INDEX(MO_IS_FirstRow,0,COLUMN())),0,IF(OR(F378=AP378,F378=AR378,F378=E378),"CHECK",0))</f>
        <v>0</v>
      </c>
      <c r="G453" s="804">
        <f>IF(ISBLANK(INDEX(MO_IS_FirstRow,0,COLUMN())),0,IF(OR(G378=C378,G378=H378,G378=F378),"CHECK",0))</f>
        <v>0</v>
      </c>
      <c r="H453" s="804">
        <f>IF(ISBLANK(INDEX(MO_IS_FirstRow,0,COLUMN())),0,IF(OR(H378=D378,H378=I378,H378=G378),"CHECK",0))</f>
        <v>0</v>
      </c>
      <c r="I453" s="804">
        <f>IF(ISBLANK(INDEX(MO_IS_FirstRow,0,COLUMN())),0,IF(OR(I378=E378,I378=J378,I378=H378),"CHECK",0))</f>
        <v>0</v>
      </c>
      <c r="J453" s="804">
        <f>IF(ISBLANK(INDEX(MO_IS_FirstRow,0,COLUMN())),0,IF(OR(J378=F378,J378=AS378,J378=I378),"CHECK",0))</f>
        <v>0</v>
      </c>
      <c r="K453" s="804">
        <f>IF(ISBLANK(INDEX(MO_IS_FirstRow,0,COLUMN())),0,IF(OR(K378=G378,K378=L378,K378=J378),"CHECK",0))</f>
        <v>0</v>
      </c>
      <c r="L453" s="804">
        <f>IF(ISBLANK(INDEX(MO_IS_FirstRow,0,COLUMN())),0,IF(OR(L378=H378,L378=M378,L378=K378),"CHECK",0))</f>
        <v>0</v>
      </c>
      <c r="M453" s="804">
        <f>IF(ISBLANK(INDEX(MO_IS_FirstRow,0,COLUMN())),0,IF(OR(M378=I378,M378=N378,M378=L378),"CHECK",0))</f>
        <v>0</v>
      </c>
      <c r="N453" s="804">
        <f>IF(ISBLANK(INDEX(MO_IS_FirstRow,0,COLUMN())),0,IF(OR(N378=J378,N378=AT378,N378=M378),"CHECK",0))</f>
        <v>0</v>
      </c>
      <c r="O453" s="804">
        <f>IF(ISBLANK(INDEX(MO_IS_FirstRow,0,COLUMN())),0,IF(OR(O378=K378,O378=P378,O378=N378),"CHECK",0))</f>
        <v>0</v>
      </c>
      <c r="P453" s="804">
        <f>IF(ISBLANK(INDEX(MO_IS_FirstRow,0,COLUMN())),0,IF(OR(P378=L378,P378=Q378,P378=O378),"CHECK",0))</f>
        <v>0</v>
      </c>
      <c r="Q453" s="804">
        <f>IF(ISBLANK(INDEX(MO_IS_FirstRow,0,COLUMN())),0,IF(OR(Q378=M378,Q378=R378,Q378=P378),"CHECK",0))</f>
        <v>0</v>
      </c>
      <c r="R453" s="804">
        <f>IF(ISBLANK(INDEX(MO_IS_FirstRow,0,COLUMN())),0,IF(OR(R378=N378,R378=AU378,R378=Q378),"CHECK",0))</f>
        <v>0</v>
      </c>
      <c r="S453" s="804">
        <f>IF(ISBLANK(INDEX(MO_IS_FirstRow,0,COLUMN())),0,IF(OR(S378=O378,S378=T378,S378=R378),"CHECK",0))</f>
        <v>0</v>
      </c>
      <c r="T453" s="804">
        <f>IF(ISBLANK(INDEX(MO_IS_FirstRow,0,COLUMN())),0,IF(OR(T378=P378,T378=U378,T378=S378),"CHECK",0))</f>
        <v>0</v>
      </c>
      <c r="U453" s="804">
        <f>IF(ISBLANK(INDEX(MO_IS_FirstRow,0,COLUMN())),0,IF(OR(U378=Q378,U378=V378,U378=T378),"CHECK",0))</f>
        <v>0</v>
      </c>
      <c r="V453" s="804">
        <f>IF(ISBLANK(INDEX(MO_IS_FirstRow,0,COLUMN())),0,IF(OR(V378=R378,V378=AV378,V378=U378),"CHECK",0))</f>
        <v>0</v>
      </c>
      <c r="W453" s="804">
        <f>IF(ISBLANK(INDEX(MO_IS_FirstRow,0,COLUMN())),0,IF(OR(W378=S378,W378=X378,W378=V378),"CHECK",0))</f>
        <v>0</v>
      </c>
      <c r="X453" s="804">
        <f>IF(ISBLANK(INDEX(MO_IS_FirstRow,0,COLUMN())),0,IF(OR(X378=T378,X378=Y378,X378=W378),"CHECK",0))</f>
        <v>0</v>
      </c>
      <c r="Y453" s="804">
        <f>IF(ISBLANK(INDEX(MO_IS_FirstRow,0,COLUMN())),0,IF(OR(Y378=U378,Y378=Z378,Y378=X378),"CHECK",0))</f>
        <v>0</v>
      </c>
      <c r="Z453" s="804">
        <f>IF(ISBLANK(INDEX(MO_IS_FirstRow,0,COLUMN())),0,IF(OR(Z378=V378,Z378=AW378,Z378=Y378),"CHECK",0))</f>
        <v>0</v>
      </c>
      <c r="AA453" s="804">
        <f>IF(ISBLANK(INDEX(MO_IS_FirstRow,0,COLUMN())),0,IF(OR(AA378=W378,AA378=AB378,AA378=Z378),"CHECK",0))</f>
        <v>0</v>
      </c>
      <c r="AB453" s="804">
        <f>IF(ISBLANK(INDEX(MO_IS_FirstRow,0,COLUMN())),0,IF(OR(AB378=X378,AB378=AC378,AB378=AA378),"CHECK",0))</f>
        <v>0</v>
      </c>
      <c r="AC453" s="804">
        <f>IF(ISBLANK(INDEX(MO_IS_FirstRow,0,COLUMN())),0,IF(OR(AC378=Y378,AC378=AD378,AC378=AB378),"CHECK",0))</f>
        <v>0</v>
      </c>
      <c r="AD453" s="804">
        <f>IF(ISBLANK(INDEX(MO_IS_FirstRow,0,COLUMN())),0,IF(OR(AD378=Z378,AD378=AX378,AD378=AC378),"CHECK",0))</f>
        <v>0</v>
      </c>
      <c r="AE453" s="804">
        <f>IF(ISBLANK(INDEX(MO_IS_FirstRow,0,COLUMN())),0,IF(OR(AE378=AA378,AE378=AF378,AE378=AD378),"CHECK",0))</f>
        <v>0</v>
      </c>
      <c r="AF453" s="805">
        <f ca="1">IF(ISBLANK(INDEX(MO_IS_FirstRow,0,COLUMN())),0,IF(OR(AF378=AB378,AF378=AG378,AF378=AE378),"CHECK",0))</f>
        <v>0</v>
      </c>
      <c r="AG453" s="806"/>
      <c r="AH453" s="806"/>
      <c r="AI453" s="806"/>
      <c r="AJ453" s="806"/>
      <c r="AK453" s="806"/>
      <c r="AL453" s="806"/>
      <c r="AM453" s="806"/>
      <c r="AN453" s="804">
        <f>IF(ISBLANK(INDEX(MO_IS_FirstRow,0,COLUMN())),0,IF(OR(AN378=B378,AN378=AO378),"CHECK",0))</f>
        <v>0</v>
      </c>
      <c r="AO453" s="804">
        <f>IF(ISBLANK(INDEX(MO_IS_FirstRow,0,COLUMN())),0,IF(OR(AO378=AN378,AO378=AP378),"CHECK",0))</f>
        <v>0</v>
      </c>
      <c r="AP453" s="804">
        <f>IF(ISBLANK(INDEX(MO_IS_FirstRow,0,COLUMN())),0,IF(OR(AP378=AO378,AP378=AQ378),"CHECK",0))</f>
        <v>0</v>
      </c>
      <c r="AQ453" s="804">
        <f>IF(ISBLANK(INDEX(MO_IS_FirstRow,0,COLUMN())),0,IF(OR(AQ378=AP378,AQ378=AR378),"CHECK",0))</f>
        <v>0</v>
      </c>
      <c r="AR453" s="804">
        <f t="shared" ref="AR453:AX453" si="468">IF(ISBLANK(INDEX(MO_IS_FirstRow,0,COLUMN())),0,IF(AR378=AQ378,"CHECK",0))</f>
        <v>0</v>
      </c>
      <c r="AS453" s="804">
        <f t="shared" si="468"/>
        <v>0</v>
      </c>
      <c r="AT453" s="804">
        <f t="shared" si="468"/>
        <v>0</v>
      </c>
      <c r="AU453" s="804">
        <f t="shared" si="468"/>
        <v>0</v>
      </c>
      <c r="AV453" s="804">
        <f t="shared" si="468"/>
        <v>0</v>
      </c>
      <c r="AW453" s="804">
        <f t="shared" si="468"/>
        <v>0</v>
      </c>
      <c r="AX453" s="805">
        <f t="shared" si="468"/>
        <v>0</v>
      </c>
      <c r="AY453" s="806"/>
      <c r="AZ453" s="806"/>
      <c r="BA453" s="806"/>
      <c r="BB453" s="806"/>
      <c r="BC453" s="806"/>
      <c r="BD453" s="631"/>
    </row>
    <row r="454" spans="1:56" s="39" customFormat="1" hidden="1" outlineLevel="1" x14ac:dyDescent="0.25">
      <c r="A454" s="631" t="s">
        <v>251</v>
      </c>
      <c r="B454" s="625"/>
      <c r="C454" s="804">
        <f>IF(ISBLANK(INDEX(MO_IS_FirstRow,0,COLUMN())),0,IF(OR(C183=B183,C183=D183,C183=AP183),"CHECK",0))</f>
        <v>0</v>
      </c>
      <c r="D454" s="804">
        <f>IF(ISBLANK(INDEX(MO_IS_FirstRow,0,COLUMN())),0,IF(OR(D183=AN183,D183=E183,D183=C183),"CHECK",0))</f>
        <v>0</v>
      </c>
      <c r="E454" s="804">
        <f>IF(ISBLANK(INDEX(MO_IS_FirstRow,0,COLUMN())),0,IF(OR(E183=AO183,E183=F183,E183=D183),"CHECK",0))</f>
        <v>0</v>
      </c>
      <c r="F454" s="804">
        <f>IF(ISBLANK(INDEX(MO_IS_FirstRow,0,COLUMN())),0,IF(OR(F183=AP183,F183=AR183,F183=E183),"CHECK",0))</f>
        <v>0</v>
      </c>
      <c r="G454" s="804">
        <f>IF(ISBLANK(INDEX(MO_IS_FirstRow,0,COLUMN())),0,IF(OR(G183=C183,G183=H183,G183=F183),"CHECK",0))</f>
        <v>0</v>
      </c>
      <c r="H454" s="804">
        <f>IF(ISBLANK(INDEX(MO_IS_FirstRow,0,COLUMN())),0,IF(OR(H183=D183,H183=I183,H183=G183),"CHECK",0))</f>
        <v>0</v>
      </c>
      <c r="I454" s="804">
        <f>IF(ISBLANK(INDEX(MO_IS_FirstRow,0,COLUMN())),0,IF(OR(I183=E183,I183=J183,I183=H183),"CHECK",0))</f>
        <v>0</v>
      </c>
      <c r="J454" s="804">
        <f>IF(ISBLANK(INDEX(MO_IS_FirstRow,0,COLUMN())),0,IF(OR(J183=F183,J183=AS183,J183=I183),"CHECK",0))</f>
        <v>0</v>
      </c>
      <c r="K454" s="804">
        <f>IF(ISBLANK(INDEX(MO_IS_FirstRow,0,COLUMN())),0,IF(OR(K183=G183,K183=L183,K183=J183),"CHECK",0))</f>
        <v>0</v>
      </c>
      <c r="L454" s="804">
        <f>IF(ISBLANK(INDEX(MO_IS_FirstRow,0,COLUMN())),0,IF(OR(L183=H183,L183=M183,L183=K183),"CHECK",0))</f>
        <v>0</v>
      </c>
      <c r="M454" s="804">
        <f>IF(ISBLANK(INDEX(MO_IS_FirstRow,0,COLUMN())),0,IF(OR(M183=I183,M183=N183,M183=L183),"CHECK",0))</f>
        <v>0</v>
      </c>
      <c r="N454" s="804">
        <f>IF(ISBLANK(INDEX(MO_IS_FirstRow,0,COLUMN())),0,IF(OR(N183=J183,N183=AT183,N183=M183),"CHECK",0))</f>
        <v>0</v>
      </c>
      <c r="O454" s="804">
        <f>IF(ISBLANK(INDEX(MO_IS_FirstRow,0,COLUMN())),0,IF(OR(O183=K183,O183=P183,O183=N183),"CHECK",0))</f>
        <v>0</v>
      </c>
      <c r="P454" s="804">
        <f>IF(ISBLANK(INDEX(MO_IS_FirstRow,0,COLUMN())),0,IF(OR(P183=L183,P183=Q183,P183=O183),"CHECK",0))</f>
        <v>0</v>
      </c>
      <c r="Q454" s="804">
        <f>IF(ISBLANK(INDEX(MO_IS_FirstRow,0,COLUMN())),0,IF(OR(Q183=M183,Q183=R183,Q183=P183),"CHECK",0))</f>
        <v>0</v>
      </c>
      <c r="R454" s="804">
        <f>IF(ISBLANK(INDEX(MO_IS_FirstRow,0,COLUMN())),0,IF(OR(R183=N183,R183=AU183,R183=Q183),"CHECK",0))</f>
        <v>0</v>
      </c>
      <c r="S454" s="804">
        <f>IF(ISBLANK(INDEX(MO_IS_FirstRow,0,COLUMN())),0,IF(OR(S183=O183,S183=T183,S183=R183),"CHECK",0))</f>
        <v>0</v>
      </c>
      <c r="T454" s="804">
        <f>IF(ISBLANK(INDEX(MO_IS_FirstRow,0,COLUMN())),0,IF(OR(T183=P183,T183=U183,T183=S183),"CHECK",0))</f>
        <v>0</v>
      </c>
      <c r="U454" s="804">
        <f>IF(ISBLANK(INDEX(MO_IS_FirstRow,0,COLUMN())),0,IF(OR(U183=Q183,U183=V183,U183=T183),"CHECK",0))</f>
        <v>0</v>
      </c>
      <c r="V454" s="804">
        <f>IF(ISBLANK(INDEX(MO_IS_FirstRow,0,COLUMN())),0,IF(OR(V183=R183,V183=AV183,V183=U183),"CHECK",0))</f>
        <v>0</v>
      </c>
      <c r="W454" s="804">
        <f>IF(ISBLANK(INDEX(MO_IS_FirstRow,0,COLUMN())),0,IF(OR(W183=S183,W183=X183,W183=V183),"CHECK",0))</f>
        <v>0</v>
      </c>
      <c r="X454" s="804">
        <f>IF(ISBLANK(INDEX(MO_IS_FirstRow,0,COLUMN())),0,IF(OR(X183=T183,X183=Y183,X183=W183),"CHECK",0))</f>
        <v>0</v>
      </c>
      <c r="Y454" s="804">
        <f>IF(ISBLANK(INDEX(MO_IS_FirstRow,0,COLUMN())),0,IF(OR(Y183=U183,Y183=Z183,Y183=X183),"CHECK",0))</f>
        <v>0</v>
      </c>
      <c r="Z454" s="804">
        <f>IF(ISBLANK(INDEX(MO_IS_FirstRow,0,COLUMN())),0,IF(OR(Z183=V183,Z183=AW183,Z183=Y183),"CHECK",0))</f>
        <v>0</v>
      </c>
      <c r="AA454" s="804">
        <f>IF(ISBLANK(INDEX(MO_IS_FirstRow,0,COLUMN())),0,IF(OR(AA183=W183,AA183=AB183,AA183=Z183),"CHECK",0))</f>
        <v>0</v>
      </c>
      <c r="AB454" s="804">
        <f>IF(ISBLANK(INDEX(MO_IS_FirstRow,0,COLUMN())),0,IF(OR(AB183=X183,AB183=AC183,AB183=AA183),"CHECK",0))</f>
        <v>0</v>
      </c>
      <c r="AC454" s="804">
        <f>IF(ISBLANK(INDEX(MO_IS_FirstRow,0,COLUMN())),0,IF(OR(AC183=Y183,AC183=AD183,AC183=AB183),"CHECK",0))</f>
        <v>0</v>
      </c>
      <c r="AD454" s="804">
        <f>IF(ISBLANK(INDEX(MO_IS_FirstRow,0,COLUMN())),0,IF(OR(AD183=Z183,AD183=AX183,AD183=AC183),"CHECK",0))</f>
        <v>0</v>
      </c>
      <c r="AE454" s="804">
        <f>IF(ISBLANK(INDEX(MO_IS_FirstRow,0,COLUMN())),0,IF(OR(AE183=AA183,AE183=AF183,AE183=AD183),"CHECK",0))</f>
        <v>0</v>
      </c>
      <c r="AF454" s="805">
        <f>IF(ISBLANK(INDEX(MO_IS_FirstRow,0,COLUMN())),0,IF(OR(AF183=AB183,AF183=AG183,AF183=AE183),"CHECK",0))</f>
        <v>0</v>
      </c>
      <c r="AG454" s="806"/>
      <c r="AH454" s="806"/>
      <c r="AI454" s="806"/>
      <c r="AJ454" s="806"/>
      <c r="AK454" s="806"/>
      <c r="AL454" s="806"/>
      <c r="AM454" s="806"/>
      <c r="AN454" s="804">
        <f>IF(ISBLANK(INDEX(MO_IS_FirstRow,0,COLUMN())),0,IF(OR(AN183=B183,AN183=AO183),"CHECK",0))</f>
        <v>0</v>
      </c>
      <c r="AO454" s="804">
        <f>IF(ISBLANK(INDEX(MO_IS_FirstRow,0,COLUMN())),0,IF(OR(AO183=AN183,AO183=AP183),"CHECK",0))</f>
        <v>0</v>
      </c>
      <c r="AP454" s="804">
        <f>IF(ISBLANK(INDEX(MO_IS_FirstRow,0,COLUMN())),0,IF(OR(AP183=AO183,AP183=AQ183),"CHECK",0))</f>
        <v>0</v>
      </c>
      <c r="AQ454" s="804">
        <f>IF(ISBLANK(INDEX(MO_IS_FirstRow,0,COLUMN())),0,IF(OR(AQ183=AP183,AQ183=AR183),"CHECK",0))</f>
        <v>0</v>
      </c>
      <c r="AR454" s="804">
        <f t="shared" ref="AR454:AX454" si="469">IF(ISBLANK(INDEX(MO_IS_FirstRow,0,COLUMN())),0,IF(AR183=AQ183,"CHECK",0))</f>
        <v>0</v>
      </c>
      <c r="AS454" s="804">
        <f t="shared" si="469"/>
        <v>0</v>
      </c>
      <c r="AT454" s="804">
        <f t="shared" si="469"/>
        <v>0</v>
      </c>
      <c r="AU454" s="804">
        <f t="shared" si="469"/>
        <v>0</v>
      </c>
      <c r="AV454" s="804">
        <f t="shared" si="469"/>
        <v>0</v>
      </c>
      <c r="AW454" s="804">
        <f t="shared" si="469"/>
        <v>0</v>
      </c>
      <c r="AX454" s="805">
        <f t="shared" si="469"/>
        <v>0</v>
      </c>
      <c r="AY454" s="806"/>
      <c r="AZ454" s="806"/>
      <c r="BA454" s="806"/>
      <c r="BB454" s="806"/>
      <c r="BC454" s="806"/>
      <c r="BD454" s="631"/>
    </row>
    <row r="455" spans="1:56" s="39" customFormat="1" hidden="1" outlineLevel="1" x14ac:dyDescent="0.25">
      <c r="A455" s="631" t="s">
        <v>252</v>
      </c>
      <c r="B455" s="625"/>
      <c r="C455" s="804">
        <f>IF(OR(C416=B416,C416=D416,C416=AP416),"CHECK",0)</f>
        <v>0</v>
      </c>
      <c r="D455" s="804">
        <f>IF(OR(D416=AN416,D416=E416,D416=C416),"CHECK",0)</f>
        <v>0</v>
      </c>
      <c r="E455" s="804">
        <f>IF(OR(E416=AO416,E416=F416,E416=D416),"CHECK",0)</f>
        <v>0</v>
      </c>
      <c r="F455" s="804">
        <f>IF(OR(F416=AP416,F416=E416),"CHECK",0)</f>
        <v>0</v>
      </c>
      <c r="G455" s="804">
        <f>IF(OR(G416=C416,G416=H416,G416=F416),"CHECK",0)</f>
        <v>0</v>
      </c>
      <c r="H455" s="804">
        <f>IF(OR(H416=D416,H416=I416,H416=G416),"CHECK",0)</f>
        <v>0</v>
      </c>
      <c r="I455" s="804">
        <f>IF(OR(I416=E416,I416=J416,I416=H416),"CHECK",0)</f>
        <v>0</v>
      </c>
      <c r="J455" s="804">
        <f>IF(OR(J416=F416,J416=I416),"CHECK",0)</f>
        <v>0</v>
      </c>
      <c r="K455" s="804">
        <f>IF(OR(K416=G416,K416=L416,K416=J416),"CHECK",0)</f>
        <v>0</v>
      </c>
      <c r="L455" s="804">
        <f>IF(OR(L416=H416,L416=M416,L416=K416),"CHECK",0)</f>
        <v>0</v>
      </c>
      <c r="M455" s="804">
        <f>IF(OR(M416=I416,M416=N416,M416=L416),"CHECK",0)</f>
        <v>0</v>
      </c>
      <c r="N455" s="804">
        <f>IF(OR(N416=J416,N416=M416),"CHECK",0)</f>
        <v>0</v>
      </c>
      <c r="O455" s="804">
        <f>IF(OR(O416=K416,O416=P416,O416=N416),"CHECK",0)</f>
        <v>0</v>
      </c>
      <c r="P455" s="804">
        <f>IF(OR(P416=L416,P416=Q416,P416=O416),"CHECK",0)</f>
        <v>0</v>
      </c>
      <c r="Q455" s="804">
        <f>IF(OR(Q416=M416,Q416=R416,Q416=P416),"CHECK",0)</f>
        <v>0</v>
      </c>
      <c r="R455" s="804">
        <f>IF(OR(R416=N416,R416=Q416),"CHECK",0)</f>
        <v>0</v>
      </c>
      <c r="S455" s="804">
        <f>IF(OR(S416=O416,S416=T416,S416=R416),"CHECK",0)</f>
        <v>0</v>
      </c>
      <c r="T455" s="804">
        <f>IF(OR(T416=P416,T416=U416,T416=S416),"CHECK",0)</f>
        <v>0</v>
      </c>
      <c r="U455" s="804">
        <f>IF(OR(U416=Q416,U416=V416,U416=T416),"CHECK",0)</f>
        <v>0</v>
      </c>
      <c r="V455" s="804">
        <f>IF(OR(V416=R416,V416=U416),"CHECK",0)</f>
        <v>0</v>
      </c>
      <c r="W455" s="804">
        <f>IF(OR(W416=S416,W416=X416,W416=V416),"CHECK",0)</f>
        <v>0</v>
      </c>
      <c r="X455" s="804">
        <f>IF(OR(X416=T416,X416=Y416,X416=W416),"CHECK",0)</f>
        <v>0</v>
      </c>
      <c r="Y455" s="804">
        <f>IF(OR(Y416=U416,Y416=Z416,Y416=X416),"CHECK",0)</f>
        <v>0</v>
      </c>
      <c r="Z455" s="804">
        <f>IF(OR(Z416=V416,Z416=Y416),"CHECK",0)</f>
        <v>0</v>
      </c>
      <c r="AA455" s="804">
        <f>IF(OR(AA416=W416,AA416=AB416,AA416=Z416),"CHECK",0)</f>
        <v>0</v>
      </c>
      <c r="AB455" s="804">
        <f>IF(OR(AB416=X416,AB416=AC416,AB416=AA416),"CHECK",0)</f>
        <v>0</v>
      </c>
      <c r="AC455" s="804">
        <f>IF(OR(AC416=Y416,AC416=AD416,AC416=AB416),"CHECK",0)</f>
        <v>0</v>
      </c>
      <c r="AD455" s="804">
        <f>IF(OR(AD416=Z416,AD416=AC416),"CHECK",0)</f>
        <v>0</v>
      </c>
      <c r="AE455" s="804">
        <f>IF(OR(AE416=AA416,AE416=AF416,AE416=AD416),"CHECK",0)</f>
        <v>0</v>
      </c>
      <c r="AF455" s="805">
        <f ca="1">IF(OR(AF416=AB416,AF416=AG416,AF416=AE416),"CHECK",0)</f>
        <v>0</v>
      </c>
      <c r="AG455" s="806"/>
      <c r="AH455" s="806"/>
      <c r="AI455" s="806"/>
      <c r="AJ455" s="806"/>
      <c r="AK455" s="806"/>
      <c r="AL455" s="806"/>
      <c r="AM455" s="806"/>
      <c r="AN455" s="804">
        <f>IF(OR(AN416=B416,AN416=AO416),"CHECK",0)</f>
        <v>0</v>
      </c>
      <c r="AO455" s="804">
        <f>IF(OR(AO416=AN416,AO416=AP416),"CHECK",0)</f>
        <v>0</v>
      </c>
      <c r="AP455" s="804">
        <f>IF(OR(AP416=AO416,AP416=AQ416),"CHECK",0)</f>
        <v>0</v>
      </c>
      <c r="AQ455" s="804">
        <f>IF(OR(AQ416=AP416,AQ416=AR416),"CHECK",0)</f>
        <v>0</v>
      </c>
      <c r="AR455" s="804">
        <f t="shared" ref="AR455:AX455" si="470">IF(AR416=AQ416,"CHECK",0)</f>
        <v>0</v>
      </c>
      <c r="AS455" s="804">
        <f t="shared" si="470"/>
        <v>0</v>
      </c>
      <c r="AT455" s="804">
        <f t="shared" si="470"/>
        <v>0</v>
      </c>
      <c r="AU455" s="804">
        <f t="shared" si="470"/>
        <v>0</v>
      </c>
      <c r="AV455" s="804">
        <f t="shared" si="470"/>
        <v>0</v>
      </c>
      <c r="AW455" s="804">
        <f t="shared" si="470"/>
        <v>0</v>
      </c>
      <c r="AX455" s="805">
        <f t="shared" si="470"/>
        <v>0</v>
      </c>
      <c r="AY455" s="806"/>
      <c r="AZ455" s="806"/>
      <c r="BA455" s="806"/>
      <c r="BB455" s="806"/>
      <c r="BC455" s="806"/>
      <c r="BD455" s="631"/>
    </row>
    <row r="456" spans="1:56" s="39" customFormat="1" hidden="1" outlineLevel="1" x14ac:dyDescent="0.25">
      <c r="A456" s="631" t="s">
        <v>253</v>
      </c>
      <c r="B456" s="625"/>
      <c r="C456" s="804">
        <f t="shared" ref="C456:AL456" si="471">IF(ISBLANK(INDEX(MO_IS_FirstRow,0,COLUMN())),0,ROUND(C381-C323,6))</f>
        <v>0</v>
      </c>
      <c r="D456" s="804">
        <f t="shared" si="471"/>
        <v>0</v>
      </c>
      <c r="E456" s="804">
        <f t="shared" si="471"/>
        <v>0</v>
      </c>
      <c r="F456" s="804">
        <f t="shared" si="471"/>
        <v>0</v>
      </c>
      <c r="G456" s="804">
        <f t="shared" si="471"/>
        <v>0</v>
      </c>
      <c r="H456" s="804">
        <f t="shared" si="471"/>
        <v>0</v>
      </c>
      <c r="I456" s="804">
        <f t="shared" si="471"/>
        <v>0</v>
      </c>
      <c r="J456" s="804">
        <f t="shared" si="471"/>
        <v>0</v>
      </c>
      <c r="K456" s="804">
        <f t="shared" si="471"/>
        <v>0</v>
      </c>
      <c r="L456" s="804">
        <f t="shared" si="471"/>
        <v>0</v>
      </c>
      <c r="M456" s="804">
        <f t="shared" si="471"/>
        <v>0</v>
      </c>
      <c r="N456" s="804">
        <f t="shared" si="471"/>
        <v>0</v>
      </c>
      <c r="O456" s="804">
        <f t="shared" si="471"/>
        <v>0</v>
      </c>
      <c r="P456" s="804">
        <f t="shared" si="471"/>
        <v>0</v>
      </c>
      <c r="Q456" s="804">
        <f t="shared" si="471"/>
        <v>0</v>
      </c>
      <c r="R456" s="804">
        <f t="shared" si="471"/>
        <v>0</v>
      </c>
      <c r="S456" s="804">
        <f t="shared" si="471"/>
        <v>0</v>
      </c>
      <c r="T456" s="804">
        <f t="shared" si="471"/>
        <v>0</v>
      </c>
      <c r="U456" s="804">
        <f t="shared" si="471"/>
        <v>0</v>
      </c>
      <c r="V456" s="804">
        <f t="shared" si="471"/>
        <v>0</v>
      </c>
      <c r="W456" s="804">
        <f t="shared" si="471"/>
        <v>0</v>
      </c>
      <c r="X456" s="804">
        <f t="shared" si="471"/>
        <v>0</v>
      </c>
      <c r="Y456" s="804">
        <f t="shared" si="471"/>
        <v>0</v>
      </c>
      <c r="Z456" s="804">
        <f t="shared" si="471"/>
        <v>0</v>
      </c>
      <c r="AA456" s="804">
        <f t="shared" si="471"/>
        <v>0</v>
      </c>
      <c r="AB456" s="804">
        <f t="shared" si="471"/>
        <v>0</v>
      </c>
      <c r="AC456" s="804">
        <f t="shared" si="471"/>
        <v>0</v>
      </c>
      <c r="AD456" s="804">
        <f t="shared" si="471"/>
        <v>0</v>
      </c>
      <c r="AE456" s="804">
        <f t="shared" si="471"/>
        <v>0</v>
      </c>
      <c r="AF456" s="805">
        <f t="shared" si="471"/>
        <v>0</v>
      </c>
      <c r="AG456" s="806">
        <f t="shared" si="471"/>
        <v>0</v>
      </c>
      <c r="AH456" s="806">
        <f t="shared" si="471"/>
        <v>0</v>
      </c>
      <c r="AI456" s="806">
        <f t="shared" si="471"/>
        <v>0</v>
      </c>
      <c r="AJ456" s="806">
        <f t="shared" si="471"/>
        <v>0</v>
      </c>
      <c r="AK456" s="806">
        <f t="shared" si="471"/>
        <v>0</v>
      </c>
      <c r="AL456" s="806">
        <f t="shared" si="471"/>
        <v>0</v>
      </c>
      <c r="AM456" s="806"/>
      <c r="AN456" s="804">
        <f t="shared" ref="AN456:BC456" si="472">IF(ISBLANK(INDEX(MO_IS_FirstRow,0,COLUMN())),0,ROUND(AN381-AN323,6))</f>
        <v>0</v>
      </c>
      <c r="AO456" s="804">
        <f t="shared" si="472"/>
        <v>0</v>
      </c>
      <c r="AP456" s="804">
        <f t="shared" si="472"/>
        <v>0</v>
      </c>
      <c r="AQ456" s="804">
        <f t="shared" si="472"/>
        <v>0</v>
      </c>
      <c r="AR456" s="804">
        <f t="shared" si="472"/>
        <v>0</v>
      </c>
      <c r="AS456" s="804">
        <f t="shared" si="472"/>
        <v>0</v>
      </c>
      <c r="AT456" s="804">
        <f t="shared" si="472"/>
        <v>0</v>
      </c>
      <c r="AU456" s="804">
        <f t="shared" si="472"/>
        <v>0</v>
      </c>
      <c r="AV456" s="804">
        <f t="shared" si="472"/>
        <v>0</v>
      </c>
      <c r="AW456" s="804">
        <f t="shared" si="472"/>
        <v>0</v>
      </c>
      <c r="AX456" s="805">
        <f t="shared" si="472"/>
        <v>0</v>
      </c>
      <c r="AY456" s="806">
        <f t="shared" si="472"/>
        <v>0</v>
      </c>
      <c r="AZ456" s="806">
        <f t="shared" si="472"/>
        <v>0</v>
      </c>
      <c r="BA456" s="806">
        <f t="shared" si="472"/>
        <v>0</v>
      </c>
      <c r="BB456" s="806">
        <f t="shared" si="472"/>
        <v>0</v>
      </c>
      <c r="BC456" s="806">
        <f t="shared" si="472"/>
        <v>0</v>
      </c>
      <c r="BD456" s="631"/>
    </row>
    <row r="457" spans="1:56" s="39" customFormat="1" hidden="1" outlineLevel="1" x14ac:dyDescent="0.25">
      <c r="A457" s="631" t="s">
        <v>254</v>
      </c>
      <c r="B457" s="625"/>
      <c r="C457" s="804">
        <f t="shared" ref="C457:AL457" si="473">ROUND(INDEX(MO_CFSum_Capex,0,COLUMN())-C349,6)</f>
        <v>0</v>
      </c>
      <c r="D457" s="804">
        <f t="shared" si="473"/>
        <v>0</v>
      </c>
      <c r="E457" s="804">
        <f t="shared" si="473"/>
        <v>0</v>
      </c>
      <c r="F457" s="804">
        <f t="shared" si="473"/>
        <v>0</v>
      </c>
      <c r="G457" s="804">
        <f t="shared" si="473"/>
        <v>0</v>
      </c>
      <c r="H457" s="804">
        <f t="shared" si="473"/>
        <v>0</v>
      </c>
      <c r="I457" s="804">
        <f t="shared" si="473"/>
        <v>0</v>
      </c>
      <c r="J457" s="804">
        <f t="shared" si="473"/>
        <v>0</v>
      </c>
      <c r="K457" s="804">
        <f t="shared" si="473"/>
        <v>0</v>
      </c>
      <c r="L457" s="804">
        <f t="shared" si="473"/>
        <v>0</v>
      </c>
      <c r="M457" s="804">
        <f t="shared" si="473"/>
        <v>0</v>
      </c>
      <c r="N457" s="804">
        <f t="shared" si="473"/>
        <v>0</v>
      </c>
      <c r="O457" s="804">
        <f t="shared" si="473"/>
        <v>0</v>
      </c>
      <c r="P457" s="804">
        <f t="shared" si="473"/>
        <v>0</v>
      </c>
      <c r="Q457" s="804">
        <f t="shared" si="473"/>
        <v>0</v>
      </c>
      <c r="R457" s="804">
        <f t="shared" si="473"/>
        <v>0</v>
      </c>
      <c r="S457" s="804">
        <f t="shared" si="473"/>
        <v>0</v>
      </c>
      <c r="T457" s="804">
        <f t="shared" si="473"/>
        <v>0</v>
      </c>
      <c r="U457" s="804">
        <f t="shared" si="473"/>
        <v>0</v>
      </c>
      <c r="V457" s="804">
        <f t="shared" si="473"/>
        <v>0</v>
      </c>
      <c r="W457" s="804">
        <f t="shared" si="473"/>
        <v>0</v>
      </c>
      <c r="X457" s="804">
        <f t="shared" si="473"/>
        <v>0</v>
      </c>
      <c r="Y457" s="804">
        <f t="shared" si="473"/>
        <v>0</v>
      </c>
      <c r="Z457" s="804">
        <f t="shared" si="473"/>
        <v>0</v>
      </c>
      <c r="AA457" s="804">
        <f t="shared" si="473"/>
        <v>0</v>
      </c>
      <c r="AB457" s="804">
        <f t="shared" si="473"/>
        <v>0</v>
      </c>
      <c r="AC457" s="804">
        <f t="shared" si="473"/>
        <v>0</v>
      </c>
      <c r="AD457" s="804">
        <f t="shared" si="473"/>
        <v>0</v>
      </c>
      <c r="AE457" s="804">
        <f t="shared" si="473"/>
        <v>0</v>
      </c>
      <c r="AF457" s="805">
        <f t="shared" si="473"/>
        <v>0</v>
      </c>
      <c r="AG457" s="806">
        <f t="shared" si="473"/>
        <v>0</v>
      </c>
      <c r="AH457" s="806">
        <f t="shared" si="473"/>
        <v>0</v>
      </c>
      <c r="AI457" s="806">
        <f t="shared" si="473"/>
        <v>0</v>
      </c>
      <c r="AJ457" s="806">
        <f t="shared" si="473"/>
        <v>0</v>
      </c>
      <c r="AK457" s="806">
        <f t="shared" si="473"/>
        <v>0</v>
      </c>
      <c r="AL457" s="806">
        <f t="shared" si="473"/>
        <v>0</v>
      </c>
      <c r="AM457" s="806"/>
      <c r="AN457" s="804">
        <f t="shared" ref="AN457:BC457" si="474">ROUND(INDEX(MO_CFSum_Capex,0,COLUMN())-AN349,6)</f>
        <v>0</v>
      </c>
      <c r="AO457" s="804">
        <f t="shared" si="474"/>
        <v>0</v>
      </c>
      <c r="AP457" s="804">
        <f t="shared" si="474"/>
        <v>0</v>
      </c>
      <c r="AQ457" s="804">
        <f t="shared" si="474"/>
        <v>0</v>
      </c>
      <c r="AR457" s="804">
        <f t="shared" si="474"/>
        <v>0</v>
      </c>
      <c r="AS457" s="804">
        <f t="shared" si="474"/>
        <v>0</v>
      </c>
      <c r="AT457" s="804">
        <f t="shared" si="474"/>
        <v>0</v>
      </c>
      <c r="AU457" s="804">
        <f t="shared" si="474"/>
        <v>0</v>
      </c>
      <c r="AV457" s="804">
        <f t="shared" si="474"/>
        <v>0</v>
      </c>
      <c r="AW457" s="804">
        <f t="shared" si="474"/>
        <v>0</v>
      </c>
      <c r="AX457" s="805">
        <f t="shared" si="474"/>
        <v>0</v>
      </c>
      <c r="AY457" s="806">
        <f t="shared" si="474"/>
        <v>0</v>
      </c>
      <c r="AZ457" s="806">
        <f t="shared" si="474"/>
        <v>0</v>
      </c>
      <c r="BA457" s="806">
        <f t="shared" si="474"/>
        <v>0</v>
      </c>
      <c r="BB457" s="806">
        <f t="shared" si="474"/>
        <v>0</v>
      </c>
      <c r="BC457" s="806">
        <f t="shared" si="474"/>
        <v>0</v>
      </c>
      <c r="BD457" s="631"/>
    </row>
    <row r="458" spans="1:56" s="39" customFormat="1" hidden="1" outlineLevel="1" x14ac:dyDescent="0.25">
      <c r="A458" s="631" t="s">
        <v>255</v>
      </c>
      <c r="B458" s="625"/>
      <c r="C458" s="804">
        <f t="shared" ref="C458:AL458" si="475">IF(ISBLANK(INDEX(MO_IS_FirstRow,0,COLUMN())),0,IF(MOD(C95*1000000,1)=0,"Check",0))</f>
        <v>0</v>
      </c>
      <c r="D458" s="804">
        <f t="shared" si="475"/>
        <v>0</v>
      </c>
      <c r="E458" s="804">
        <f t="shared" si="475"/>
        <v>0</v>
      </c>
      <c r="F458" s="804">
        <f t="shared" si="475"/>
        <v>0</v>
      </c>
      <c r="G458" s="804">
        <f t="shared" si="475"/>
        <v>0</v>
      </c>
      <c r="H458" s="804">
        <f t="shared" si="475"/>
        <v>0</v>
      </c>
      <c r="I458" s="804">
        <f t="shared" si="475"/>
        <v>0</v>
      </c>
      <c r="J458" s="804">
        <f t="shared" si="475"/>
        <v>0</v>
      </c>
      <c r="K458" s="804">
        <f t="shared" si="475"/>
        <v>0</v>
      </c>
      <c r="L458" s="804">
        <f t="shared" si="475"/>
        <v>0</v>
      </c>
      <c r="M458" s="804">
        <f t="shared" si="475"/>
        <v>0</v>
      </c>
      <c r="N458" s="804">
        <f t="shared" si="475"/>
        <v>0</v>
      </c>
      <c r="O458" s="804">
        <f t="shared" si="475"/>
        <v>0</v>
      </c>
      <c r="P458" s="804">
        <f t="shared" si="475"/>
        <v>0</v>
      </c>
      <c r="Q458" s="804">
        <f t="shared" si="475"/>
        <v>0</v>
      </c>
      <c r="R458" s="804">
        <f t="shared" si="475"/>
        <v>0</v>
      </c>
      <c r="S458" s="804">
        <f t="shared" si="475"/>
        <v>0</v>
      </c>
      <c r="T458" s="804">
        <f t="shared" si="475"/>
        <v>0</v>
      </c>
      <c r="U458" s="804">
        <f t="shared" si="475"/>
        <v>0</v>
      </c>
      <c r="V458" s="804">
        <f t="shared" si="475"/>
        <v>0</v>
      </c>
      <c r="W458" s="804">
        <f t="shared" si="475"/>
        <v>0</v>
      </c>
      <c r="X458" s="804">
        <f t="shared" si="475"/>
        <v>0</v>
      </c>
      <c r="Y458" s="804">
        <f t="shared" si="475"/>
        <v>0</v>
      </c>
      <c r="Z458" s="804">
        <f t="shared" si="475"/>
        <v>0</v>
      </c>
      <c r="AA458" s="804">
        <f t="shared" si="475"/>
        <v>0</v>
      </c>
      <c r="AB458" s="804">
        <f t="shared" si="475"/>
        <v>0</v>
      </c>
      <c r="AC458" s="804">
        <f t="shared" si="475"/>
        <v>0</v>
      </c>
      <c r="AD458" s="804">
        <f t="shared" si="475"/>
        <v>0</v>
      </c>
      <c r="AE458" s="804">
        <f t="shared" si="475"/>
        <v>0</v>
      </c>
      <c r="AF458" s="805">
        <f t="shared" si="475"/>
        <v>0</v>
      </c>
      <c r="AG458" s="806">
        <f t="shared" si="475"/>
        <v>0</v>
      </c>
      <c r="AH458" s="806">
        <f t="shared" si="475"/>
        <v>0</v>
      </c>
      <c r="AI458" s="806">
        <f t="shared" si="475"/>
        <v>0</v>
      </c>
      <c r="AJ458" s="806">
        <f t="shared" si="475"/>
        <v>0</v>
      </c>
      <c r="AK458" s="806">
        <f t="shared" si="475"/>
        <v>0</v>
      </c>
      <c r="AL458" s="806">
        <f t="shared" si="475"/>
        <v>0</v>
      </c>
      <c r="AM458" s="806"/>
      <c r="AN458" s="804">
        <f t="shared" ref="AN458:BC458" si="476">IF(ISBLANK(INDEX(MO_IS_FirstRow,0,COLUMN())),0,IF(MOD(AN95*1000000,1)=0,"Check",0))</f>
        <v>0</v>
      </c>
      <c r="AO458" s="804">
        <f t="shared" si="476"/>
        <v>0</v>
      </c>
      <c r="AP458" s="804">
        <f t="shared" si="476"/>
        <v>0</v>
      </c>
      <c r="AQ458" s="804">
        <f t="shared" si="476"/>
        <v>0</v>
      </c>
      <c r="AR458" s="804">
        <f t="shared" si="476"/>
        <v>0</v>
      </c>
      <c r="AS458" s="804">
        <f t="shared" si="476"/>
        <v>0</v>
      </c>
      <c r="AT458" s="804">
        <f t="shared" si="476"/>
        <v>0</v>
      </c>
      <c r="AU458" s="804">
        <f t="shared" si="476"/>
        <v>0</v>
      </c>
      <c r="AV458" s="804">
        <f t="shared" si="476"/>
        <v>0</v>
      </c>
      <c r="AW458" s="804">
        <f t="shared" si="476"/>
        <v>0</v>
      </c>
      <c r="AX458" s="805">
        <f t="shared" si="476"/>
        <v>0</v>
      </c>
      <c r="AY458" s="806">
        <f t="shared" si="476"/>
        <v>0</v>
      </c>
      <c r="AZ458" s="806">
        <f t="shared" si="476"/>
        <v>0</v>
      </c>
      <c r="BA458" s="806">
        <f t="shared" si="476"/>
        <v>0</v>
      </c>
      <c r="BB458" s="806">
        <f t="shared" si="476"/>
        <v>0</v>
      </c>
      <c r="BC458" s="806">
        <f t="shared" si="476"/>
        <v>0</v>
      </c>
      <c r="BD458" s="631"/>
    </row>
    <row r="459" spans="1:56" s="39" customFormat="1" hidden="1" outlineLevel="1" x14ac:dyDescent="0.25">
      <c r="A459" s="631" t="s">
        <v>256</v>
      </c>
      <c r="B459" s="625"/>
      <c r="C459" s="804"/>
      <c r="D459" s="804"/>
      <c r="E459" s="804"/>
      <c r="F459" s="804"/>
      <c r="G459" s="804"/>
      <c r="H459" s="804"/>
      <c r="I459" s="804"/>
      <c r="J459" s="804"/>
      <c r="K459" s="804"/>
      <c r="L459" s="804"/>
      <c r="M459" s="804"/>
      <c r="N459" s="804"/>
      <c r="O459" s="804"/>
      <c r="P459" s="804"/>
      <c r="Q459" s="804"/>
      <c r="R459" s="804"/>
      <c r="S459" s="804"/>
      <c r="T459" s="804"/>
      <c r="U459" s="804"/>
      <c r="V459" s="804"/>
      <c r="W459" s="804"/>
      <c r="X459" s="804"/>
      <c r="Y459" s="804"/>
      <c r="Z459" s="804"/>
      <c r="AA459" s="804"/>
      <c r="AB459" s="804"/>
      <c r="AC459" s="804"/>
      <c r="AD459" s="804"/>
      <c r="AE459" s="804"/>
      <c r="AF459" s="805"/>
      <c r="AG459" s="806"/>
      <c r="AH459" s="806"/>
      <c r="AI459" s="806"/>
      <c r="AJ459" s="806"/>
      <c r="AK459" s="806"/>
      <c r="AL459" s="806"/>
      <c r="AM459" s="806"/>
      <c r="AN459" s="804"/>
      <c r="AO459" s="804"/>
      <c r="AP459" s="804"/>
      <c r="AQ459" s="804"/>
      <c r="AR459" s="804">
        <f>IF(ISBLANK(INDEX(MO_IS_FirstRow,0,COLUMN())),0,ROUND(AR125-SUM(C125,D125,E125,F125),6))</f>
        <v>0</v>
      </c>
      <c r="AS459" s="804">
        <f>IF(ISBLANK(INDEX(MO_IS_FirstRow,0,COLUMN())),0,ROUND(AS125-SUM(G125,H125,I125,J125),6))</f>
        <v>0</v>
      </c>
      <c r="AT459" s="804">
        <f>IF(ISBLANK(INDEX(MO_IS_FirstRow,0,COLUMN())),0,ROUND(AT125-SUM(K125,L125,M125,N125),6))</f>
        <v>0</v>
      </c>
      <c r="AU459" s="804">
        <f>IF(ISBLANK(INDEX(MO_IS_FirstRow,0,COLUMN())),0,ROUND(AU125-SUM(O125,P125,Q125,R125),6))</f>
        <v>0</v>
      </c>
      <c r="AV459" s="804">
        <f>IF(ISBLANK(INDEX(MO_IS_FirstRow,0,COLUMN())),0,ROUND(AV125-SUM(S125,T125,U125,V125),6))</f>
        <v>0</v>
      </c>
      <c r="AW459" s="804">
        <f>IF(ISBLANK(INDEX(MO_IS_FirstRow,0,COLUMN())),0,ROUND(AW125-SUM(W125,X125,Y125,Z125),6))</f>
        <v>0</v>
      </c>
      <c r="AX459" s="805">
        <f>IF(ISBLANK(INDEX(MO_IS_FirstRow,0,COLUMN())),0,ROUND(AX125-SUM(AA125,AB125,AC125,AD125),6))</f>
        <v>0</v>
      </c>
      <c r="AY459" s="806">
        <f>IF(ISBLANK(INDEX(MO_IS_FirstRow,0,COLUMN())),0,ROUND(AY125-SUM(AE125,AF125,AG125,AH125),6))</f>
        <v>0</v>
      </c>
      <c r="AZ459" s="806">
        <f>IF(ISBLANK(INDEX(MO_IS_FirstRow,0,COLUMN())),0,ROUND(AZ125-SUM(AI125,AJ125,AK125,AL125),6))</f>
        <v>0</v>
      </c>
      <c r="BA459" s="806"/>
      <c r="BB459" s="806"/>
      <c r="BC459" s="806"/>
      <c r="BD459" s="631"/>
    </row>
    <row r="460" spans="1:56" s="39" customFormat="1" hidden="1" outlineLevel="1" x14ac:dyDescent="0.25">
      <c r="A460" s="631" t="s">
        <v>257</v>
      </c>
      <c r="B460" s="625"/>
      <c r="C460" s="804">
        <f t="shared" ref="C460:AL460" si="477">IF(ISBLANK(INDEX(MO_IS_FirstRow,0,COLUMN())),0,IF(OR(ISBLANK(INDEX(MO_RIS_ShareCount_WAB,1,COLUMN())),ISBLANK(INDEX(MO_RIS_ShareCount_WAD,1,COLUMN()))),"BLANK",IF(OR(INDEX(MO_RIS_ShareCount_WAB,1,COLUMN())=INDEX(MO_RIS_ShareCount_WAB,1,COLUMN()-1),INDEX(MO_RIS_ShareCount_WAD,1,COLUMN())=INDEX(MO_RIS_ShareCount_WAD,1,COLUMN()-1)),"CHECK",0)))</f>
        <v>0</v>
      </c>
      <c r="D460" s="804">
        <f t="shared" si="477"/>
        <v>0</v>
      </c>
      <c r="E460" s="804">
        <f t="shared" si="477"/>
        <v>0</v>
      </c>
      <c r="F460" s="804">
        <f t="shared" si="477"/>
        <v>0</v>
      </c>
      <c r="G460" s="804">
        <f t="shared" si="477"/>
        <v>0</v>
      </c>
      <c r="H460" s="804">
        <f t="shared" si="477"/>
        <v>0</v>
      </c>
      <c r="I460" s="804">
        <f t="shared" si="477"/>
        <v>0</v>
      </c>
      <c r="J460" s="804">
        <f t="shared" si="477"/>
        <v>0</v>
      </c>
      <c r="K460" s="804">
        <f t="shared" si="477"/>
        <v>0</v>
      </c>
      <c r="L460" s="804">
        <f t="shared" si="477"/>
        <v>0</v>
      </c>
      <c r="M460" s="804">
        <f t="shared" si="477"/>
        <v>0</v>
      </c>
      <c r="N460" s="804">
        <f t="shared" si="477"/>
        <v>0</v>
      </c>
      <c r="O460" s="804">
        <f t="shared" si="477"/>
        <v>0</v>
      </c>
      <c r="P460" s="804">
        <f t="shared" si="477"/>
        <v>0</v>
      </c>
      <c r="Q460" s="804">
        <f t="shared" si="477"/>
        <v>0</v>
      </c>
      <c r="R460" s="804">
        <f t="shared" si="477"/>
        <v>0</v>
      </c>
      <c r="S460" s="804">
        <f t="shared" si="477"/>
        <v>0</v>
      </c>
      <c r="T460" s="804">
        <f t="shared" si="477"/>
        <v>0</v>
      </c>
      <c r="U460" s="804">
        <f t="shared" si="477"/>
        <v>0</v>
      </c>
      <c r="V460" s="804">
        <f t="shared" si="477"/>
        <v>0</v>
      </c>
      <c r="W460" s="804">
        <f t="shared" si="477"/>
        <v>0</v>
      </c>
      <c r="X460" s="804">
        <f t="shared" si="477"/>
        <v>0</v>
      </c>
      <c r="Y460" s="804">
        <f t="shared" si="477"/>
        <v>0</v>
      </c>
      <c r="Z460" s="804">
        <f t="shared" si="477"/>
        <v>0</v>
      </c>
      <c r="AA460" s="804">
        <f t="shared" si="477"/>
        <v>0</v>
      </c>
      <c r="AB460" s="804">
        <f t="shared" si="477"/>
        <v>0</v>
      </c>
      <c r="AC460" s="804">
        <f t="shared" si="477"/>
        <v>0</v>
      </c>
      <c r="AD460" s="804">
        <f t="shared" si="477"/>
        <v>0</v>
      </c>
      <c r="AE460" s="804">
        <f t="shared" si="477"/>
        <v>0</v>
      </c>
      <c r="AF460" s="805">
        <f t="shared" si="477"/>
        <v>0</v>
      </c>
      <c r="AG460" s="806">
        <f t="shared" si="477"/>
        <v>0</v>
      </c>
      <c r="AH460" s="806">
        <f t="shared" si="477"/>
        <v>0</v>
      </c>
      <c r="AI460" s="806">
        <f t="shared" si="477"/>
        <v>0</v>
      </c>
      <c r="AJ460" s="806">
        <f t="shared" si="477"/>
        <v>0</v>
      </c>
      <c r="AK460" s="806">
        <f t="shared" si="477"/>
        <v>0</v>
      </c>
      <c r="AL460" s="806">
        <f t="shared" si="477"/>
        <v>0</v>
      </c>
      <c r="AM460" s="806"/>
      <c r="AN460" s="804">
        <f t="shared" ref="AN460:BC460" si="478">IF(ISBLANK(INDEX(MO_IS_FirstRow,0,COLUMN())),0,IF(OR(ISBLANK(INDEX(MO_RIS_ShareCount_WAB,1,COLUMN())),ISBLANK(INDEX(MO_RIS_ShareCount_WAD,1,COLUMN()))),"BLANK",IF(OR(INDEX(MO_RIS_ShareCount_WAB,1,COLUMN())=INDEX(MO_RIS_ShareCount_WAB,1,COLUMN()-1),INDEX(MO_RIS_ShareCount_WAD,1,COLUMN())=INDEX(MO_RIS_ShareCount_WAD,1,COLUMN()-1)),"CHECK",0)))</f>
        <v>0</v>
      </c>
      <c r="AO460" s="804">
        <f t="shared" si="478"/>
        <v>0</v>
      </c>
      <c r="AP460" s="804">
        <f t="shared" si="478"/>
        <v>0</v>
      </c>
      <c r="AQ460" s="804">
        <f t="shared" si="478"/>
        <v>0</v>
      </c>
      <c r="AR460" s="804">
        <f t="shared" si="478"/>
        <v>0</v>
      </c>
      <c r="AS460" s="804">
        <f t="shared" si="478"/>
        <v>0</v>
      </c>
      <c r="AT460" s="804">
        <f t="shared" si="478"/>
        <v>0</v>
      </c>
      <c r="AU460" s="804">
        <f t="shared" si="478"/>
        <v>0</v>
      </c>
      <c r="AV460" s="804">
        <f t="shared" si="478"/>
        <v>0</v>
      </c>
      <c r="AW460" s="804">
        <f t="shared" si="478"/>
        <v>0</v>
      </c>
      <c r="AX460" s="805">
        <f t="shared" si="478"/>
        <v>0</v>
      </c>
      <c r="AY460" s="806">
        <f t="shared" si="478"/>
        <v>0</v>
      </c>
      <c r="AZ460" s="806">
        <f t="shared" si="478"/>
        <v>0</v>
      </c>
      <c r="BA460" s="806">
        <f t="shared" si="478"/>
        <v>0</v>
      </c>
      <c r="BB460" s="806">
        <f t="shared" si="478"/>
        <v>0</v>
      </c>
      <c r="BC460" s="806">
        <f t="shared" si="478"/>
        <v>0</v>
      </c>
      <c r="BD460" s="631"/>
    </row>
    <row r="461" spans="1:56" s="39" customFormat="1" hidden="1" outlineLevel="1" x14ac:dyDescent="0.25">
      <c r="A461" s="631" t="s">
        <v>258</v>
      </c>
      <c r="B461" s="625"/>
      <c r="C461" s="804">
        <f t="shared" ref="C461:AL461" si="479">ROUND(1-INDEX(MO_MA_COGS,0,COLUMN())-INDEX(MO_MA_SGA,0,COLUMN())-INDEX(MO_MA_EBITDA,0,COLUMN()),6)</f>
        <v>0</v>
      </c>
      <c r="D461" s="804">
        <f t="shared" si="479"/>
        <v>0</v>
      </c>
      <c r="E461" s="804">
        <f t="shared" si="479"/>
        <v>0</v>
      </c>
      <c r="F461" s="804">
        <f t="shared" si="479"/>
        <v>0</v>
      </c>
      <c r="G461" s="804">
        <f t="shared" si="479"/>
        <v>0</v>
      </c>
      <c r="H461" s="804">
        <f t="shared" si="479"/>
        <v>0</v>
      </c>
      <c r="I461" s="804">
        <f t="shared" si="479"/>
        <v>0</v>
      </c>
      <c r="J461" s="804">
        <f t="shared" si="479"/>
        <v>0</v>
      </c>
      <c r="K461" s="804">
        <f t="shared" si="479"/>
        <v>0</v>
      </c>
      <c r="L461" s="804">
        <f t="shared" si="479"/>
        <v>0</v>
      </c>
      <c r="M461" s="804">
        <f t="shared" si="479"/>
        <v>0</v>
      </c>
      <c r="N461" s="804">
        <f t="shared" si="479"/>
        <v>0</v>
      </c>
      <c r="O461" s="804">
        <f t="shared" si="479"/>
        <v>0</v>
      </c>
      <c r="P461" s="804">
        <f t="shared" si="479"/>
        <v>0</v>
      </c>
      <c r="Q461" s="804">
        <f t="shared" si="479"/>
        <v>0</v>
      </c>
      <c r="R461" s="804">
        <f t="shared" si="479"/>
        <v>0</v>
      </c>
      <c r="S461" s="804">
        <f t="shared" si="479"/>
        <v>0</v>
      </c>
      <c r="T461" s="804">
        <f t="shared" si="479"/>
        <v>0</v>
      </c>
      <c r="U461" s="804">
        <f t="shared" si="479"/>
        <v>0</v>
      </c>
      <c r="V461" s="804">
        <f t="shared" si="479"/>
        <v>0</v>
      </c>
      <c r="W461" s="804">
        <f t="shared" si="479"/>
        <v>0</v>
      </c>
      <c r="X461" s="804">
        <f t="shared" si="479"/>
        <v>0</v>
      </c>
      <c r="Y461" s="804">
        <f t="shared" si="479"/>
        <v>0</v>
      </c>
      <c r="Z461" s="804">
        <f t="shared" si="479"/>
        <v>0</v>
      </c>
      <c r="AA461" s="804">
        <f t="shared" si="479"/>
        <v>0</v>
      </c>
      <c r="AB461" s="804">
        <f t="shared" si="479"/>
        <v>0</v>
      </c>
      <c r="AC461" s="804">
        <f t="shared" si="479"/>
        <v>0</v>
      </c>
      <c r="AD461" s="804">
        <f t="shared" si="479"/>
        <v>0</v>
      </c>
      <c r="AE461" s="804">
        <f t="shared" si="479"/>
        <v>0</v>
      </c>
      <c r="AF461" s="805">
        <f t="shared" si="479"/>
        <v>0</v>
      </c>
      <c r="AG461" s="806">
        <f t="shared" si="479"/>
        <v>0</v>
      </c>
      <c r="AH461" s="806">
        <f t="shared" si="479"/>
        <v>0</v>
      </c>
      <c r="AI461" s="806">
        <f t="shared" si="479"/>
        <v>0</v>
      </c>
      <c r="AJ461" s="806">
        <f t="shared" si="479"/>
        <v>0</v>
      </c>
      <c r="AK461" s="806">
        <f t="shared" si="479"/>
        <v>0</v>
      </c>
      <c r="AL461" s="806">
        <f t="shared" si="479"/>
        <v>0</v>
      </c>
      <c r="AM461" s="806"/>
      <c r="AN461" s="804">
        <f t="shared" ref="AN461:BC461" si="480">ROUND(1-INDEX(MO_MA_COGS,0,COLUMN())-INDEX(MO_MA_SGA,0,COLUMN())-INDEX(MO_MA_EBITDA,0,COLUMN()),6)</f>
        <v>0</v>
      </c>
      <c r="AO461" s="804">
        <f t="shared" si="480"/>
        <v>0</v>
      </c>
      <c r="AP461" s="804">
        <f t="shared" si="480"/>
        <v>0</v>
      </c>
      <c r="AQ461" s="804">
        <f t="shared" si="480"/>
        <v>0</v>
      </c>
      <c r="AR461" s="804">
        <f t="shared" si="480"/>
        <v>0</v>
      </c>
      <c r="AS461" s="804">
        <f t="shared" si="480"/>
        <v>0</v>
      </c>
      <c r="AT461" s="804">
        <f t="shared" si="480"/>
        <v>0</v>
      </c>
      <c r="AU461" s="804">
        <f t="shared" si="480"/>
        <v>0</v>
      </c>
      <c r="AV461" s="804">
        <f t="shared" si="480"/>
        <v>0</v>
      </c>
      <c r="AW461" s="804">
        <f t="shared" si="480"/>
        <v>0</v>
      </c>
      <c r="AX461" s="805">
        <f t="shared" si="480"/>
        <v>0</v>
      </c>
      <c r="AY461" s="806">
        <f t="shared" si="480"/>
        <v>0</v>
      </c>
      <c r="AZ461" s="806">
        <f t="shared" si="480"/>
        <v>0</v>
      </c>
      <c r="BA461" s="806">
        <f t="shared" si="480"/>
        <v>0</v>
      </c>
      <c r="BB461" s="806">
        <f t="shared" si="480"/>
        <v>0</v>
      </c>
      <c r="BC461" s="806">
        <f t="shared" si="480"/>
        <v>0</v>
      </c>
      <c r="BD461" s="631"/>
    </row>
    <row r="462" spans="1:56" s="39" customFormat="1" hidden="1" outlineLevel="1" x14ac:dyDescent="0.25">
      <c r="A462" s="631" t="s">
        <v>259</v>
      </c>
      <c r="B462" s="625"/>
      <c r="C462" s="804">
        <f t="shared" ref="C462:AL462" si="481">IF(OR(INDEX(MO_CFSum_Acquisition,1,COLUMN())&gt;0,INDEX(MO_CFSum_Divestiture,1,COLUMN())&lt;0,INDEX(MO_CFSum_Capex,1,COLUMN())&gt;0,INDEX(MO_CFSum_Dividend,1,COLUMN())&gt;0),"CHECK",0)</f>
        <v>0</v>
      </c>
      <c r="D462" s="804">
        <f t="shared" si="481"/>
        <v>0</v>
      </c>
      <c r="E462" s="804">
        <f t="shared" si="481"/>
        <v>0</v>
      </c>
      <c r="F462" s="804" t="str">
        <f t="shared" si="481"/>
        <v>CHECK</v>
      </c>
      <c r="G462" s="804">
        <f t="shared" si="481"/>
        <v>0</v>
      </c>
      <c r="H462" s="804">
        <f t="shared" si="481"/>
        <v>0</v>
      </c>
      <c r="I462" s="804">
        <f t="shared" si="481"/>
        <v>0</v>
      </c>
      <c r="J462" s="804">
        <f t="shared" si="481"/>
        <v>0</v>
      </c>
      <c r="K462" s="804">
        <f t="shared" si="481"/>
        <v>0</v>
      </c>
      <c r="L462" s="804">
        <f t="shared" si="481"/>
        <v>0</v>
      </c>
      <c r="M462" s="804">
        <f t="shared" si="481"/>
        <v>0</v>
      </c>
      <c r="N462" s="804">
        <f t="shared" si="481"/>
        <v>0</v>
      </c>
      <c r="O462" s="804">
        <f t="shared" si="481"/>
        <v>0</v>
      </c>
      <c r="P462" s="804">
        <f t="shared" si="481"/>
        <v>0</v>
      </c>
      <c r="Q462" s="804" t="str">
        <f t="shared" si="481"/>
        <v>CHECK</v>
      </c>
      <c r="R462" s="804">
        <f t="shared" si="481"/>
        <v>0</v>
      </c>
      <c r="S462" s="804">
        <f t="shared" si="481"/>
        <v>0</v>
      </c>
      <c r="T462" s="804">
        <f t="shared" si="481"/>
        <v>0</v>
      </c>
      <c r="U462" s="804">
        <f t="shared" si="481"/>
        <v>0</v>
      </c>
      <c r="V462" s="804" t="str">
        <f t="shared" si="481"/>
        <v>CHECK</v>
      </c>
      <c r="W462" s="804">
        <f t="shared" si="481"/>
        <v>0</v>
      </c>
      <c r="X462" s="804">
        <f t="shared" si="481"/>
        <v>0</v>
      </c>
      <c r="Y462" s="804">
        <f t="shared" si="481"/>
        <v>0</v>
      </c>
      <c r="Z462" s="804">
        <f t="shared" si="481"/>
        <v>0</v>
      </c>
      <c r="AA462" s="804">
        <f t="shared" si="481"/>
        <v>0</v>
      </c>
      <c r="AB462" s="804">
        <f t="shared" si="481"/>
        <v>0</v>
      </c>
      <c r="AC462" s="804" t="str">
        <f t="shared" si="481"/>
        <v>CHECK</v>
      </c>
      <c r="AD462" s="804">
        <f t="shared" si="481"/>
        <v>0</v>
      </c>
      <c r="AE462" s="804">
        <f t="shared" si="481"/>
        <v>0</v>
      </c>
      <c r="AF462" s="805">
        <f t="shared" si="481"/>
        <v>0</v>
      </c>
      <c r="AG462" s="806">
        <f t="shared" ca="1" si="481"/>
        <v>0</v>
      </c>
      <c r="AH462" s="806">
        <f t="shared" ca="1" si="481"/>
        <v>0</v>
      </c>
      <c r="AI462" s="806">
        <f t="shared" ca="1" si="481"/>
        <v>0</v>
      </c>
      <c r="AJ462" s="806">
        <f t="shared" ca="1" si="481"/>
        <v>0</v>
      </c>
      <c r="AK462" s="806">
        <f t="shared" ca="1" si="481"/>
        <v>0</v>
      </c>
      <c r="AL462" s="806">
        <f t="shared" ca="1" si="481"/>
        <v>0</v>
      </c>
      <c r="AM462" s="806"/>
      <c r="AN462" s="804">
        <f t="shared" ref="AN462:BC462" si="482">IF(OR(INDEX(MO_CFSum_Acquisition,1,COLUMN())&gt;0,INDEX(MO_CFSum_Divestiture,1,COLUMN())&lt;0,INDEX(MO_CFSum_Capex,1,COLUMN())&gt;0,INDEX(MO_CFSum_Dividend,1,COLUMN())&gt;0),"CHECK",0)</f>
        <v>0</v>
      </c>
      <c r="AO462" s="804">
        <f t="shared" si="482"/>
        <v>0</v>
      </c>
      <c r="AP462" s="804">
        <f t="shared" si="482"/>
        <v>0</v>
      </c>
      <c r="AQ462" s="804">
        <f t="shared" si="482"/>
        <v>0</v>
      </c>
      <c r="AR462" s="804">
        <f t="shared" si="482"/>
        <v>0</v>
      </c>
      <c r="AS462" s="804">
        <f t="shared" si="482"/>
        <v>0</v>
      </c>
      <c r="AT462" s="804">
        <f t="shared" si="482"/>
        <v>0</v>
      </c>
      <c r="AU462" s="804">
        <f t="shared" si="482"/>
        <v>0</v>
      </c>
      <c r="AV462" s="804">
        <f t="shared" si="482"/>
        <v>0</v>
      </c>
      <c r="AW462" s="804">
        <f t="shared" si="482"/>
        <v>0</v>
      </c>
      <c r="AX462" s="805" t="str">
        <f t="shared" si="482"/>
        <v>CHECK</v>
      </c>
      <c r="AY462" s="806">
        <f t="shared" ca="1" si="482"/>
        <v>0</v>
      </c>
      <c r="AZ462" s="806">
        <f t="shared" ca="1" si="482"/>
        <v>0</v>
      </c>
      <c r="BA462" s="806">
        <f t="shared" ca="1" si="482"/>
        <v>0</v>
      </c>
      <c r="BB462" s="806">
        <f t="shared" ca="1" si="482"/>
        <v>0</v>
      </c>
      <c r="BC462" s="806">
        <f t="shared" ca="1" si="482"/>
        <v>0</v>
      </c>
      <c r="BD462" s="631"/>
    </row>
    <row r="463" spans="1:56" s="39" customFormat="1" hidden="1" outlineLevel="1" x14ac:dyDescent="0.25">
      <c r="A463" s="631" t="s">
        <v>260</v>
      </c>
      <c r="B463" s="625"/>
      <c r="C463" s="804"/>
      <c r="D463" s="804"/>
      <c r="E463" s="804"/>
      <c r="F463" s="804"/>
      <c r="G463" s="804"/>
      <c r="H463" s="804"/>
      <c r="I463" s="804"/>
      <c r="J463" s="804"/>
      <c r="K463" s="804"/>
      <c r="L463" s="804"/>
      <c r="M463" s="804"/>
      <c r="N463" s="804"/>
      <c r="O463" s="804"/>
      <c r="P463" s="804"/>
      <c r="Q463" s="804"/>
      <c r="R463" s="804"/>
      <c r="S463" s="804"/>
      <c r="T463" s="804"/>
      <c r="U463" s="804"/>
      <c r="V463" s="804"/>
      <c r="W463" s="804"/>
      <c r="X463" s="804"/>
      <c r="Y463" s="804"/>
      <c r="Z463" s="804"/>
      <c r="AA463" s="804"/>
      <c r="AB463" s="804"/>
      <c r="AC463" s="804"/>
      <c r="AD463" s="804"/>
      <c r="AE463" s="804"/>
      <c r="AF463" s="805"/>
      <c r="AG463" s="806"/>
      <c r="AH463" s="806"/>
      <c r="AI463" s="806"/>
      <c r="AJ463" s="806"/>
      <c r="AK463" s="806"/>
      <c r="AL463" s="806"/>
      <c r="AM463" s="806"/>
      <c r="AN463" s="804"/>
      <c r="AO463" s="804"/>
      <c r="AP463" s="804"/>
      <c r="AQ463" s="804"/>
      <c r="AR463" s="804">
        <f>ROUND(AR183-SUM(C183,D183,E183,F183),6)</f>
        <v>0</v>
      </c>
      <c r="AS463" s="804">
        <f>ROUND(AS183-SUM(G183,H183,I183,J183),6)</f>
        <v>0</v>
      </c>
      <c r="AT463" s="804">
        <f>ROUND(AT183-SUM(K183,L183,M183,N183),6)</f>
        <v>0</v>
      </c>
      <c r="AU463" s="804">
        <f>ROUND(AU183-SUM(O183,P183,Q183,R183),6)</f>
        <v>0</v>
      </c>
      <c r="AV463" s="804">
        <f>ROUND(AV183-SUM(S183,T183,U183,V183),6)</f>
        <v>0</v>
      </c>
      <c r="AW463" s="804">
        <f>ROUND(AW183-SUM(W183,X183,Y183,Z183),6)</f>
        <v>0</v>
      </c>
      <c r="AX463" s="805">
        <f>ROUND(AX183-SUM(AA183,AB183,AC183,AD183),6)</f>
        <v>0</v>
      </c>
      <c r="AY463" s="806">
        <f ca="1">ROUND(AY183-SUM(AE183,AF183,AG183,AH183),6)</f>
        <v>0</v>
      </c>
      <c r="AZ463" s="806">
        <f ca="1">ROUND(AZ183-SUM(AI183,AJ183,AK183,AL183),6)</f>
        <v>0</v>
      </c>
      <c r="BA463" s="806"/>
      <c r="BB463" s="806"/>
      <c r="BC463" s="806"/>
      <c r="BD463" s="631"/>
    </row>
    <row r="464" spans="1:56" s="39" customFormat="1" hidden="1" outlineLevel="1" x14ac:dyDescent="0.25">
      <c r="A464" s="631" t="s">
        <v>261</v>
      </c>
      <c r="B464" s="625"/>
      <c r="C464" s="804"/>
      <c r="D464" s="804"/>
      <c r="E464" s="804"/>
      <c r="F464" s="804"/>
      <c r="G464" s="804"/>
      <c r="H464" s="804"/>
      <c r="I464" s="804"/>
      <c r="J464" s="804"/>
      <c r="K464" s="804"/>
      <c r="L464" s="804"/>
      <c r="M464" s="804"/>
      <c r="N464" s="804"/>
      <c r="O464" s="804"/>
      <c r="P464" s="804"/>
      <c r="Q464" s="804"/>
      <c r="R464" s="804"/>
      <c r="S464" s="804"/>
      <c r="T464" s="804"/>
      <c r="U464" s="804"/>
      <c r="V464" s="804"/>
      <c r="W464" s="804"/>
      <c r="X464" s="804"/>
      <c r="Y464" s="804"/>
      <c r="Z464" s="804"/>
      <c r="AA464" s="804"/>
      <c r="AB464" s="804"/>
      <c r="AC464" s="804"/>
      <c r="AD464" s="804"/>
      <c r="AE464" s="804"/>
      <c r="AF464" s="805"/>
      <c r="AG464" s="806"/>
      <c r="AH464" s="806"/>
      <c r="AI464" s="806"/>
      <c r="AJ464" s="806"/>
      <c r="AK464" s="806"/>
      <c r="AL464" s="806"/>
      <c r="AM464" s="806"/>
      <c r="AN464" s="804"/>
      <c r="AO464" s="804"/>
      <c r="AP464" s="804"/>
      <c r="AQ464" s="804"/>
      <c r="AR464" s="804">
        <f>ROUND(SUM(C192,D192,E192,F192)-INDEX(MO_RIS_NI_NONGAAP_Diluted,1,COLUMN()),6)</f>
        <v>0</v>
      </c>
      <c r="AS464" s="804">
        <f>ROUND(SUM(G192,H192,I192,J192)-INDEX(MO_RIS_NI_NONGAAP_Diluted,1,COLUMN()),6)</f>
        <v>0</v>
      </c>
      <c r="AT464" s="804">
        <f>ROUND(SUM(K192,L192,M192,N192)-INDEX(MO_RIS_NI_NONGAAP_Diluted,1,COLUMN()),6)</f>
        <v>0</v>
      </c>
      <c r="AU464" s="804">
        <f>ROUND(SUM(O192,P192,Q192,R192)-INDEX(MO_RIS_NI_NONGAAP_Diluted,1,COLUMN()),6)</f>
        <v>-0.16791</v>
      </c>
      <c r="AV464" s="804">
        <f>ROUND(SUM(S192,T192,U192,V192)-INDEX(MO_RIS_NI_NONGAAP_Diluted,1,COLUMN()),6)</f>
        <v>1.9140000000000001E-2</v>
      </c>
      <c r="AW464" s="804">
        <f>ROUND(SUM(W192,X192,Y192,Z192)-INDEX(MO_RIS_NI_NONGAAP_Diluted,1,COLUMN()),6)</f>
        <v>-0.52100000000000002</v>
      </c>
      <c r="AX464" s="805">
        <f>ROUND(SUM(AA192,AB192,AC192,AD192)-INDEX(MO_RIS_NI_NONGAAP_Diluted,1,COLUMN()),6)</f>
        <v>0.10017</v>
      </c>
      <c r="AY464" s="806">
        <f ca="1">ROUND(SUM(AE192,AF192,AG192,AH192)-INDEX(MO_RIS_NI_NONGAAP_Diluted,1,COLUMN()),6)</f>
        <v>0</v>
      </c>
      <c r="AZ464" s="806">
        <f ca="1">ROUND(SUM(AI192,AJ192,AK192,AL192)-INDEX(MO_RIS_NI_NONGAAP_Diluted,1,COLUMN()),6)</f>
        <v>0</v>
      </c>
      <c r="BA464" s="806"/>
      <c r="BB464" s="806"/>
      <c r="BC464" s="806"/>
      <c r="BD464" s="631"/>
    </row>
    <row r="465" spans="1:56" s="39" customFormat="1" hidden="1" outlineLevel="1" x14ac:dyDescent="0.25">
      <c r="A465" s="631" t="s">
        <v>262</v>
      </c>
      <c r="B465" s="625"/>
      <c r="C465" s="804"/>
      <c r="D465" s="804"/>
      <c r="E465" s="804"/>
      <c r="F465" s="804"/>
      <c r="G465" s="804"/>
      <c r="H465" s="804"/>
      <c r="I465" s="804"/>
      <c r="J465" s="804"/>
      <c r="K465" s="804"/>
      <c r="L465" s="804"/>
      <c r="M465" s="804"/>
      <c r="N465" s="804"/>
      <c r="O465" s="804"/>
      <c r="P465" s="804"/>
      <c r="Q465" s="804"/>
      <c r="R465" s="804"/>
      <c r="S465" s="804"/>
      <c r="T465" s="804"/>
      <c r="U465" s="804"/>
      <c r="V465" s="804"/>
      <c r="W465" s="804"/>
      <c r="X465" s="804"/>
      <c r="Y465" s="804"/>
      <c r="Z465" s="804"/>
      <c r="AA465" s="804"/>
      <c r="AB465" s="804"/>
      <c r="AC465" s="804"/>
      <c r="AD465" s="804"/>
      <c r="AE465" s="804"/>
      <c r="AF465" s="805"/>
      <c r="AG465" s="806"/>
      <c r="AH465" s="806"/>
      <c r="AI465" s="806"/>
      <c r="AJ465" s="806"/>
      <c r="AK465" s="806"/>
      <c r="AL465" s="806"/>
      <c r="AM465" s="806"/>
      <c r="AN465" s="804"/>
      <c r="AO465" s="804"/>
      <c r="AP465" s="804"/>
      <c r="AQ465" s="804"/>
      <c r="AR465" s="804">
        <f ca="1">ROUND(SUM(C336,D336,E336,F336)-SUM(OFFSET(INDEX(MO_CFS_CFO_BeforeWC,1,COLUMN()),ROW(INDEX(MO_SubSection_CFS_CFO,1,COLUMN()))-ROW(INDEX(MO_CFS_CFO_BeforeWC,1,COLUMN())),0,ROW(INDEX(MO_CFS_CFO_BeforeWC,1,COLUMN()))-ROW(INDEX(MO_SubSection_CFS_CFO,1,COLUMN())),1)),6)</f>
        <v>0</v>
      </c>
      <c r="AS465" s="804">
        <f ca="1">ROUND(SUM(G336,H336,I336,J336)-SUM(OFFSET(INDEX(MO_CFS_CFO_BeforeWC,1,COLUMN()),ROW(INDEX(MO_SubSection_CFS_CFO,1,COLUMN()))-ROW(INDEX(MO_CFS_CFO_BeforeWC,1,COLUMN())),0,ROW(INDEX(MO_CFS_CFO_BeforeWC,1,COLUMN()))-ROW(INDEX(MO_SubSection_CFS_CFO,1,COLUMN())),1)),6)</f>
        <v>0</v>
      </c>
      <c r="AT465" s="804">
        <f ca="1">ROUND(SUM(K336,L336,M336,N336)-SUM(OFFSET(INDEX(MO_CFS_CFO_BeforeWC,1,COLUMN()),ROW(INDEX(MO_SubSection_CFS_CFO,1,COLUMN()))-ROW(INDEX(MO_CFS_CFO_BeforeWC,1,COLUMN())),0,ROW(INDEX(MO_CFS_CFO_BeforeWC,1,COLUMN()))-ROW(INDEX(MO_SubSection_CFS_CFO,1,COLUMN())),1)),6)</f>
        <v>0</v>
      </c>
      <c r="AU465" s="804">
        <f ca="1">ROUND(SUM(O336,P336,Q336,R336)-SUM(OFFSET(INDEX(MO_CFS_CFO_BeforeWC,1,COLUMN()),ROW(INDEX(MO_SubSection_CFS_CFO,1,COLUMN()))-ROW(INDEX(MO_CFS_CFO_BeforeWC,1,COLUMN())),0,ROW(INDEX(MO_CFS_CFO_BeforeWC,1,COLUMN()))-ROW(INDEX(MO_SubSection_CFS_CFO,1,COLUMN())),1)),6)</f>
        <v>0</v>
      </c>
      <c r="AV465" s="804">
        <f ca="1">ROUND(SUM(S336,T336,U336,V336)-SUM(OFFSET(INDEX(MO_CFS_CFO_BeforeWC,1,COLUMN()),ROW(INDEX(MO_SubSection_CFS_CFO,1,COLUMN()))-ROW(INDEX(MO_CFS_CFO_BeforeWC,1,COLUMN())),0,ROW(INDEX(MO_CFS_CFO_BeforeWC,1,COLUMN()))-ROW(INDEX(MO_SubSection_CFS_CFO,1,COLUMN())),1)),6)</f>
        <v>0</v>
      </c>
      <c r="AW465" s="804">
        <f ca="1">ROUND(SUM(W336,X336,Y336,Z336)-SUM(OFFSET(INDEX(MO_CFS_CFO_BeforeWC,1,COLUMN()),ROW(INDEX(MO_SubSection_CFS_CFO,1,COLUMN()))-ROW(INDEX(MO_CFS_CFO_BeforeWC,1,COLUMN())),0,ROW(INDEX(MO_CFS_CFO_BeforeWC,1,COLUMN()))-ROW(INDEX(MO_SubSection_CFS_CFO,1,COLUMN())),1)),6)</f>
        <v>0</v>
      </c>
      <c r="AX465" s="805">
        <f ca="1">ROUND(SUM(AA336,AB336,AC336,AD336)-SUM(OFFSET(INDEX(MO_CFS_CFO_BeforeWC,1,COLUMN()),ROW(INDEX(MO_SubSection_CFS_CFO,1,COLUMN()))-ROW(INDEX(MO_CFS_CFO_BeforeWC,1,COLUMN())),0,ROW(INDEX(MO_CFS_CFO_BeforeWC,1,COLUMN()))-ROW(INDEX(MO_SubSection_CFS_CFO,1,COLUMN())),1)),6)</f>
        <v>0</v>
      </c>
      <c r="AY465" s="806">
        <f ca="1">ROUND(SUM(AE336,AF336,AG336,AH336)-SUM(OFFSET(INDEX(MO_CFS_CFO_BeforeWC,1,COLUMN()),ROW(INDEX(MO_SubSection_CFS_CFO,1,COLUMN()))-ROW(INDEX(MO_CFS_CFO_BeforeWC,1,COLUMN())),0,ROW(INDEX(MO_CFS_CFO_BeforeWC,1,COLUMN()))-ROW(INDEX(MO_SubSection_CFS_CFO,1,COLUMN())),1)),6)</f>
        <v>0</v>
      </c>
      <c r="AZ465" s="806">
        <f ca="1">ROUND(SUM(AI336,AJ336,AK336,AL336)-SUM(OFFSET(INDEX(MO_CFS_CFO_BeforeWC,1,COLUMN()),ROW(INDEX(MO_SubSection_CFS_CFO,1,COLUMN()))-ROW(INDEX(MO_CFS_CFO_BeforeWC,1,COLUMN())),0,ROW(INDEX(MO_CFS_CFO_BeforeWC,1,COLUMN()))-ROW(INDEX(MO_SubSection_CFS_CFO,1,COLUMN())),1)),6)</f>
        <v>0</v>
      </c>
      <c r="BA465" s="806"/>
      <c r="BB465" s="806"/>
      <c r="BC465" s="806"/>
      <c r="BD465" s="631"/>
    </row>
    <row r="466" spans="1:56" s="39" customFormat="1" hidden="1" outlineLevel="1" x14ac:dyDescent="0.25">
      <c r="A466" s="631" t="s">
        <v>263</v>
      </c>
      <c r="B466" s="625"/>
      <c r="C466" s="804"/>
      <c r="D466" s="804"/>
      <c r="E466" s="804"/>
      <c r="F466" s="804"/>
      <c r="G466" s="804"/>
      <c r="H466" s="804"/>
      <c r="I466" s="804"/>
      <c r="J466" s="804"/>
      <c r="K466" s="804"/>
      <c r="L466" s="804"/>
      <c r="M466" s="804"/>
      <c r="N466" s="804"/>
      <c r="O466" s="804"/>
      <c r="P466" s="804"/>
      <c r="Q466" s="804"/>
      <c r="R466" s="804"/>
      <c r="S466" s="804"/>
      <c r="T466" s="804"/>
      <c r="U466" s="804"/>
      <c r="V466" s="804"/>
      <c r="W466" s="804"/>
      <c r="X466" s="804"/>
      <c r="Y466" s="804"/>
      <c r="Z466" s="804"/>
      <c r="AA466" s="804"/>
      <c r="AB466" s="804"/>
      <c r="AC466" s="804"/>
      <c r="AD466" s="804"/>
      <c r="AE466" s="804"/>
      <c r="AF466" s="805"/>
      <c r="AG466" s="806"/>
      <c r="AH466" s="806"/>
      <c r="AI466" s="806"/>
      <c r="AJ466" s="806"/>
      <c r="AK466" s="806"/>
      <c r="AL466" s="806"/>
      <c r="AM466" s="806"/>
      <c r="AN466" s="804"/>
      <c r="AO466" s="804"/>
      <c r="AP466" s="804"/>
      <c r="AQ466" s="804"/>
      <c r="AR466" s="804">
        <f ca="1">ROUND(SUM(C346,D346,E346,F346)-SUM(OFFSET(INDEX(MO_CFS_CFO,1,COLUMN()),ROW(INDEX(MO_CFS_CFO_BeforeWC,1,COLUMN()))-ROW(INDEX(MO_CFS_CFO,1,COLUMN())),0,ROW(INDEX(MO_CFS_CFO,1,COLUMN()))-ROW(INDEX(MO_CFS_CFO_BeforeWC,1,COLUMN())),1)),6)</f>
        <v>0</v>
      </c>
      <c r="AS466" s="804">
        <f ca="1">ROUND(SUM(G346,H346,I346,J346)-SUM(OFFSET(INDEX(MO_CFS_CFO,1,COLUMN()),ROW(INDEX(MO_CFS_CFO_BeforeWC,1,COLUMN()))-ROW(INDEX(MO_CFS_CFO,1,COLUMN())),0,ROW(INDEX(MO_CFS_CFO,1,COLUMN()))-ROW(INDEX(MO_CFS_CFO_BeforeWC,1,COLUMN())),1)),6)</f>
        <v>0</v>
      </c>
      <c r="AT466" s="804">
        <f ca="1">ROUND(SUM(K346,L346,M346,N346)-SUM(OFFSET(INDEX(MO_CFS_CFO,1,COLUMN()),ROW(INDEX(MO_CFS_CFO_BeforeWC,1,COLUMN()))-ROW(INDEX(MO_CFS_CFO,1,COLUMN())),0,ROW(INDEX(MO_CFS_CFO,1,COLUMN()))-ROW(INDEX(MO_CFS_CFO_BeforeWC,1,COLUMN())),1)),6)</f>
        <v>0</v>
      </c>
      <c r="AU466" s="804">
        <f ca="1">ROUND(SUM(O346,P346,Q346,R346)-SUM(OFFSET(INDEX(MO_CFS_CFO,1,COLUMN()),ROW(INDEX(MO_CFS_CFO_BeforeWC,1,COLUMN()))-ROW(INDEX(MO_CFS_CFO,1,COLUMN())),0,ROW(INDEX(MO_CFS_CFO,1,COLUMN()))-ROW(INDEX(MO_CFS_CFO_BeforeWC,1,COLUMN())),1)),6)</f>
        <v>0</v>
      </c>
      <c r="AV466" s="804">
        <f ca="1">ROUND(SUM(S346,T346,U346,V346)-SUM(OFFSET(INDEX(MO_CFS_CFO,1,COLUMN()),ROW(INDEX(MO_CFS_CFO_BeforeWC,1,COLUMN()))-ROW(INDEX(MO_CFS_CFO,1,COLUMN())),0,ROW(INDEX(MO_CFS_CFO,1,COLUMN()))-ROW(INDEX(MO_CFS_CFO_BeforeWC,1,COLUMN())),1)),6)</f>
        <v>0</v>
      </c>
      <c r="AW466" s="804">
        <f ca="1">ROUND(SUM(W346,X346,Y346,Z346)-SUM(OFFSET(INDEX(MO_CFS_CFO,1,COLUMN()),ROW(INDEX(MO_CFS_CFO_BeforeWC,1,COLUMN()))-ROW(INDEX(MO_CFS_CFO,1,COLUMN())),0,ROW(INDEX(MO_CFS_CFO,1,COLUMN()))-ROW(INDEX(MO_CFS_CFO_BeforeWC,1,COLUMN())),1)),6)</f>
        <v>0</v>
      </c>
      <c r="AX466" s="805">
        <f ca="1">ROUND(SUM(AA346,AB346,AC346,AD346)-SUM(OFFSET(INDEX(MO_CFS_CFO,1,COLUMN()),ROW(INDEX(MO_CFS_CFO_BeforeWC,1,COLUMN()))-ROW(INDEX(MO_CFS_CFO,1,COLUMN())),0,ROW(INDEX(MO_CFS_CFO,1,COLUMN()))-ROW(INDEX(MO_CFS_CFO_BeforeWC,1,COLUMN())),1)),6)</f>
        <v>0</v>
      </c>
      <c r="AY466" s="806">
        <f ca="1">ROUND(SUM(AE346,AF346,AG346,AH346)-SUM(OFFSET(INDEX(MO_CFS_CFO,1,COLUMN()),ROW(INDEX(MO_CFS_CFO_BeforeWC,1,COLUMN()))-ROW(INDEX(MO_CFS_CFO,1,COLUMN())),0,ROW(INDEX(MO_CFS_CFO,1,COLUMN()))-ROW(INDEX(MO_CFS_CFO_BeforeWC,1,COLUMN())),1)),6)</f>
        <v>0</v>
      </c>
      <c r="AZ466" s="806">
        <f ca="1">ROUND(SUM(AI346,AJ346,AK346,AL346)-SUM(OFFSET(INDEX(MO_CFS_CFO,1,COLUMN()),ROW(INDEX(MO_CFS_CFO_BeforeWC,1,COLUMN()))-ROW(INDEX(MO_CFS_CFO,1,COLUMN())),0,ROW(INDEX(MO_CFS_CFO,1,COLUMN()))-ROW(INDEX(MO_CFS_CFO_BeforeWC,1,COLUMN())),1)),6)</f>
        <v>0</v>
      </c>
      <c r="BA466" s="806"/>
      <c r="BB466" s="806"/>
      <c r="BC466" s="806"/>
      <c r="BD466" s="631"/>
    </row>
    <row r="467" spans="1:56" s="39" customFormat="1" hidden="1" outlineLevel="1" x14ac:dyDescent="0.25">
      <c r="A467" s="631" t="s">
        <v>264</v>
      </c>
      <c r="B467" s="625"/>
      <c r="C467" s="804"/>
      <c r="D467" s="804"/>
      <c r="E467" s="804"/>
      <c r="F467" s="804"/>
      <c r="G467" s="804"/>
      <c r="H467" s="804"/>
      <c r="I467" s="804"/>
      <c r="J467" s="804"/>
      <c r="K467" s="804"/>
      <c r="L467" s="804"/>
      <c r="M467" s="804"/>
      <c r="N467" s="804"/>
      <c r="O467" s="804"/>
      <c r="P467" s="804"/>
      <c r="Q467" s="804"/>
      <c r="R467" s="804"/>
      <c r="S467" s="804"/>
      <c r="T467" s="804"/>
      <c r="U467" s="804"/>
      <c r="V467" s="804"/>
      <c r="W467" s="804"/>
      <c r="X467" s="804"/>
      <c r="Y467" s="804"/>
      <c r="Z467" s="804"/>
      <c r="AA467" s="804"/>
      <c r="AB467" s="804"/>
      <c r="AC467" s="804"/>
      <c r="AD467" s="804"/>
      <c r="AE467" s="804"/>
      <c r="AF467" s="805"/>
      <c r="AG467" s="806"/>
      <c r="AH467" s="806"/>
      <c r="AI467" s="806"/>
      <c r="AJ467" s="806"/>
      <c r="AK467" s="806"/>
      <c r="AL467" s="806"/>
      <c r="AM467" s="806"/>
      <c r="AN467" s="804"/>
      <c r="AO467" s="804"/>
      <c r="AP467" s="804"/>
      <c r="AQ467" s="804"/>
      <c r="AR467" s="804">
        <f ca="1">ROUND(SUM(C357,D357,E357,F357)-SUM(OFFSET(INDEX(MO_CFS_CFI,1,COLUMN()),ROW(INDEX(MO_SubSection_CFS_CFI,1,COLUMN()))-ROW(INDEX(MO_CFS_CFI,1,COLUMN())),0,ROW(INDEX(MO_CFS_CFI,1,COLUMN()))-ROW(INDEX(MO_SubSection_CFS_CFI,1,COLUMN())),1)),6)</f>
        <v>0</v>
      </c>
      <c r="AS467" s="804">
        <f ca="1">ROUND(SUM(G357,H357,I357,J357)-SUM(OFFSET(INDEX(MO_CFS_CFI,1,COLUMN()),ROW(INDEX(MO_SubSection_CFS_CFI,1,COLUMN()))-ROW(INDEX(MO_CFS_CFI,1,COLUMN())),0,ROW(INDEX(MO_CFS_CFI,1,COLUMN()))-ROW(INDEX(MO_SubSection_CFS_CFI,1,COLUMN())),1)),6)</f>
        <v>0</v>
      </c>
      <c r="AT467" s="804">
        <f ca="1">ROUND(SUM(K357,L357,M357,N357)-SUM(OFFSET(INDEX(MO_CFS_CFI,1,COLUMN()),ROW(INDEX(MO_SubSection_CFS_CFI,1,COLUMN()))-ROW(INDEX(MO_CFS_CFI,1,COLUMN())),0,ROW(INDEX(MO_CFS_CFI,1,COLUMN()))-ROW(INDEX(MO_SubSection_CFS_CFI,1,COLUMN())),1)),6)</f>
        <v>0</v>
      </c>
      <c r="AU467" s="804">
        <f ca="1">ROUND(SUM(O357,P357,Q357,R357)-SUM(OFFSET(INDEX(MO_CFS_CFI,1,COLUMN()),ROW(INDEX(MO_SubSection_CFS_CFI,1,COLUMN()))-ROW(INDEX(MO_CFS_CFI,1,COLUMN())),0,ROW(INDEX(MO_CFS_CFI,1,COLUMN()))-ROW(INDEX(MO_SubSection_CFS_CFI,1,COLUMN())),1)),6)</f>
        <v>0</v>
      </c>
      <c r="AV467" s="804">
        <f ca="1">ROUND(SUM(S357,T357,U357,V357)-SUM(OFFSET(INDEX(MO_CFS_CFI,1,COLUMN()),ROW(INDEX(MO_SubSection_CFS_CFI,1,COLUMN()))-ROW(INDEX(MO_CFS_CFI,1,COLUMN())),0,ROW(INDEX(MO_CFS_CFI,1,COLUMN()))-ROW(INDEX(MO_SubSection_CFS_CFI,1,COLUMN())),1)),6)</f>
        <v>0</v>
      </c>
      <c r="AW467" s="804">
        <f ca="1">ROUND(SUM(W357,X357,Y357,Z357)-SUM(OFFSET(INDEX(MO_CFS_CFI,1,COLUMN()),ROW(INDEX(MO_SubSection_CFS_CFI,1,COLUMN()))-ROW(INDEX(MO_CFS_CFI,1,COLUMN())),0,ROW(INDEX(MO_CFS_CFI,1,COLUMN()))-ROW(INDEX(MO_SubSection_CFS_CFI,1,COLUMN())),1)),6)</f>
        <v>0</v>
      </c>
      <c r="AX467" s="805">
        <f ca="1">ROUND(SUM(AA357,AB357,AC357,AD357)-SUM(OFFSET(INDEX(MO_CFS_CFI,1,COLUMN()),ROW(INDEX(MO_SubSection_CFS_CFI,1,COLUMN()))-ROW(INDEX(MO_CFS_CFI,1,COLUMN())),0,ROW(INDEX(MO_CFS_CFI,1,COLUMN()))-ROW(INDEX(MO_SubSection_CFS_CFI,1,COLUMN())),1)),6)</f>
        <v>0</v>
      </c>
      <c r="AY467" s="806">
        <f ca="1">ROUND(SUM(AE357,AF357,AG357,AH357)-SUM(OFFSET(INDEX(MO_CFS_CFI,1,COLUMN()),ROW(INDEX(MO_SubSection_CFS_CFI,1,COLUMN()))-ROW(INDEX(MO_CFS_CFI,1,COLUMN())),0,ROW(INDEX(MO_CFS_CFI,1,COLUMN()))-ROW(INDEX(MO_SubSection_CFS_CFI,1,COLUMN())),1)),6)</f>
        <v>0</v>
      </c>
      <c r="AZ467" s="806">
        <f ca="1">ROUND(SUM(AI357,AJ357,AK357,AL357)-SUM(OFFSET(INDEX(MO_CFS_CFI,1,COLUMN()),ROW(INDEX(MO_SubSection_CFS_CFI,1,COLUMN()))-ROW(INDEX(MO_CFS_CFI,1,COLUMN())),0,ROW(INDEX(MO_CFS_CFI,1,COLUMN()))-ROW(INDEX(MO_SubSection_CFS_CFI,1,COLUMN())),1)),6)</f>
        <v>0</v>
      </c>
      <c r="BA467" s="806"/>
      <c r="BB467" s="806"/>
      <c r="BC467" s="806"/>
      <c r="BD467" s="631"/>
    </row>
    <row r="468" spans="1:56" s="39" customFormat="1" hidden="1" outlineLevel="1" x14ac:dyDescent="0.25">
      <c r="A468" s="631" t="s">
        <v>265</v>
      </c>
      <c r="B468" s="625"/>
      <c r="C468" s="804"/>
      <c r="D468" s="804"/>
      <c r="E468" s="804"/>
      <c r="F468" s="804"/>
      <c r="G468" s="804"/>
      <c r="H468" s="804"/>
      <c r="I468" s="804"/>
      <c r="J468" s="804"/>
      <c r="K468" s="804"/>
      <c r="L468" s="804"/>
      <c r="M468" s="804"/>
      <c r="N468" s="804"/>
      <c r="O468" s="804"/>
      <c r="P468" s="804"/>
      <c r="Q468" s="804"/>
      <c r="R468" s="804"/>
      <c r="S468" s="804"/>
      <c r="T468" s="804"/>
      <c r="U468" s="804"/>
      <c r="V468" s="804"/>
      <c r="W468" s="804"/>
      <c r="X468" s="804"/>
      <c r="Y468" s="804"/>
      <c r="Z468" s="804"/>
      <c r="AA468" s="804"/>
      <c r="AB468" s="804"/>
      <c r="AC468" s="804"/>
      <c r="AD468" s="804"/>
      <c r="AE468" s="804"/>
      <c r="AF468" s="805"/>
      <c r="AG468" s="806"/>
      <c r="AH468" s="806"/>
      <c r="AI468" s="806"/>
      <c r="AJ468" s="806"/>
      <c r="AK468" s="806"/>
      <c r="AL468" s="806"/>
      <c r="AM468" s="806"/>
      <c r="AN468" s="804"/>
      <c r="AO468" s="804"/>
      <c r="AP468" s="804"/>
      <c r="AQ468" s="804"/>
      <c r="AR468" s="804">
        <f ca="1">ROUND(SUM(C375,D375,E375,F375)-SUM(OFFSET(INDEX(MO_CFS_CFF,1,COLUMN()),ROW(INDEX(MO_SubSection_CFS_CFF,1,COLUMN()))-ROW(INDEX(MO_CFS_CFF,1,COLUMN())),0,ROW(INDEX(MO_CFS_CFF,1,COLUMN()))-ROW(INDEX(MO_SubSection_CFS_CFF,1,COLUMN())),1)),6)</f>
        <v>0</v>
      </c>
      <c r="AS468" s="804">
        <f ca="1">ROUND(SUM(G375,H375,I375,J375)-SUM(OFFSET(INDEX(MO_CFS_CFF,1,COLUMN()),ROW(INDEX(MO_SubSection_CFS_CFF,1,COLUMN()))-ROW(INDEX(MO_CFS_CFF,1,COLUMN())),0,ROW(INDEX(MO_CFS_CFF,1,COLUMN()))-ROW(INDEX(MO_SubSection_CFS_CFF,1,COLUMN())),1)),6)</f>
        <v>0</v>
      </c>
      <c r="AT468" s="804">
        <f ca="1">ROUND(SUM(K375,L375,M375,N375)-SUM(OFFSET(INDEX(MO_CFS_CFF,1,COLUMN()),ROW(INDEX(MO_SubSection_CFS_CFF,1,COLUMN()))-ROW(INDEX(MO_CFS_CFF,1,COLUMN())),0,ROW(INDEX(MO_CFS_CFF,1,COLUMN()))-ROW(INDEX(MO_SubSection_CFS_CFF,1,COLUMN())),1)),6)</f>
        <v>0</v>
      </c>
      <c r="AU468" s="804">
        <f ca="1">ROUND(SUM(O375,P375,Q375,R375)-SUM(OFFSET(INDEX(MO_CFS_CFF,1,COLUMN()),ROW(INDEX(MO_SubSection_CFS_CFF,1,COLUMN()))-ROW(INDEX(MO_CFS_CFF,1,COLUMN())),0,ROW(INDEX(MO_CFS_CFF,1,COLUMN()))-ROW(INDEX(MO_SubSection_CFS_CFF,1,COLUMN())),1)),6)</f>
        <v>0</v>
      </c>
      <c r="AV468" s="804">
        <f ca="1">ROUND(SUM(S375,T375,U375,V375)-SUM(OFFSET(INDEX(MO_CFS_CFF,1,COLUMN()),ROW(INDEX(MO_SubSection_CFS_CFF,1,COLUMN()))-ROW(INDEX(MO_CFS_CFF,1,COLUMN())),0,ROW(INDEX(MO_CFS_CFF,1,COLUMN()))-ROW(INDEX(MO_SubSection_CFS_CFF,1,COLUMN())),1)),6)</f>
        <v>0</v>
      </c>
      <c r="AW468" s="804">
        <f ca="1">ROUND(SUM(W375,X375,Y375,Z375)-SUM(OFFSET(INDEX(MO_CFS_CFF,1,COLUMN()),ROW(INDEX(MO_SubSection_CFS_CFF,1,COLUMN()))-ROW(INDEX(MO_CFS_CFF,1,COLUMN())),0,ROW(INDEX(MO_CFS_CFF,1,COLUMN()))-ROW(INDEX(MO_SubSection_CFS_CFF,1,COLUMN())),1)),6)</f>
        <v>0</v>
      </c>
      <c r="AX468" s="805">
        <f ca="1">ROUND(SUM(AA375,AB375,AC375,AD375)-SUM(OFFSET(INDEX(MO_CFS_CFF,1,COLUMN()),ROW(INDEX(MO_SubSection_CFS_CFF,1,COLUMN()))-ROW(INDEX(MO_CFS_CFF,1,COLUMN())),0,ROW(INDEX(MO_CFS_CFF,1,COLUMN()))-ROW(INDEX(MO_SubSection_CFS_CFF,1,COLUMN())),1)),6)</f>
        <v>0</v>
      </c>
      <c r="AY468" s="806">
        <f ca="1">ROUND(SUM(AE375,AF375,AG375,AH375)-SUM(OFFSET(INDEX(MO_CFS_CFF,1,COLUMN()),ROW(INDEX(MO_SubSection_CFS_CFF,1,COLUMN()))-ROW(INDEX(MO_CFS_CFF,1,COLUMN())),0,ROW(INDEX(MO_CFS_CFF,1,COLUMN()))-ROW(INDEX(MO_SubSection_CFS_CFF,1,COLUMN())),1)),6)</f>
        <v>0</v>
      </c>
      <c r="AZ468" s="806">
        <f ca="1">ROUND(SUM(AI375,AJ375,AK375,AL375)-SUM(OFFSET(INDEX(MO_CFS_CFF,1,COLUMN()),ROW(INDEX(MO_SubSection_CFS_CFF,1,COLUMN()))-ROW(INDEX(MO_CFS_CFF,1,COLUMN())),0,ROW(INDEX(MO_CFS_CFF,1,COLUMN()))-ROW(INDEX(MO_SubSection_CFS_CFF,1,COLUMN())),1)),6)</f>
        <v>0</v>
      </c>
      <c r="BA468" s="806"/>
      <c r="BB468" s="806"/>
      <c r="BC468" s="806"/>
      <c r="BD468" s="631"/>
    </row>
    <row r="469" spans="1:56" s="39" customFormat="1" hidden="1" outlineLevel="1" x14ac:dyDescent="0.25">
      <c r="A469" s="631" t="s">
        <v>266</v>
      </c>
      <c r="B469" s="625"/>
      <c r="C469" s="804"/>
      <c r="D469" s="804"/>
      <c r="E469" s="804"/>
      <c r="F469" s="804"/>
      <c r="G469" s="804"/>
      <c r="H469" s="804"/>
      <c r="I469" s="804"/>
      <c r="J469" s="804"/>
      <c r="K469" s="804"/>
      <c r="L469" s="804"/>
      <c r="M469" s="804"/>
      <c r="N469" s="804"/>
      <c r="O469" s="804"/>
      <c r="P469" s="804"/>
      <c r="Q469" s="804"/>
      <c r="R469" s="804"/>
      <c r="S469" s="804"/>
      <c r="T469" s="804"/>
      <c r="U469" s="804"/>
      <c r="V469" s="804"/>
      <c r="W469" s="804"/>
      <c r="X469" s="804"/>
      <c r="Y469" s="804"/>
      <c r="Z469" s="804"/>
      <c r="AA469" s="804"/>
      <c r="AB469" s="804"/>
      <c r="AC469" s="804"/>
      <c r="AD469" s="804"/>
      <c r="AE469" s="804"/>
      <c r="AF469" s="805"/>
      <c r="AG469" s="806"/>
      <c r="AH469" s="806"/>
      <c r="AI469" s="806"/>
      <c r="AJ469" s="806"/>
      <c r="AK469" s="806"/>
      <c r="AL469" s="806"/>
      <c r="AM469" s="806"/>
      <c r="AN469" s="804"/>
      <c r="AO469" s="804"/>
      <c r="AP469" s="804"/>
      <c r="AQ469" s="804"/>
      <c r="AR469" s="804">
        <f>ROUND(SUM(INDEX(MO_CFSum_Acquisition,0,COLUMN()),INDEX(MO_CFSum_Capex,0,COLUMN()),INDEX(MO_CFSum_Divestiture,0,COLUMN()),INDEX(MO_CFSum_Dividend,0,COLUMN()))-SUM(C212,D212,E212,F212,C213,D213,E213,F213,C214,D214,E214,F214)-SUM(C210,D210,E210,F210),6)</f>
        <v>0</v>
      </c>
      <c r="AS469" s="804">
        <f>ROUND(SUM(INDEX(MO_CFSum_Acquisition,0,COLUMN()),INDEX(MO_CFSum_Capex,0,COLUMN()),INDEX(MO_CFSum_Divestiture,0,COLUMN()),INDEX(MO_CFSum_Dividend,0,COLUMN()))-SUM(G212,H212,I212,J212,G213,H213,I213,J213,G214,H214,I214,J214)-SUM(G210,H210,I210,J210),6)</f>
        <v>0</v>
      </c>
      <c r="AT469" s="804">
        <f>ROUND(SUM(INDEX(MO_CFSum_Acquisition,0,COLUMN()),INDEX(MO_CFSum_Capex,0,COLUMN()),INDEX(MO_CFSum_Divestiture,0,COLUMN()),INDEX(MO_CFSum_Dividend,0,COLUMN()))-SUM(K212,L212,M212,N212,K213,L213,M213,N213,K214,L214,M214,N214)-SUM(K210,L210,M210,N210),6)</f>
        <v>0</v>
      </c>
      <c r="AU469" s="804">
        <f>ROUND(SUM(INDEX(MO_CFSum_Acquisition,0,COLUMN()),INDEX(MO_CFSum_Capex,0,COLUMN()),INDEX(MO_CFSum_Divestiture,0,COLUMN()),INDEX(MO_CFSum_Dividend,0,COLUMN()))-SUM(O212,P212,Q212,R212,O213,P213,Q213,R213,O214,P214,Q214,R214)-SUM(O210,P210,Q210,R210),6)</f>
        <v>0</v>
      </c>
      <c r="AV469" s="804">
        <f>ROUND(SUM(INDEX(MO_CFSum_Acquisition,0,COLUMN()),INDEX(MO_CFSum_Capex,0,COLUMN()),INDEX(MO_CFSum_Divestiture,0,COLUMN()),INDEX(MO_CFSum_Dividend,0,COLUMN()))-SUM(S212,T212,U212,V212,S213,T213,U213,V213,S214,T214,U214,V214)-SUM(S210,T210,U210,V210),6)</f>
        <v>0</v>
      </c>
      <c r="AW469" s="804">
        <f>ROUND(SUM(INDEX(MO_CFSum_Acquisition,0,COLUMN()),INDEX(MO_CFSum_Capex,0,COLUMN()),INDEX(MO_CFSum_Divestiture,0,COLUMN()),INDEX(MO_CFSum_Dividend,0,COLUMN()))-SUM(W212,X212,Y212,Z212,W213,X213,Y213,Z213,W214,X214,Y214,Z214)-SUM(W210,X210,Y210,Z210),6)</f>
        <v>0</v>
      </c>
      <c r="AX469" s="805">
        <f>ROUND(SUM(INDEX(MO_CFSum_Acquisition,0,COLUMN()),INDEX(MO_CFSum_Capex,0,COLUMN()),INDEX(MO_CFSum_Divestiture,0,COLUMN()),INDEX(MO_CFSum_Dividend,0,COLUMN()))-SUM(AA212,AB212,AC212,AD212,AA213,AB213,AC213,AD213,AA214,AB214,AC214,AD214)-SUM(AA210,AB210,AC210,AD210),6)</f>
        <v>0</v>
      </c>
      <c r="AY469" s="806">
        <f ca="1">ROUND(SUM(INDEX(MO_CFSum_Acquisition,0,COLUMN()),INDEX(MO_CFSum_Capex,0,COLUMN()),INDEX(MO_CFSum_Divestiture,0,COLUMN()),INDEX(MO_CFSum_Dividend,0,COLUMN()))-SUM(AE212,AF212,AG212,AH212,AE213,AF213,AG213,AH213,AE214,AF214,AG214,AH214)-SUM(AE210,AF210,AG210,AH210),6)</f>
        <v>0</v>
      </c>
      <c r="AZ469" s="806">
        <f ca="1">ROUND(SUM(INDEX(MO_CFSum_Acquisition,0,COLUMN()),INDEX(MO_CFSum_Capex,0,COLUMN()),INDEX(MO_CFSum_Divestiture,0,COLUMN()),INDEX(MO_CFSum_Dividend,0,COLUMN()))-SUM(AI212,AJ212,AK212,AL212,AI213,AJ213,AK213,AL213,AI214,AJ214,AK214,AL214)-SUM(AI210,AJ210,AK210,AL210),6)</f>
        <v>0</v>
      </c>
      <c r="BA469" s="806"/>
      <c r="BB469" s="806"/>
      <c r="BC469" s="806"/>
      <c r="BD469" s="631"/>
    </row>
    <row r="470" spans="1:56" s="39" customFormat="1" x14ac:dyDescent="0.25">
      <c r="A470" s="631"/>
      <c r="B470" s="625"/>
      <c r="C470" s="710"/>
      <c r="D470" s="710"/>
      <c r="E470" s="710"/>
      <c r="F470" s="710"/>
      <c r="G470" s="710"/>
      <c r="H470" s="710"/>
      <c r="I470" s="710"/>
      <c r="J470" s="710"/>
      <c r="K470" s="710"/>
      <c r="L470" s="710"/>
      <c r="M470" s="710"/>
      <c r="N470" s="710"/>
      <c r="O470" s="710"/>
      <c r="P470" s="710"/>
      <c r="Q470" s="724"/>
      <c r="R470" s="710"/>
      <c r="S470" s="710"/>
      <c r="T470" s="710"/>
      <c r="U470" s="724"/>
      <c r="V470" s="723"/>
      <c r="W470" s="710"/>
      <c r="X470" s="710"/>
      <c r="Y470" s="724"/>
      <c r="Z470" s="723"/>
      <c r="AA470" s="710"/>
      <c r="AB470" s="710"/>
      <c r="AC470" s="724"/>
      <c r="AD470" s="723"/>
      <c r="AE470" s="710"/>
      <c r="AF470" s="803"/>
      <c r="AG470" s="737"/>
      <c r="AH470" s="737"/>
      <c r="AI470" s="737"/>
      <c r="AJ470" s="737"/>
      <c r="AK470" s="737"/>
      <c r="AL470" s="737"/>
      <c r="AM470" s="737"/>
      <c r="AN470" s="710"/>
      <c r="AO470" s="710"/>
      <c r="AP470" s="710"/>
      <c r="AQ470" s="710"/>
      <c r="AR470" s="710"/>
      <c r="AS470" s="710"/>
      <c r="AT470" s="710"/>
      <c r="AU470" s="710"/>
      <c r="AV470" s="723"/>
      <c r="AW470" s="723"/>
      <c r="AX470" s="727"/>
      <c r="AY470" s="737"/>
      <c r="AZ470" s="737"/>
      <c r="BA470" s="737"/>
      <c r="BB470" s="737"/>
      <c r="BC470" s="737"/>
      <c r="BD470" s="631"/>
    </row>
    <row r="471" spans="1:56" s="38" customFormat="1" x14ac:dyDescent="0.25">
      <c r="A471" s="637" t="s">
        <v>267</v>
      </c>
      <c r="B471" s="637"/>
      <c r="C471" s="636"/>
      <c r="D471" s="636"/>
      <c r="E471" s="636"/>
      <c r="F471" s="636"/>
      <c r="G471" s="636"/>
      <c r="H471" s="636"/>
      <c r="I471" s="636"/>
      <c r="J471" s="636"/>
      <c r="K471" s="636"/>
      <c r="L471" s="636"/>
      <c r="M471" s="636"/>
      <c r="N471" s="636"/>
      <c r="O471" s="636"/>
      <c r="P471" s="636"/>
      <c r="Q471" s="636"/>
      <c r="R471" s="636"/>
      <c r="S471" s="636"/>
      <c r="T471" s="636"/>
      <c r="U471" s="636"/>
      <c r="V471" s="636"/>
      <c r="W471" s="636"/>
      <c r="X471" s="636"/>
      <c r="Y471" s="636"/>
      <c r="Z471" s="636"/>
      <c r="AA471" s="636"/>
      <c r="AB471" s="636"/>
      <c r="AC471" s="636"/>
      <c r="AD471" s="636"/>
      <c r="AE471" s="636"/>
      <c r="AF471" s="800"/>
      <c r="AG471" s="637"/>
      <c r="AH471" s="637"/>
      <c r="AI471" s="637"/>
      <c r="AJ471" s="637"/>
      <c r="AK471" s="637"/>
      <c r="AL471" s="637"/>
      <c r="AM471" s="637"/>
      <c r="AN471" s="636"/>
      <c r="AO471" s="636"/>
      <c r="AP471" s="636"/>
      <c r="AQ471" s="636"/>
      <c r="AR471" s="636"/>
      <c r="AS471" s="636"/>
      <c r="AT471" s="636"/>
      <c r="AU471" s="636"/>
      <c r="AV471" s="636"/>
      <c r="AW471" s="636"/>
      <c r="AX471" s="636"/>
      <c r="AY471" s="637"/>
      <c r="AZ471" s="637"/>
      <c r="BA471" s="637"/>
      <c r="BB471" s="637"/>
      <c r="BC471" s="637"/>
      <c r="BD471" s="632"/>
    </row>
    <row r="472" spans="1:56" s="39" customFormat="1" x14ac:dyDescent="0.25">
      <c r="A472" s="181"/>
      <c r="B472" s="631"/>
      <c r="C472" s="627"/>
      <c r="D472" s="627"/>
      <c r="E472" s="627"/>
      <c r="F472" s="627"/>
      <c r="G472" s="627"/>
      <c r="H472" s="627"/>
      <c r="I472" s="627"/>
      <c r="J472" s="627"/>
      <c r="K472" s="627"/>
      <c r="L472" s="627"/>
      <c r="M472" s="627"/>
      <c r="N472" s="627"/>
      <c r="O472" s="627"/>
      <c r="P472" s="627"/>
      <c r="Q472" s="628"/>
      <c r="R472" s="627"/>
      <c r="S472" s="627"/>
      <c r="T472" s="627"/>
      <c r="U472" s="627"/>
      <c r="V472" s="627"/>
      <c r="W472" s="627"/>
      <c r="X472" s="627"/>
      <c r="Y472" s="627"/>
      <c r="Z472" s="627"/>
      <c r="AA472" s="627"/>
      <c r="AB472" s="627"/>
      <c r="AC472" s="627"/>
      <c r="AD472" s="627"/>
      <c r="AE472" s="627"/>
      <c r="AF472" s="723"/>
      <c r="AG472" s="631"/>
      <c r="AH472" s="631"/>
      <c r="AI472" s="631"/>
      <c r="AJ472" s="631"/>
      <c r="AK472" s="631"/>
      <c r="AL472" s="631"/>
      <c r="AM472" s="631"/>
      <c r="AN472" s="494"/>
      <c r="AO472" s="494"/>
      <c r="AP472" s="627"/>
      <c r="AQ472" s="627"/>
      <c r="AR472" s="627"/>
      <c r="AS472" s="627"/>
      <c r="AT472" s="627"/>
      <c r="AU472" s="627"/>
      <c r="AV472" s="627"/>
      <c r="AW472" s="627"/>
      <c r="AX472" s="627"/>
      <c r="AY472" s="631"/>
      <c r="AZ472" s="631"/>
      <c r="BA472" s="631"/>
      <c r="BB472" s="631"/>
      <c r="BC472" s="631"/>
      <c r="BD472" s="631"/>
    </row>
    <row r="473" spans="1:56" s="54" customFormat="1" x14ac:dyDescent="0.25">
      <c r="A473" s="553" t="s">
        <v>268</v>
      </c>
      <c r="B473" s="194"/>
      <c r="C473" s="449"/>
      <c r="D473" s="449"/>
      <c r="E473" s="449"/>
      <c r="F473" s="449"/>
      <c r="G473" s="449"/>
      <c r="H473" s="449"/>
      <c r="I473" s="449"/>
      <c r="J473" s="449"/>
      <c r="K473" s="449"/>
      <c r="L473" s="449"/>
      <c r="M473" s="449"/>
      <c r="N473" s="449"/>
      <c r="O473" s="449"/>
      <c r="P473" s="449"/>
      <c r="Q473" s="496"/>
      <c r="R473" s="449"/>
      <c r="S473" s="449"/>
      <c r="T473" s="449"/>
      <c r="U473" s="449"/>
      <c r="V473" s="449"/>
      <c r="W473" s="449"/>
      <c r="X473" s="449"/>
      <c r="Y473" s="449"/>
      <c r="Z473" s="449"/>
      <c r="AA473" s="449"/>
      <c r="AB473" s="449"/>
      <c r="AC473" s="449"/>
      <c r="AD473" s="449"/>
      <c r="AE473" s="449"/>
      <c r="AF473" s="449"/>
      <c r="AG473" s="194"/>
      <c r="AH473" s="194"/>
      <c r="AI473" s="194"/>
      <c r="AJ473" s="194"/>
      <c r="AK473" s="194"/>
      <c r="AL473" s="194"/>
      <c r="AM473" s="194"/>
      <c r="AN473" s="495"/>
      <c r="AO473" s="495"/>
      <c r="AP473" s="449"/>
      <c r="AQ473" s="449"/>
      <c r="AR473" s="449"/>
      <c r="AS473" s="449"/>
      <c r="AT473" s="449"/>
      <c r="AU473" s="449"/>
      <c r="AV473" s="449"/>
      <c r="AW473" s="449"/>
      <c r="AX473" s="449"/>
      <c r="AY473" s="194"/>
      <c r="AZ473" s="194"/>
      <c r="BA473" s="194"/>
      <c r="BB473" s="194"/>
      <c r="BC473" s="194"/>
      <c r="BD473" s="194"/>
    </row>
    <row r="474" spans="1:56" s="55" customFormat="1" x14ac:dyDescent="0.25">
      <c r="A474" s="554" t="s">
        <v>269</v>
      </c>
      <c r="B474" s="195"/>
      <c r="C474" s="450"/>
      <c r="D474" s="450"/>
      <c r="E474" s="450"/>
      <c r="F474" s="450"/>
      <c r="G474" s="450"/>
      <c r="H474" s="450"/>
      <c r="I474" s="450"/>
      <c r="J474" s="450"/>
      <c r="K474" s="450"/>
      <c r="L474" s="450"/>
      <c r="M474" s="450"/>
      <c r="N474" s="450"/>
      <c r="O474" s="450"/>
      <c r="P474" s="450"/>
      <c r="Q474" s="498"/>
      <c r="R474" s="450"/>
      <c r="S474" s="450"/>
      <c r="T474" s="450"/>
      <c r="U474" s="450"/>
      <c r="V474" s="450"/>
      <c r="W474" s="450"/>
      <c r="X474" s="450"/>
      <c r="Y474" s="450"/>
      <c r="Z474" s="450"/>
      <c r="AA474" s="450"/>
      <c r="AB474" s="450"/>
      <c r="AC474" s="450"/>
      <c r="AD474" s="450"/>
      <c r="AE474" s="450"/>
      <c r="AF474" s="450"/>
      <c r="AG474" s="195"/>
      <c r="AH474" s="195"/>
      <c r="AI474" s="195"/>
      <c r="AJ474" s="195"/>
      <c r="AK474" s="195"/>
      <c r="AL474" s="195"/>
      <c r="AM474" s="195"/>
      <c r="AN474" s="497"/>
      <c r="AO474" s="497"/>
      <c r="AP474" s="450"/>
      <c r="AQ474" s="450"/>
      <c r="AR474" s="450"/>
      <c r="AS474" s="450"/>
      <c r="AT474" s="450"/>
      <c r="AU474" s="450"/>
      <c r="AV474" s="450"/>
      <c r="AW474" s="450"/>
      <c r="AX474" s="450"/>
      <c r="AY474" s="195"/>
      <c r="AZ474" s="195"/>
      <c r="BA474" s="195"/>
      <c r="BB474" s="195"/>
      <c r="BC474" s="195"/>
      <c r="BD474" s="195"/>
    </row>
    <row r="475" spans="1:56" s="55" customFormat="1" x14ac:dyDescent="0.25">
      <c r="A475" s="555" t="s">
        <v>270</v>
      </c>
      <c r="B475" s="195"/>
      <c r="C475" s="450"/>
      <c r="D475" s="450"/>
      <c r="E475" s="450"/>
      <c r="F475" s="450"/>
      <c r="G475" s="450"/>
      <c r="H475" s="450"/>
      <c r="I475" s="450"/>
      <c r="J475" s="450"/>
      <c r="K475" s="450"/>
      <c r="L475" s="450"/>
      <c r="M475" s="450"/>
      <c r="N475" s="450"/>
      <c r="O475" s="450"/>
      <c r="P475" s="450"/>
      <c r="Q475" s="498"/>
      <c r="R475" s="450"/>
      <c r="S475" s="450"/>
      <c r="T475" s="450"/>
      <c r="U475" s="450"/>
      <c r="V475" s="450"/>
      <c r="W475" s="450"/>
      <c r="X475" s="450"/>
      <c r="Y475" s="450"/>
      <c r="Z475" s="450"/>
      <c r="AA475" s="450"/>
      <c r="AB475" s="450"/>
      <c r="AC475" s="450"/>
      <c r="AD475" s="450"/>
      <c r="AE475" s="450"/>
      <c r="AF475" s="450"/>
      <c r="AG475" s="195"/>
      <c r="AH475" s="195"/>
      <c r="AI475" s="195"/>
      <c r="AJ475" s="195"/>
      <c r="AK475" s="195"/>
      <c r="AL475" s="195"/>
      <c r="AM475" s="195"/>
      <c r="AN475" s="497"/>
      <c r="AO475" s="497"/>
      <c r="AP475" s="450"/>
      <c r="AQ475" s="450"/>
      <c r="AR475" s="450"/>
      <c r="AS475" s="450"/>
      <c r="AT475" s="450"/>
      <c r="AU475" s="450"/>
      <c r="AV475" s="450"/>
      <c r="AW475" s="450"/>
      <c r="AX475" s="450"/>
      <c r="AY475" s="195"/>
      <c r="AZ475" s="195"/>
      <c r="BA475" s="195"/>
      <c r="BB475" s="195"/>
      <c r="BC475" s="195"/>
      <c r="BD475" s="195"/>
    </row>
    <row r="476" spans="1:56" s="55" customFormat="1" x14ac:dyDescent="0.25">
      <c r="A476" s="556" t="s">
        <v>271</v>
      </c>
      <c r="B476" s="195"/>
      <c r="C476" s="450"/>
      <c r="D476" s="450"/>
      <c r="E476" s="450"/>
      <c r="F476" s="450"/>
      <c r="G476" s="450"/>
      <c r="H476" s="450"/>
      <c r="I476" s="450"/>
      <c r="J476" s="450"/>
      <c r="K476" s="450"/>
      <c r="L476" s="450"/>
      <c r="M476" s="450"/>
      <c r="N476" s="450"/>
      <c r="O476" s="450"/>
      <c r="P476" s="450"/>
      <c r="Q476" s="498"/>
      <c r="R476" s="450"/>
      <c r="S476" s="450"/>
      <c r="T476" s="450"/>
      <c r="U476" s="450"/>
      <c r="V476" s="450"/>
      <c r="W476" s="450"/>
      <c r="X476" s="450"/>
      <c r="Y476" s="450"/>
      <c r="Z476" s="450"/>
      <c r="AA476" s="450"/>
      <c r="AB476" s="450"/>
      <c r="AC476" s="450"/>
      <c r="AD476" s="450"/>
      <c r="AE476" s="450"/>
      <c r="AF476" s="450"/>
      <c r="AG476" s="195"/>
      <c r="AH476" s="195"/>
      <c r="AI476" s="195"/>
      <c r="AJ476" s="195"/>
      <c r="AK476" s="195"/>
      <c r="AL476" s="195"/>
      <c r="AM476" s="195"/>
      <c r="AN476" s="497"/>
      <c r="AO476" s="497"/>
      <c r="AP476" s="450"/>
      <c r="AQ476" s="450"/>
      <c r="AR476" s="450"/>
      <c r="AS476" s="450"/>
      <c r="AT476" s="450"/>
      <c r="AU476" s="450"/>
      <c r="AV476" s="450"/>
      <c r="AW476" s="450"/>
      <c r="AX476" s="450"/>
      <c r="AY476" s="195"/>
      <c r="AZ476" s="195"/>
      <c r="BA476" s="195"/>
      <c r="BB476" s="195"/>
      <c r="BC476" s="195"/>
      <c r="BD476" s="195"/>
    </row>
    <row r="477" spans="1:56" s="55" customFormat="1" x14ac:dyDescent="0.25">
      <c r="A477" s="557" t="s">
        <v>272</v>
      </c>
      <c r="B477" s="195"/>
      <c r="C477" s="450"/>
      <c r="D477" s="450"/>
      <c r="E477" s="450"/>
      <c r="F477" s="450"/>
      <c r="G477" s="450"/>
      <c r="H477" s="450"/>
      <c r="I477" s="450"/>
      <c r="J477" s="450"/>
      <c r="K477" s="450"/>
      <c r="L477" s="450"/>
      <c r="M477" s="450"/>
      <c r="N477" s="450"/>
      <c r="O477" s="450"/>
      <c r="P477" s="450"/>
      <c r="Q477" s="498"/>
      <c r="R477" s="450"/>
      <c r="S477" s="450"/>
      <c r="T477" s="450"/>
      <c r="U477" s="450"/>
      <c r="V477" s="450"/>
      <c r="W477" s="450"/>
      <c r="X477" s="450"/>
      <c r="Y477" s="450"/>
      <c r="Z477" s="450"/>
      <c r="AA477" s="450"/>
      <c r="AB477" s="450"/>
      <c r="AC477" s="450"/>
      <c r="AD477" s="450"/>
      <c r="AE477" s="450"/>
      <c r="AF477" s="450"/>
      <c r="AG477" s="195"/>
      <c r="AH477" s="195"/>
      <c r="AI477" s="195"/>
      <c r="AJ477" s="195"/>
      <c r="AK477" s="195"/>
      <c r="AL477" s="195"/>
      <c r="AM477" s="195"/>
      <c r="AN477" s="497"/>
      <c r="AO477" s="497"/>
      <c r="AP477" s="450"/>
      <c r="AQ477" s="450"/>
      <c r="AR477" s="450"/>
      <c r="AS477" s="450"/>
      <c r="AT477" s="450"/>
      <c r="AU477" s="450"/>
      <c r="AV477" s="450"/>
      <c r="AW477" s="450"/>
      <c r="AX477" s="450"/>
      <c r="AY477" s="195"/>
      <c r="AZ477" s="195"/>
      <c r="BA477" s="195"/>
      <c r="BB477" s="195"/>
      <c r="BC477" s="195"/>
      <c r="BD477" s="195"/>
    </row>
    <row r="478" spans="1:56" s="55" customFormat="1" x14ac:dyDescent="0.25">
      <c r="A478" s="181"/>
      <c r="B478" s="195"/>
      <c r="C478" s="450"/>
      <c r="D478" s="450"/>
      <c r="E478" s="450"/>
      <c r="F478" s="450"/>
      <c r="G478" s="450"/>
      <c r="H478" s="450"/>
      <c r="I478" s="450"/>
      <c r="J478" s="450"/>
      <c r="K478" s="450"/>
      <c r="L478" s="450"/>
      <c r="M478" s="450"/>
      <c r="N478" s="450"/>
      <c r="O478" s="450"/>
      <c r="P478" s="450"/>
      <c r="Q478" s="498"/>
      <c r="R478" s="450"/>
      <c r="S478" s="450"/>
      <c r="T478" s="450"/>
      <c r="U478" s="450"/>
      <c r="V478" s="450"/>
      <c r="W478" s="450"/>
      <c r="X478" s="450"/>
      <c r="Y478" s="450"/>
      <c r="Z478" s="450"/>
      <c r="AA478" s="450"/>
      <c r="AB478" s="450"/>
      <c r="AC478" s="450"/>
      <c r="AD478" s="450"/>
      <c r="AE478" s="450"/>
      <c r="AF478" s="450"/>
      <c r="AG478" s="195"/>
      <c r="AH478" s="195"/>
      <c r="AI478" s="195"/>
      <c r="AJ478" s="195"/>
      <c r="AK478" s="195"/>
      <c r="AL478" s="195"/>
      <c r="AM478" s="195"/>
      <c r="AN478" s="497"/>
      <c r="AO478" s="497"/>
      <c r="AP478" s="450"/>
      <c r="AQ478" s="450"/>
      <c r="AR478" s="450"/>
      <c r="AS478" s="450"/>
      <c r="AT478" s="450"/>
      <c r="AU478" s="450"/>
      <c r="AV478" s="450"/>
      <c r="AW478" s="450"/>
      <c r="AX478" s="450"/>
      <c r="AY478" s="195"/>
      <c r="AZ478" s="195"/>
      <c r="BA478" s="195"/>
      <c r="BB478" s="195"/>
      <c r="BC478" s="195"/>
      <c r="BD478" s="195"/>
    </row>
    <row r="479" spans="1:56" s="26" customFormat="1" x14ac:dyDescent="0.25">
      <c r="A479" s="558" t="s">
        <v>273</v>
      </c>
      <c r="B479" s="675"/>
      <c r="C479" s="451"/>
      <c r="D479" s="451"/>
      <c r="E479" s="451"/>
      <c r="F479" s="451"/>
      <c r="G479" s="451"/>
      <c r="H479" s="451"/>
      <c r="I479" s="451"/>
      <c r="J479" s="451"/>
      <c r="K479" s="451"/>
      <c r="L479" s="451"/>
      <c r="M479" s="451"/>
      <c r="N479" s="451"/>
      <c r="O479" s="451"/>
      <c r="P479" s="451"/>
      <c r="Q479" s="499"/>
      <c r="R479" s="451"/>
      <c r="S479" s="451"/>
      <c r="T479" s="451"/>
      <c r="U479" s="451"/>
      <c r="V479" s="451"/>
      <c r="W479" s="451"/>
      <c r="X479" s="451"/>
      <c r="Y479" s="451"/>
      <c r="Z479" s="451"/>
      <c r="AA479" s="451"/>
      <c r="AB479" s="451"/>
      <c r="AC479" s="451"/>
      <c r="AD479" s="451"/>
      <c r="AE479" s="451"/>
      <c r="AF479" s="451"/>
      <c r="AG479" s="128"/>
      <c r="AH479" s="128"/>
      <c r="AI479" s="128"/>
      <c r="AJ479" s="128"/>
      <c r="AK479" s="128"/>
      <c r="AL479" s="128"/>
      <c r="AM479" s="128"/>
      <c r="AN479" s="451"/>
      <c r="AO479" s="451"/>
      <c r="AP479" s="451"/>
      <c r="AQ479" s="451"/>
      <c r="AR479" s="451"/>
      <c r="AS479" s="451"/>
      <c r="AT479" s="451"/>
      <c r="AU479" s="451"/>
      <c r="AV479" s="451"/>
      <c r="AW479" s="451"/>
      <c r="AX479" s="451"/>
      <c r="AY479" s="128"/>
      <c r="AZ479" s="128"/>
      <c r="BA479" s="128"/>
      <c r="BB479" s="128"/>
      <c r="BC479" s="128"/>
      <c r="BD479" s="128"/>
    </row>
    <row r="480" spans="1:56" s="55" customFormat="1" x14ac:dyDescent="0.25">
      <c r="A480" s="550" t="s">
        <v>274</v>
      </c>
      <c r="B480" s="676">
        <v>1</v>
      </c>
      <c r="C480" s="450"/>
      <c r="D480" s="450"/>
      <c r="E480" s="450"/>
      <c r="F480" s="450"/>
      <c r="G480" s="450"/>
      <c r="H480" s="450"/>
      <c r="I480" s="450"/>
      <c r="J480" s="450"/>
      <c r="K480" s="450"/>
      <c r="L480" s="450"/>
      <c r="M480" s="450"/>
      <c r="N480" s="450"/>
      <c r="O480" s="450"/>
      <c r="P480" s="450"/>
      <c r="Q480" s="498"/>
      <c r="R480" s="450"/>
      <c r="S480" s="450"/>
      <c r="T480" s="450"/>
      <c r="U480" s="450"/>
      <c r="V480" s="450"/>
      <c r="W480" s="450"/>
      <c r="X480" s="450"/>
      <c r="Y480" s="450"/>
      <c r="Z480" s="450"/>
      <c r="AA480" s="450"/>
      <c r="AB480" s="450"/>
      <c r="AC480" s="450"/>
      <c r="AD480" s="450"/>
      <c r="AE480" s="450"/>
      <c r="AF480" s="450"/>
      <c r="AG480" s="195"/>
      <c r="AH480" s="195"/>
      <c r="AI480" s="195"/>
      <c r="AJ480" s="195"/>
      <c r="AK480" s="195"/>
      <c r="AL480" s="195"/>
      <c r="AM480" s="195"/>
      <c r="AN480" s="450"/>
      <c r="AO480" s="497"/>
      <c r="AP480" s="450"/>
      <c r="AQ480" s="450"/>
      <c r="AR480" s="450"/>
      <c r="AS480" s="450"/>
      <c r="AT480" s="450"/>
      <c r="AU480" s="450"/>
      <c r="AV480" s="450"/>
      <c r="AW480" s="450"/>
      <c r="AX480" s="450"/>
      <c r="AY480" s="195"/>
      <c r="AZ480" s="195"/>
      <c r="BA480" s="195"/>
      <c r="BB480" s="195"/>
      <c r="BC480" s="195"/>
      <c r="BD480" s="195"/>
    </row>
    <row r="481" spans="1:56" s="55" customFormat="1" x14ac:dyDescent="0.25">
      <c r="A481" s="550" t="s">
        <v>275</v>
      </c>
      <c r="B481" s="676">
        <v>2</v>
      </c>
      <c r="C481" s="450"/>
      <c r="D481" s="450"/>
      <c r="E481" s="450"/>
      <c r="F481" s="450"/>
      <c r="G481" s="450"/>
      <c r="H481" s="450"/>
      <c r="I481" s="450"/>
      <c r="J481" s="450"/>
      <c r="K481" s="450"/>
      <c r="L481" s="450"/>
      <c r="M481" s="450"/>
      <c r="N481" s="450"/>
      <c r="O481" s="450"/>
      <c r="P481" s="450"/>
      <c r="Q481" s="498"/>
      <c r="R481" s="450"/>
      <c r="S481" s="450"/>
      <c r="T481" s="450"/>
      <c r="U481" s="450"/>
      <c r="V481" s="450"/>
      <c r="W481" s="450"/>
      <c r="X481" s="450"/>
      <c r="Y481" s="450"/>
      <c r="Z481" s="450"/>
      <c r="AA481" s="450"/>
      <c r="AB481" s="450"/>
      <c r="AC481" s="450"/>
      <c r="AD481" s="450"/>
      <c r="AE481" s="450"/>
      <c r="AF481" s="450"/>
      <c r="AG481" s="195"/>
      <c r="AH481" s="195"/>
      <c r="AI481" s="195"/>
      <c r="AJ481" s="195"/>
      <c r="AK481" s="195"/>
      <c r="AL481" s="195"/>
      <c r="AM481" s="195"/>
      <c r="AN481" s="450"/>
      <c r="AO481" s="497"/>
      <c r="AP481" s="450"/>
      <c r="AQ481" s="450"/>
      <c r="AR481" s="450"/>
      <c r="AS481" s="450"/>
      <c r="AT481" s="450"/>
      <c r="AU481" s="450"/>
      <c r="AV481" s="450"/>
      <c r="AW481" s="450"/>
      <c r="AX481" s="450"/>
      <c r="AY481" s="195"/>
      <c r="AZ481" s="195"/>
      <c r="BA481" s="195"/>
      <c r="BB481" s="195"/>
      <c r="BC481" s="195"/>
      <c r="BD481" s="195"/>
    </row>
    <row r="482" spans="1:56" s="55" customFormat="1" x14ac:dyDescent="0.25">
      <c r="A482" s="559" t="s">
        <v>147</v>
      </c>
      <c r="B482" s="677">
        <v>3</v>
      </c>
      <c r="C482" s="450"/>
      <c r="D482" s="450"/>
      <c r="E482" s="450"/>
      <c r="F482" s="450"/>
      <c r="G482" s="450"/>
      <c r="H482" s="450"/>
      <c r="I482" s="450"/>
      <c r="J482" s="450"/>
      <c r="K482" s="450"/>
      <c r="L482" s="450"/>
      <c r="M482" s="450"/>
      <c r="N482" s="450"/>
      <c r="O482" s="450"/>
      <c r="P482" s="450"/>
      <c r="Q482" s="498"/>
      <c r="R482" s="450"/>
      <c r="S482" s="450"/>
      <c r="T482" s="450"/>
      <c r="U482" s="450"/>
      <c r="V482" s="450"/>
      <c r="W482" s="450"/>
      <c r="X482" s="450"/>
      <c r="Y482" s="450"/>
      <c r="Z482" s="450"/>
      <c r="AA482" s="450"/>
      <c r="AB482" s="450"/>
      <c r="AC482" s="450"/>
      <c r="AD482" s="450"/>
      <c r="AE482" s="450"/>
      <c r="AF482" s="450"/>
      <c r="AG482" s="195"/>
      <c r="AH482" s="195"/>
      <c r="AI482" s="195"/>
      <c r="AJ482" s="195"/>
      <c r="AK482" s="195"/>
      <c r="AL482" s="195"/>
      <c r="AM482" s="195"/>
      <c r="AN482" s="450"/>
      <c r="AO482" s="497"/>
      <c r="AP482" s="450"/>
      <c r="AQ482" s="450"/>
      <c r="AR482" s="450"/>
      <c r="AS482" s="450"/>
      <c r="AT482" s="450"/>
      <c r="AU482" s="450"/>
      <c r="AV482" s="450"/>
      <c r="AW482" s="450"/>
      <c r="AX482" s="450"/>
      <c r="AY482" s="195"/>
      <c r="AZ482" s="195"/>
      <c r="BA482" s="195"/>
      <c r="BB482" s="195"/>
      <c r="BC482" s="195"/>
      <c r="BD482" s="195"/>
    </row>
    <row r="483" spans="1:56" s="55" customFormat="1" x14ac:dyDescent="0.25">
      <c r="A483" s="612"/>
      <c r="B483" s="450"/>
      <c r="C483" s="450"/>
      <c r="D483" s="450"/>
      <c r="E483" s="450"/>
      <c r="F483" s="450"/>
      <c r="G483" s="450"/>
      <c r="H483" s="450"/>
      <c r="I483" s="450"/>
      <c r="J483" s="450"/>
      <c r="K483" s="450"/>
      <c r="L483" s="450"/>
      <c r="M483" s="450"/>
      <c r="N483" s="450"/>
      <c r="O483" s="450"/>
      <c r="P483" s="450"/>
      <c r="Q483" s="498"/>
      <c r="R483" s="450"/>
      <c r="S483" s="450"/>
      <c r="T483" s="450"/>
      <c r="U483" s="450"/>
      <c r="V483" s="450"/>
      <c r="W483" s="450"/>
      <c r="X483" s="450"/>
      <c r="Y483" s="450"/>
      <c r="Z483" s="450"/>
      <c r="AA483" s="450"/>
      <c r="AB483" s="450"/>
      <c r="AC483" s="450"/>
      <c r="AD483" s="450"/>
      <c r="AE483" s="450"/>
      <c r="AF483" s="450"/>
      <c r="AG483" s="450"/>
      <c r="AH483" s="450"/>
      <c r="AI483" s="450"/>
      <c r="AJ483" s="450"/>
      <c r="AK483" s="450"/>
      <c r="AL483" s="450"/>
      <c r="AM483" s="450"/>
      <c r="AN483" s="497"/>
      <c r="AO483" s="497"/>
      <c r="AP483" s="450"/>
      <c r="AQ483" s="450"/>
      <c r="AR483" s="450"/>
      <c r="AS483" s="450"/>
      <c r="AT483" s="450"/>
      <c r="AU483" s="450"/>
      <c r="AV483" s="450"/>
      <c r="AW483" s="450"/>
      <c r="AX483" s="450"/>
      <c r="AY483" s="450"/>
      <c r="AZ483" s="450"/>
      <c r="BA483" s="450"/>
      <c r="BB483" s="450"/>
      <c r="BC483" s="450"/>
      <c r="BD483" s="450"/>
    </row>
    <row r="484" spans="1:56" s="55" customFormat="1" x14ac:dyDescent="0.25">
      <c r="A484" s="613" t="s">
        <v>467</v>
      </c>
      <c r="B484" s="450"/>
      <c r="C484" s="450"/>
      <c r="D484" s="450"/>
      <c r="E484" s="450"/>
      <c r="F484" s="450"/>
      <c r="G484" s="450"/>
      <c r="H484" s="450"/>
      <c r="I484" s="450"/>
      <c r="J484" s="450"/>
      <c r="K484" s="450"/>
      <c r="L484" s="450"/>
      <c r="M484" s="450"/>
      <c r="N484" s="450"/>
      <c r="O484" s="450"/>
      <c r="P484" s="450"/>
      <c r="Q484" s="498"/>
      <c r="R484" s="450"/>
      <c r="S484" s="450"/>
      <c r="T484" s="450"/>
      <c r="U484" s="450"/>
      <c r="V484" s="450"/>
      <c r="W484" s="450"/>
      <c r="X484" s="450"/>
      <c r="Y484" s="450"/>
      <c r="Z484" s="450"/>
      <c r="AA484" s="450"/>
      <c r="AB484" s="450"/>
      <c r="AC484" s="450"/>
      <c r="AD484" s="450"/>
      <c r="AE484" s="450"/>
      <c r="AF484" s="450"/>
      <c r="AG484" s="450"/>
      <c r="AH484" s="450"/>
      <c r="AI484" s="450"/>
      <c r="AJ484" s="450"/>
      <c r="AK484" s="450"/>
      <c r="AL484" s="450"/>
      <c r="AM484" s="450"/>
      <c r="AN484" s="497"/>
      <c r="AO484" s="497"/>
      <c r="AP484" s="450"/>
      <c r="AQ484" s="450"/>
      <c r="AR484" s="450"/>
      <c r="AS484" s="450"/>
      <c r="AT484" s="450"/>
      <c r="AU484" s="450"/>
      <c r="AV484" s="450"/>
      <c r="AW484" s="450"/>
      <c r="AX484" s="450"/>
      <c r="AY484" s="450"/>
      <c r="AZ484" s="450"/>
      <c r="BA484" s="450"/>
      <c r="BB484" s="450"/>
      <c r="BC484" s="450"/>
      <c r="BD484" s="450"/>
    </row>
    <row r="485" spans="1:56" s="55" customFormat="1" x14ac:dyDescent="0.25">
      <c r="A485" s="614" t="str">
        <f>MO_RIS_REV</f>
        <v>Net Revenue</v>
      </c>
      <c r="B485" s="450"/>
      <c r="C485" s="450"/>
      <c r="D485" s="450"/>
      <c r="E485" s="450"/>
      <c r="F485" s="450"/>
      <c r="G485" s="450"/>
      <c r="H485" s="450"/>
      <c r="I485" s="450"/>
      <c r="J485" s="450"/>
      <c r="K485" s="450"/>
      <c r="L485" s="450"/>
      <c r="M485" s="450"/>
      <c r="N485" s="450"/>
      <c r="O485" s="450"/>
      <c r="P485" s="450"/>
      <c r="Q485" s="498"/>
      <c r="R485" s="450"/>
      <c r="S485" s="450"/>
      <c r="T485" s="450"/>
      <c r="U485" s="450"/>
      <c r="V485" s="450"/>
      <c r="W485" s="450"/>
      <c r="X485" s="450"/>
      <c r="Y485" s="450"/>
      <c r="Z485" s="450"/>
      <c r="AA485" s="450"/>
      <c r="AB485" s="450"/>
      <c r="AC485" s="450"/>
      <c r="AD485" s="450"/>
      <c r="AE485" s="450"/>
      <c r="AF485" s="450"/>
      <c r="AG485" s="450"/>
      <c r="AH485" s="450"/>
      <c r="AI485" s="450"/>
      <c r="AJ485" s="450"/>
      <c r="AK485" s="450"/>
      <c r="AL485" s="450"/>
      <c r="AM485" s="450"/>
      <c r="AN485" s="497"/>
      <c r="AO485" s="497"/>
      <c r="AP485" s="450"/>
      <c r="AQ485" s="450"/>
      <c r="AR485" s="450"/>
      <c r="AS485" s="450"/>
      <c r="AT485" s="450"/>
      <c r="AU485" s="450"/>
      <c r="AV485" s="450"/>
      <c r="AW485" s="450"/>
      <c r="AX485" s="450"/>
      <c r="AY485" s="450"/>
      <c r="AZ485" s="450"/>
      <c r="BA485" s="450"/>
      <c r="BB485" s="450"/>
      <c r="BC485" s="450"/>
      <c r="BD485" s="450"/>
    </row>
    <row r="486" spans="1:56" s="55" customFormat="1" x14ac:dyDescent="0.25">
      <c r="A486" s="614" t="str">
        <f>MO_RIS_EBITDA_Adj</f>
        <v>Adjusted EBITDA</v>
      </c>
      <c r="B486" s="450"/>
      <c r="C486" s="450"/>
      <c r="D486" s="450"/>
      <c r="E486" s="450"/>
      <c r="F486" s="450"/>
      <c r="G486" s="450"/>
      <c r="H486" s="450"/>
      <c r="I486" s="450"/>
      <c r="J486" s="450"/>
      <c r="K486" s="450"/>
      <c r="L486" s="450"/>
      <c r="M486" s="450"/>
      <c r="N486" s="450"/>
      <c r="O486" s="450"/>
      <c r="P486" s="450"/>
      <c r="Q486" s="498"/>
      <c r="R486" s="450"/>
      <c r="S486" s="450"/>
      <c r="T486" s="450"/>
      <c r="U486" s="450"/>
      <c r="V486" s="450"/>
      <c r="W486" s="450"/>
      <c r="X486" s="450"/>
      <c r="Y486" s="450"/>
      <c r="Z486" s="450"/>
      <c r="AA486" s="450"/>
      <c r="AB486" s="450"/>
      <c r="AC486" s="450"/>
      <c r="AD486" s="450"/>
      <c r="AE486" s="450"/>
      <c r="AF486" s="450"/>
      <c r="AG486" s="450"/>
      <c r="AH486" s="450"/>
      <c r="AI486" s="450"/>
      <c r="AJ486" s="450"/>
      <c r="AK486" s="450"/>
      <c r="AL486" s="450"/>
      <c r="AM486" s="450"/>
      <c r="AN486" s="497"/>
      <c r="AO486" s="497"/>
      <c r="AP486" s="450"/>
      <c r="AQ486" s="450"/>
      <c r="AR486" s="450"/>
      <c r="AS486" s="450"/>
      <c r="AT486" s="450"/>
      <c r="AU486" s="450"/>
      <c r="AV486" s="450"/>
      <c r="AW486" s="450"/>
      <c r="AX486" s="450"/>
      <c r="AY486" s="450"/>
      <c r="AZ486" s="450"/>
      <c r="BA486" s="450"/>
      <c r="BB486" s="450"/>
      <c r="BC486" s="450"/>
      <c r="BD486" s="450"/>
    </row>
    <row r="487" spans="1:56" s="55" customFormat="1" x14ac:dyDescent="0.25">
      <c r="A487" s="614" t="str">
        <f>MO_RIS_EPS_WAD_Adj</f>
        <v>Adjusted Earnings Per Share - WAD</v>
      </c>
      <c r="B487" s="450"/>
      <c r="C487" s="450"/>
      <c r="D487" s="450"/>
      <c r="E487" s="450"/>
      <c r="F487" s="450"/>
      <c r="G487" s="450"/>
      <c r="H487" s="450"/>
      <c r="I487" s="450"/>
      <c r="J487" s="450"/>
      <c r="K487" s="450"/>
      <c r="L487" s="450"/>
      <c r="M487" s="450"/>
      <c r="N487" s="450"/>
      <c r="O487" s="450"/>
      <c r="P487" s="450"/>
      <c r="Q487" s="498"/>
      <c r="R487" s="450"/>
      <c r="S487" s="450"/>
      <c r="T487" s="450"/>
      <c r="U487" s="450"/>
      <c r="V487" s="450"/>
      <c r="W487" s="450"/>
      <c r="X487" s="450"/>
      <c r="Y487" s="450"/>
      <c r="Z487" s="450"/>
      <c r="AA487" s="450"/>
      <c r="AB487" s="450"/>
      <c r="AC487" s="450"/>
      <c r="AD487" s="450"/>
      <c r="AE487" s="450"/>
      <c r="AF487" s="450"/>
      <c r="AG487" s="450"/>
      <c r="AH487" s="450"/>
      <c r="AI487" s="450"/>
      <c r="AJ487" s="450"/>
      <c r="AK487" s="450"/>
      <c r="AL487" s="450"/>
      <c r="AM487" s="450"/>
      <c r="AN487" s="497"/>
      <c r="AO487" s="497"/>
      <c r="AP487" s="450"/>
      <c r="AQ487" s="450"/>
      <c r="AR487" s="450"/>
      <c r="AS487" s="450"/>
      <c r="AT487" s="450"/>
      <c r="AU487" s="450"/>
      <c r="AV487" s="450"/>
      <c r="AW487" s="450"/>
      <c r="AX487" s="450"/>
      <c r="AY487" s="450"/>
      <c r="AZ487" s="450"/>
      <c r="BA487" s="450"/>
      <c r="BB487" s="450"/>
      <c r="BC487" s="450"/>
      <c r="BD487" s="450"/>
    </row>
    <row r="488" spans="1:56" s="55" customFormat="1" x14ac:dyDescent="0.25">
      <c r="A488" s="614" t="str">
        <f>MO_VA_EV_ToEBITDA</f>
        <v>EV/EBITDA - Avg</v>
      </c>
      <c r="B488" s="450"/>
      <c r="C488" s="450"/>
      <c r="D488" s="450"/>
      <c r="E488" s="450"/>
      <c r="F488" s="450"/>
      <c r="G488" s="450"/>
      <c r="H488" s="450"/>
      <c r="I488" s="450"/>
      <c r="J488" s="450"/>
      <c r="K488" s="450"/>
      <c r="L488" s="450"/>
      <c r="M488" s="450"/>
      <c r="N488" s="450"/>
      <c r="O488" s="450"/>
      <c r="P488" s="450"/>
      <c r="Q488" s="498"/>
      <c r="R488" s="450"/>
      <c r="S488" s="450"/>
      <c r="T488" s="450"/>
      <c r="U488" s="450"/>
      <c r="V488" s="450"/>
      <c r="W488" s="450"/>
      <c r="X488" s="450"/>
      <c r="Y488" s="450"/>
      <c r="Z488" s="450"/>
      <c r="AA488" s="450"/>
      <c r="AB488" s="450"/>
      <c r="AC488" s="450"/>
      <c r="AD488" s="450"/>
      <c r="AE488" s="450"/>
      <c r="AF488" s="450"/>
      <c r="AG488" s="450"/>
      <c r="AH488" s="450"/>
      <c r="AI488" s="450"/>
      <c r="AJ488" s="450"/>
      <c r="AK488" s="450"/>
      <c r="AL488" s="450"/>
      <c r="AM488" s="450"/>
      <c r="AN488" s="497"/>
      <c r="AO488" s="497"/>
      <c r="AP488" s="450"/>
      <c r="AQ488" s="450"/>
      <c r="AR488" s="450"/>
      <c r="AS488" s="450"/>
      <c r="AT488" s="450"/>
      <c r="AU488" s="450"/>
      <c r="AV488" s="450"/>
      <c r="AW488" s="450"/>
      <c r="AX488" s="450"/>
      <c r="AY488" s="450"/>
      <c r="AZ488" s="450"/>
      <c r="BA488" s="450"/>
      <c r="BB488" s="450"/>
      <c r="BC488" s="450"/>
      <c r="BD488" s="450"/>
    </row>
    <row r="489" spans="1:56" s="55" customFormat="1" x14ac:dyDescent="0.25">
      <c r="A489" s="614" t="str">
        <f>MO_VA_P_ToE</f>
        <v>P/E - Avg</v>
      </c>
      <c r="B489" s="450"/>
      <c r="C489" s="450"/>
      <c r="D489" s="450"/>
      <c r="E489" s="450"/>
      <c r="F489" s="450"/>
      <c r="G489" s="450"/>
      <c r="H489" s="450"/>
      <c r="I489" s="450"/>
      <c r="J489" s="450"/>
      <c r="K489" s="450"/>
      <c r="L489" s="450"/>
      <c r="M489" s="450"/>
      <c r="N489" s="450"/>
      <c r="O489" s="450"/>
      <c r="P489" s="450"/>
      <c r="Q489" s="498"/>
      <c r="R489" s="450"/>
      <c r="S489" s="450"/>
      <c r="T489" s="450"/>
      <c r="U489" s="450"/>
      <c r="V489" s="450"/>
      <c r="W489" s="450"/>
      <c r="X489" s="450"/>
      <c r="Y489" s="450"/>
      <c r="Z489" s="450"/>
      <c r="AA489" s="450"/>
      <c r="AB489" s="450"/>
      <c r="AC489" s="450"/>
      <c r="AD489" s="450"/>
      <c r="AE489" s="450"/>
      <c r="AF489" s="450"/>
      <c r="AG489" s="450"/>
      <c r="AH489" s="450"/>
      <c r="AI489" s="450"/>
      <c r="AJ489" s="450"/>
      <c r="AK489" s="450"/>
      <c r="AL489" s="450"/>
      <c r="AM489" s="450"/>
      <c r="AN489" s="497"/>
      <c r="AO489" s="497"/>
      <c r="AP489" s="450"/>
      <c r="AQ489" s="450"/>
      <c r="AR489" s="450"/>
      <c r="AS489" s="450"/>
      <c r="AT489" s="450"/>
      <c r="AU489" s="450"/>
      <c r="AV489" s="450"/>
      <c r="AW489" s="450"/>
      <c r="AX489" s="450"/>
      <c r="AY489" s="450"/>
      <c r="AZ489" s="450"/>
      <c r="BA489" s="450"/>
      <c r="BB489" s="450"/>
      <c r="BC489" s="450"/>
      <c r="BD489" s="450"/>
    </row>
    <row r="490" spans="1:56" s="55" customFormat="1" x14ac:dyDescent="0.25">
      <c r="A490" s="615"/>
      <c r="B490" s="450"/>
      <c r="C490" s="450"/>
      <c r="D490" s="450"/>
      <c r="E490" s="450"/>
      <c r="F490" s="450"/>
      <c r="G490" s="450"/>
      <c r="H490" s="450"/>
      <c r="I490" s="450"/>
      <c r="J490" s="450"/>
      <c r="K490" s="450"/>
      <c r="L490" s="450"/>
      <c r="M490" s="450"/>
      <c r="N490" s="450"/>
      <c r="O490" s="450"/>
      <c r="P490" s="450"/>
      <c r="Q490" s="498"/>
      <c r="R490" s="450"/>
      <c r="S490" s="450"/>
      <c r="T490" s="450"/>
      <c r="U490" s="450"/>
      <c r="V490" s="450"/>
      <c r="W490" s="450"/>
      <c r="X490" s="450"/>
      <c r="Y490" s="450"/>
      <c r="Z490" s="450"/>
      <c r="AA490" s="450"/>
      <c r="AB490" s="450"/>
      <c r="AC490" s="450"/>
      <c r="AD490" s="450"/>
      <c r="AE490" s="450"/>
      <c r="AF490" s="450"/>
      <c r="AG490" s="450"/>
      <c r="AH490" s="450"/>
      <c r="AI490" s="450"/>
      <c r="AJ490" s="450"/>
      <c r="AK490" s="450"/>
      <c r="AL490" s="450"/>
      <c r="AM490" s="450"/>
      <c r="AN490" s="497"/>
      <c r="AO490" s="497"/>
      <c r="AP490" s="450"/>
      <c r="AQ490" s="450"/>
      <c r="AR490" s="450"/>
      <c r="AS490" s="450"/>
      <c r="AT490" s="450"/>
      <c r="AU490" s="450"/>
      <c r="AV490" s="450"/>
      <c r="AW490" s="450"/>
      <c r="AX490" s="450"/>
      <c r="AY490" s="450"/>
      <c r="AZ490" s="450"/>
      <c r="BA490" s="450"/>
      <c r="BB490" s="450"/>
      <c r="BC490" s="450"/>
      <c r="BD490" s="450"/>
    </row>
    <row r="491" spans="1:56" s="55" customFormat="1" x14ac:dyDescent="0.25">
      <c r="A491" s="612"/>
      <c r="B491" s="450"/>
      <c r="C491" s="450"/>
      <c r="D491" s="450"/>
      <c r="E491" s="450"/>
      <c r="F491" s="450"/>
      <c r="G491" s="450"/>
      <c r="H491" s="450"/>
      <c r="I491" s="450"/>
      <c r="J491" s="450"/>
      <c r="K491" s="450"/>
      <c r="L491" s="450"/>
      <c r="M491" s="450"/>
      <c r="N491" s="450"/>
      <c r="O491" s="450"/>
      <c r="P491" s="450"/>
      <c r="Q491" s="498"/>
      <c r="R491" s="450"/>
      <c r="S491" s="450"/>
      <c r="T491" s="450"/>
      <c r="U491" s="450"/>
      <c r="V491" s="450"/>
      <c r="W491" s="450"/>
      <c r="X491" s="450"/>
      <c r="Y491" s="450"/>
      <c r="Z491" s="450"/>
      <c r="AA491" s="450"/>
      <c r="AB491" s="450"/>
      <c r="AC491" s="450"/>
      <c r="AD491" s="450"/>
      <c r="AE491" s="450"/>
      <c r="AF491" s="450"/>
      <c r="AG491" s="450"/>
      <c r="AH491" s="450"/>
      <c r="AI491" s="450"/>
      <c r="AJ491" s="450"/>
      <c r="AK491" s="450"/>
      <c r="AL491" s="450"/>
      <c r="AM491" s="450"/>
      <c r="AN491" s="497"/>
      <c r="AO491" s="497"/>
      <c r="AP491" s="450"/>
      <c r="AQ491" s="450"/>
      <c r="AR491" s="450"/>
      <c r="AS491" s="450"/>
      <c r="AT491" s="450"/>
      <c r="AU491" s="450"/>
      <c r="AV491" s="450"/>
      <c r="AW491" s="450"/>
      <c r="AX491" s="450"/>
      <c r="AY491" s="450"/>
      <c r="AZ491" s="450"/>
      <c r="BA491" s="450"/>
      <c r="BB491" s="450"/>
      <c r="BC491" s="450"/>
      <c r="BD491" s="450"/>
    </row>
    <row r="492" spans="1:56" s="38" customFormat="1" x14ac:dyDescent="0.25">
      <c r="A492" s="807" t="s">
        <v>276</v>
      </c>
      <c r="B492" s="747"/>
      <c r="C492" s="747"/>
      <c r="D492" s="747"/>
      <c r="E492" s="747"/>
      <c r="F492" s="747"/>
      <c r="G492" s="747"/>
      <c r="H492" s="747"/>
      <c r="I492" s="747"/>
      <c r="J492" s="747"/>
      <c r="K492" s="747"/>
      <c r="L492" s="747"/>
      <c r="M492" s="747"/>
      <c r="N492" s="747"/>
      <c r="O492" s="747"/>
      <c r="P492" s="747"/>
      <c r="Q492" s="747"/>
      <c r="R492" s="747"/>
      <c r="S492" s="747"/>
      <c r="T492" s="747"/>
      <c r="U492" s="747"/>
      <c r="V492" s="747"/>
      <c r="W492" s="747"/>
      <c r="X492" s="747"/>
      <c r="Y492" s="747"/>
      <c r="Z492" s="747"/>
      <c r="AA492" s="747"/>
      <c r="AB492" s="747"/>
      <c r="AC492" s="747"/>
      <c r="AD492" s="747"/>
      <c r="AE492" s="747"/>
      <c r="AF492" s="747"/>
      <c r="AG492" s="747" t="str">
        <f t="shared" ref="AG492:AL492" si="483">AG5</f>
        <v>Q3-2020</v>
      </c>
      <c r="AH492" s="747" t="str">
        <f t="shared" si="483"/>
        <v>Q4-2020</v>
      </c>
      <c r="AI492" s="747" t="str">
        <f t="shared" si="483"/>
        <v>Q1-2021</v>
      </c>
      <c r="AJ492" s="747" t="str">
        <f t="shared" si="483"/>
        <v>Q2-2021</v>
      </c>
      <c r="AK492" s="747" t="str">
        <f t="shared" si="483"/>
        <v>Q3-2021</v>
      </c>
      <c r="AL492" s="747" t="str">
        <f t="shared" si="483"/>
        <v>Q4-2021</v>
      </c>
      <c r="AM492" s="747"/>
      <c r="AN492" s="747"/>
      <c r="AO492" s="747"/>
      <c r="AP492" s="747"/>
      <c r="AQ492" s="747"/>
      <c r="AR492" s="747"/>
      <c r="AS492" s="747"/>
      <c r="AT492" s="747"/>
      <c r="AU492" s="747"/>
      <c r="AV492" s="747"/>
      <c r="AW492" s="747"/>
      <c r="AX492" s="747"/>
      <c r="AY492" s="747" t="str">
        <f>AY5</f>
        <v>FY2020</v>
      </c>
      <c r="AZ492" s="747" t="str">
        <f>AZ5</f>
        <v>FY2021</v>
      </c>
      <c r="BA492" s="747" t="str">
        <f>BA5</f>
        <v>FY2022</v>
      </c>
      <c r="BB492" s="747" t="str">
        <f>BB5</f>
        <v>FY2023</v>
      </c>
      <c r="BC492" s="808" t="str">
        <f>BC5</f>
        <v>FY2024</v>
      </c>
      <c r="BD492" s="632"/>
    </row>
    <row r="493" spans="1:56" s="38" customFormat="1" x14ac:dyDescent="0.25">
      <c r="A493" s="809" t="s">
        <v>277</v>
      </c>
      <c r="B493" s="757"/>
      <c r="C493" s="757"/>
      <c r="D493" s="757"/>
      <c r="E493" s="757"/>
      <c r="F493" s="757"/>
      <c r="G493" s="757"/>
      <c r="H493" s="757"/>
      <c r="I493" s="757"/>
      <c r="J493" s="757"/>
      <c r="K493" s="757"/>
      <c r="L493" s="757"/>
      <c r="M493" s="757"/>
      <c r="N493" s="757"/>
      <c r="O493" s="757"/>
      <c r="P493" s="757"/>
      <c r="Q493" s="757"/>
      <c r="R493" s="757"/>
      <c r="S493" s="757"/>
      <c r="T493" s="757"/>
      <c r="U493" s="757"/>
      <c r="V493" s="757"/>
      <c r="W493" s="757"/>
      <c r="X493" s="757"/>
      <c r="Y493" s="757"/>
      <c r="Z493" s="757"/>
      <c r="AA493" s="757"/>
      <c r="AB493" s="757"/>
      <c r="AC493" s="757"/>
      <c r="AD493" s="757"/>
      <c r="AE493" s="757"/>
      <c r="AF493" s="757"/>
      <c r="AG493" s="757" t="str">
        <f t="shared" ref="AG493:AL493" si="484">IF(MO.DataSourceIndex=3,IF(LEFT(AG492,2)="FY","ANNUAL",IF(LEFT(AG492,1)="Q","QUARTERLY","")),IF(LEFT(AG492,2)="FY","FY",IF(LEFT(AG492,1)="Q","FQ","")))</f>
        <v>FQ</v>
      </c>
      <c r="AH493" s="757" t="str">
        <f t="shared" si="484"/>
        <v>FQ</v>
      </c>
      <c r="AI493" s="757" t="str">
        <f t="shared" si="484"/>
        <v>FQ</v>
      </c>
      <c r="AJ493" s="757" t="str">
        <f t="shared" si="484"/>
        <v>FQ</v>
      </c>
      <c r="AK493" s="757" t="str">
        <f t="shared" si="484"/>
        <v>FQ</v>
      </c>
      <c r="AL493" s="757" t="str">
        <f t="shared" si="484"/>
        <v>FQ</v>
      </c>
      <c r="AM493" s="757"/>
      <c r="AN493" s="757"/>
      <c r="AO493" s="757"/>
      <c r="AP493" s="757"/>
      <c r="AQ493" s="757"/>
      <c r="AR493" s="757"/>
      <c r="AS493" s="757"/>
      <c r="AT493" s="757"/>
      <c r="AU493" s="757"/>
      <c r="AV493" s="757"/>
      <c r="AW493" s="757"/>
      <c r="AX493" s="757"/>
      <c r="AY493" s="757" t="str">
        <f>IF(MO.DataSourceIndex=3,IF(LEFT(AY492,2)="FY","ANNUAL",IF(LEFT(AY492,1)="Q","QUARTERLY","")),IF(LEFT(AY492,2)="FY","FY",IF(LEFT(AY492,1)="Q","FQ","")))</f>
        <v>FY</v>
      </c>
      <c r="AZ493" s="757" t="str">
        <f>IF(MO.DataSourceIndex=3,IF(LEFT(AZ492,2)="FY","ANNUAL",IF(LEFT(AZ492,1)="Q","QUARTERLY","")),IF(LEFT(AZ492,2)="FY","FY",IF(LEFT(AZ492,1)="Q","FQ","")))</f>
        <v>FY</v>
      </c>
      <c r="BA493" s="757" t="str">
        <f>IF(MO.DataSourceIndex=3,IF(LEFT(BA492,2)="FY","ANNUAL",IF(LEFT(BA492,1)="Q","QUARTERLY","")),IF(LEFT(BA492,2)="FY","FY",IF(LEFT(BA492,1)="Q","FQ","")))</f>
        <v>FY</v>
      </c>
      <c r="BB493" s="757" t="str">
        <f>IF(MO.DataSourceIndex=3,IF(LEFT(BB492,2)="FY","ANNUAL",IF(LEFT(BB492,1)="Q","QUARTERLY","")),IF(LEFT(BB492,2)="FY","FY",IF(LEFT(BB492,1)="Q","FQ","")))</f>
        <v>FY</v>
      </c>
      <c r="BC493" s="810" t="str">
        <f>IF(MO.DataSourceIndex=3,IF(LEFT(BC492,2)="FY","ANNUAL",IF(LEFT(BC492,1)="Q","QUARTERLY","")),IF(LEFT(BC492,2)="FY","FY",IF(LEFT(BC492,1)="Q","FQ","")))</f>
        <v>FY</v>
      </c>
      <c r="BD493" s="632"/>
    </row>
    <row r="494" spans="1:56" s="38" customFormat="1" x14ac:dyDescent="0.25">
      <c r="A494" s="809" t="s">
        <v>278</v>
      </c>
      <c r="B494" s="757"/>
      <c r="C494" s="757"/>
      <c r="D494" s="757"/>
      <c r="E494" s="757"/>
      <c r="F494" s="757"/>
      <c r="G494" s="757"/>
      <c r="H494" s="757"/>
      <c r="I494" s="757"/>
      <c r="J494" s="757"/>
      <c r="K494" s="757"/>
      <c r="L494" s="757"/>
      <c r="M494" s="757"/>
      <c r="N494" s="757"/>
      <c r="O494" s="757"/>
      <c r="P494" s="757"/>
      <c r="Q494" s="757"/>
      <c r="R494" s="757"/>
      <c r="S494" s="757"/>
      <c r="T494" s="757"/>
      <c r="U494" s="757"/>
      <c r="V494" s="757"/>
      <c r="W494" s="757"/>
      <c r="X494" s="757"/>
      <c r="Y494" s="757"/>
      <c r="Z494" s="757"/>
      <c r="AA494" s="757"/>
      <c r="AB494" s="757"/>
      <c r="AC494" s="757"/>
      <c r="AD494" s="757"/>
      <c r="AE494" s="757"/>
      <c r="AF494" s="757"/>
      <c r="AG494" s="757">
        <f t="shared" ref="AG494:AL494" ca="1" si="485">IF(MO.DataSourceIndex=3,IF(AG493="ANNUAL",COUNTIF(OFFSET($A$493,,,,COLUMN()),"ANNUAL"),IF(AG493="QUARTERLY",COUNTIF(OFFSET($A$493,,,,COLUMN()),"QUARTERLY"),"")),IF(AG493="FY",COUNTIF(OFFSET($A$493,,,,COLUMN()),"FY"),IF(AG493="FQ",COUNTIF(OFFSET($A$493,,,,COLUMN()),"FQ"),"")))</f>
        <v>1</v>
      </c>
      <c r="AH494" s="757">
        <f t="shared" ca="1" si="485"/>
        <v>2</v>
      </c>
      <c r="AI494" s="757">
        <f t="shared" ca="1" si="485"/>
        <v>3</v>
      </c>
      <c r="AJ494" s="757">
        <f t="shared" ca="1" si="485"/>
        <v>4</v>
      </c>
      <c r="AK494" s="757">
        <f t="shared" ca="1" si="485"/>
        <v>5</v>
      </c>
      <c r="AL494" s="757">
        <f t="shared" ca="1" si="485"/>
        <v>6</v>
      </c>
      <c r="AM494" s="757"/>
      <c r="AN494" s="757"/>
      <c r="AO494" s="757"/>
      <c r="AP494" s="757"/>
      <c r="AQ494" s="757"/>
      <c r="AR494" s="757"/>
      <c r="AS494" s="757"/>
      <c r="AT494" s="757"/>
      <c r="AU494" s="757"/>
      <c r="AV494" s="757"/>
      <c r="AW494" s="757"/>
      <c r="AX494" s="757"/>
      <c r="AY494" s="757">
        <f ca="1">IF(MO.DataSourceIndex=3,IF(AY493="ANNUAL",COUNTIF(OFFSET($A$493,,,,COLUMN()),"ANNUAL"),IF(AY493="QUARTERLY",COUNTIF(OFFSET($A$493,,,,COLUMN()),"QUARTERLY"),"")),IF(AY493="FY",COUNTIF(OFFSET($A$493,,,,COLUMN()),"FY"),IF(AY493="FQ",COUNTIF(OFFSET($A$493,,,,COLUMN()),"FQ"),"")))</f>
        <v>1</v>
      </c>
      <c r="AZ494" s="757">
        <f ca="1">IF(MO.DataSourceIndex=3,IF(AZ493="ANNUAL",COUNTIF(OFFSET($A$493,,,,COLUMN()),"ANNUAL"),IF(AZ493="QUARTERLY",COUNTIF(OFFSET($A$493,,,,COLUMN()),"QUARTERLY"),"")),IF(AZ493="FY",COUNTIF(OFFSET($A$493,,,,COLUMN()),"FY"),IF(AZ493="FQ",COUNTIF(OFFSET($A$493,,,,COLUMN()),"FQ"),"")))</f>
        <v>2</v>
      </c>
      <c r="BA494" s="757">
        <f ca="1">IF(MO.DataSourceIndex=3,IF(BA493="ANNUAL",COUNTIF(OFFSET(A493,,,,COLUMN()),"ANNUAL"),IF(BA493="QUARTERLY",COUNTIF(OFFSET(A493,,,,COLUMN()),"QUARTERLY"),"")),IF(BA493="FY",COUNTIF(OFFSET(A493,,,,COLUMN()),"FY"),IF(BA493="FQ",COUNTIF(OFFSET(A493,,,,COLUMN()),"FQ"),"")))</f>
        <v>3</v>
      </c>
      <c r="BB494" s="757">
        <f ca="1">IF(MO.DataSourceIndex=3,IF(BB493="ANNUAL",COUNTIF(OFFSET(A493,,,,COLUMN()),"ANNUAL"),IF(BB493="QUARTERLY",COUNTIF(OFFSET(A493,,,,COLUMN()),"QUARTERLY"),"")),IF(BB493="FY",COUNTIF(OFFSET(A493,,,,COLUMN()),"FY"),IF(BB493="FQ",COUNTIF(OFFSET(A493,,,,COLUMN()),"FQ"),"")))</f>
        <v>4</v>
      </c>
      <c r="BC494" s="810">
        <f ca="1">IF(MO.DataSourceIndex=3,IF(BC493="ANNUAL",COUNTIF(OFFSET(A493,,,,COLUMN()),"ANNUAL"),IF(BC493="QUARTERLY",COUNTIF(OFFSET(A493,,,,COLUMN()),"QUARTERLY"),"")),IF(BC493="FY",COUNTIF(OFFSET(A493,,,,COLUMN()),"FY"),IF(BC493="FQ",COUNTIF(OFFSET(A493,,,,COLUMN()),"FQ"),"")))</f>
        <v>5</v>
      </c>
      <c r="BD494" s="632"/>
    </row>
    <row r="495" spans="1:56" s="39" customFormat="1" x14ac:dyDescent="0.25">
      <c r="A495" s="550" t="str">
        <f>$A$93</f>
        <v>Consensus Estimates - Gross Margin, %</v>
      </c>
      <c r="B495" s="629"/>
      <c r="C495" s="462"/>
      <c r="D495" s="463"/>
      <c r="E495" s="463"/>
      <c r="F495" s="463"/>
      <c r="G495" s="463"/>
      <c r="H495" s="463"/>
      <c r="I495" s="463"/>
      <c r="J495" s="463"/>
      <c r="K495" s="629"/>
      <c r="L495" s="629"/>
      <c r="M495" s="629"/>
      <c r="N495" s="629"/>
      <c r="O495" s="629"/>
      <c r="P495" s="629"/>
      <c r="Q495" s="629"/>
      <c r="R495" s="629"/>
      <c r="S495" s="629"/>
      <c r="T495" s="629"/>
      <c r="U495" s="629"/>
      <c r="V495" s="629"/>
      <c r="W495" s="629"/>
      <c r="X495" s="629"/>
      <c r="Y495" s="629"/>
      <c r="Z495" s="629"/>
      <c r="AA495" s="629"/>
      <c r="AB495" s="629"/>
      <c r="AC495" s="629"/>
      <c r="AD495" s="629"/>
      <c r="AE495" s="629"/>
      <c r="AF495" s="725"/>
      <c r="AG495" s="463" t="str">
        <f ca="1">IFERROR(CHOOSE(MO.DataSourceIndex,_xll.BDP(MO.Ticker.Bloomberg&amp;" EQUITY","BEST_GROSS_MARGIN","BEST_FPERIOD_OVERRIDE="&amp;INDEX(tb_ConsensusEstimate,3,COLUMN())&amp;INDEX(tb_ConsensusEstimate,2,COLUMN())),_xll.CIQ(MO.Ticker.CapIQ,"IQ_GROSS_MARGIN_EST","IQ_"&amp;INDEX(tb_ConsensusEstimate,2,COLUMN())&amp;"+"&amp;INDEX(tb_ConsensusEstimate,3,COLUMN())),_xll.FDS(MO.Ticker.FactSet,"FE_ESTIMATE(GROSSINCOME,MEAN,"&amp;INDEX(tb_ConsensusEstimate,2,COLUMN())&amp;",+"&amp;INDEX(tb_ConsensusEstimate,3,COLUMN())&amp;",NOW,,,'')")/_xll.FDS(MO.Ticker.FactSet,"FE_ESTIMATE(SALES,MEAN,"&amp;INDEX(tb_ConsensusEstimate,2,COLUMN())&amp;",+"&amp;INDEX(tb_ConsensusEstimate,3,COLUMN())&amp;",NOW,,,'')"),_xll.TR(MO.Ticker.Thomson,"ZAV(TR.GPMMean)","Period="&amp;INDEX(tb_ConsensusEstimate,2,COLUMN())&amp;INDEX(tb_ConsensusEstimate,3,COLUMN())))/100,"N/A")</f>
        <v>N/A</v>
      </c>
      <c r="AH495" s="463" t="str">
        <f ca="1">IFERROR(CHOOSE(MO.DataSourceIndex,_xll.BDP(MO.Ticker.Bloomberg&amp;" EQUITY","BEST_GROSS_MARGIN","BEST_FPERIOD_OVERRIDE="&amp;INDEX(tb_ConsensusEstimate,3,COLUMN())&amp;INDEX(tb_ConsensusEstimate,2,COLUMN())),_xll.CIQ(MO.Ticker.CapIQ,"IQ_GROSS_MARGIN_EST","IQ_"&amp;INDEX(tb_ConsensusEstimate,2,COLUMN())&amp;"+"&amp;INDEX(tb_ConsensusEstimate,3,COLUMN())),_xll.FDS(MO.Ticker.FactSet,"FE_ESTIMATE(GROSSINCOME,MEAN,"&amp;INDEX(tb_ConsensusEstimate,2,COLUMN())&amp;",+"&amp;INDEX(tb_ConsensusEstimate,3,COLUMN())&amp;",NOW,,,'')")/_xll.FDS(MO.Ticker.FactSet,"FE_ESTIMATE(SALES,MEAN,"&amp;INDEX(tb_ConsensusEstimate,2,COLUMN())&amp;",+"&amp;INDEX(tb_ConsensusEstimate,3,COLUMN())&amp;",NOW,,,'')"),_xll.TR(MO.Ticker.Thomson,"ZAV(TR.GPMMean)","Period="&amp;INDEX(tb_ConsensusEstimate,2,COLUMN())&amp;INDEX(tb_ConsensusEstimate,3,COLUMN())))/100,"N/A")</f>
        <v>N/A</v>
      </c>
      <c r="AI495" s="463" t="str">
        <f ca="1">IFERROR(CHOOSE(MO.DataSourceIndex,_xll.BDP(MO.Ticker.Bloomberg&amp;" EQUITY","BEST_GROSS_MARGIN","BEST_FPERIOD_OVERRIDE="&amp;INDEX(tb_ConsensusEstimate,3,COLUMN())&amp;INDEX(tb_ConsensusEstimate,2,COLUMN())),_xll.CIQ(MO.Ticker.CapIQ,"IQ_GROSS_MARGIN_EST","IQ_"&amp;INDEX(tb_ConsensusEstimate,2,COLUMN())&amp;"+"&amp;INDEX(tb_ConsensusEstimate,3,COLUMN())),_xll.FDS(MO.Ticker.FactSet,"FE_ESTIMATE(GROSSINCOME,MEAN,"&amp;INDEX(tb_ConsensusEstimate,2,COLUMN())&amp;",+"&amp;INDEX(tb_ConsensusEstimate,3,COLUMN())&amp;",NOW,,,'')")/_xll.FDS(MO.Ticker.FactSet,"FE_ESTIMATE(SALES,MEAN,"&amp;INDEX(tb_ConsensusEstimate,2,COLUMN())&amp;",+"&amp;INDEX(tb_ConsensusEstimate,3,COLUMN())&amp;",NOW,,,'')"),_xll.TR(MO.Ticker.Thomson,"ZAV(TR.GPMMean)","Period="&amp;INDEX(tb_ConsensusEstimate,2,COLUMN())&amp;INDEX(tb_ConsensusEstimate,3,COLUMN())))/100,"N/A")</f>
        <v>N/A</v>
      </c>
      <c r="AJ495" s="463" t="str">
        <f ca="1">IFERROR(CHOOSE(MO.DataSourceIndex,_xll.BDP(MO.Ticker.Bloomberg&amp;" EQUITY","BEST_GROSS_MARGIN","BEST_FPERIOD_OVERRIDE="&amp;INDEX(tb_ConsensusEstimate,3,COLUMN())&amp;INDEX(tb_ConsensusEstimate,2,COLUMN())),_xll.CIQ(MO.Ticker.CapIQ,"IQ_GROSS_MARGIN_EST","IQ_"&amp;INDEX(tb_ConsensusEstimate,2,COLUMN())&amp;"+"&amp;INDEX(tb_ConsensusEstimate,3,COLUMN())),_xll.FDS(MO.Ticker.FactSet,"FE_ESTIMATE(GROSSINCOME,MEAN,"&amp;INDEX(tb_ConsensusEstimate,2,COLUMN())&amp;",+"&amp;INDEX(tb_ConsensusEstimate,3,COLUMN())&amp;",NOW,,,'')")/_xll.FDS(MO.Ticker.FactSet,"FE_ESTIMATE(SALES,MEAN,"&amp;INDEX(tb_ConsensusEstimate,2,COLUMN())&amp;",+"&amp;INDEX(tb_ConsensusEstimate,3,COLUMN())&amp;",NOW,,,'')"),_xll.TR(MO.Ticker.Thomson,"ZAV(TR.GPMMean)","Period="&amp;INDEX(tb_ConsensusEstimate,2,COLUMN())&amp;INDEX(tb_ConsensusEstimate,3,COLUMN())))/100,"N/A")</f>
        <v>N/A</v>
      </c>
      <c r="AK495" s="463" t="str">
        <f ca="1">IFERROR(CHOOSE(MO.DataSourceIndex,_xll.BDP(MO.Ticker.Bloomberg&amp;" EQUITY","BEST_GROSS_MARGIN","BEST_FPERIOD_OVERRIDE="&amp;INDEX(tb_ConsensusEstimate,3,COLUMN())&amp;INDEX(tb_ConsensusEstimate,2,COLUMN())),_xll.CIQ(MO.Ticker.CapIQ,"IQ_GROSS_MARGIN_EST","IQ_"&amp;INDEX(tb_ConsensusEstimate,2,COLUMN())&amp;"+"&amp;INDEX(tb_ConsensusEstimate,3,COLUMN())),_xll.FDS(MO.Ticker.FactSet,"FE_ESTIMATE(GROSSINCOME,MEAN,"&amp;INDEX(tb_ConsensusEstimate,2,COLUMN())&amp;",+"&amp;INDEX(tb_ConsensusEstimate,3,COLUMN())&amp;",NOW,,,'')")/_xll.FDS(MO.Ticker.FactSet,"FE_ESTIMATE(SALES,MEAN,"&amp;INDEX(tb_ConsensusEstimate,2,COLUMN())&amp;",+"&amp;INDEX(tb_ConsensusEstimate,3,COLUMN())&amp;",NOW,,,'')"),_xll.TR(MO.Ticker.Thomson,"ZAV(TR.GPMMean)","Period="&amp;INDEX(tb_ConsensusEstimate,2,COLUMN())&amp;INDEX(tb_ConsensusEstimate,3,COLUMN())))/100,"N/A")</f>
        <v>N/A</v>
      </c>
      <c r="AL495" s="463" t="str">
        <f ca="1">IFERROR(CHOOSE(MO.DataSourceIndex,_xll.BDP(MO.Ticker.Bloomberg&amp;" EQUITY","BEST_GROSS_MARGIN","BEST_FPERIOD_OVERRIDE="&amp;INDEX(tb_ConsensusEstimate,3,COLUMN())&amp;INDEX(tb_ConsensusEstimate,2,COLUMN())),_xll.CIQ(MO.Ticker.CapIQ,"IQ_GROSS_MARGIN_EST","IQ_"&amp;INDEX(tb_ConsensusEstimate,2,COLUMN())&amp;"+"&amp;INDEX(tb_ConsensusEstimate,3,COLUMN())),_xll.FDS(MO.Ticker.FactSet,"FE_ESTIMATE(GROSSINCOME,MEAN,"&amp;INDEX(tb_ConsensusEstimate,2,COLUMN())&amp;",+"&amp;INDEX(tb_ConsensusEstimate,3,COLUMN())&amp;",NOW,,,'')")/_xll.FDS(MO.Ticker.FactSet,"FE_ESTIMATE(SALES,MEAN,"&amp;INDEX(tb_ConsensusEstimate,2,COLUMN())&amp;",+"&amp;INDEX(tb_ConsensusEstimate,3,COLUMN())&amp;",NOW,,,'')"),_xll.TR(MO.Ticker.Thomson,"ZAV(TR.GPMMean)","Period="&amp;INDEX(tb_ConsensusEstimate,2,COLUMN())&amp;INDEX(tb_ConsensusEstimate,3,COLUMN())))/100,"N/A")</f>
        <v>N/A</v>
      </c>
      <c r="AM495" s="463"/>
      <c r="AN495" s="462"/>
      <c r="AO495" s="462"/>
      <c r="AP495" s="462"/>
      <c r="AQ495" s="462"/>
      <c r="AR495" s="463"/>
      <c r="AS495" s="629"/>
      <c r="AT495" s="629"/>
      <c r="AU495" s="629"/>
      <c r="AV495" s="629"/>
      <c r="AW495" s="629"/>
      <c r="AX495" s="629"/>
      <c r="AY495" s="463" t="str">
        <f ca="1">IFERROR(CHOOSE(MO.DataSourceIndex,_xll.BDP(MO.Ticker.Bloomberg&amp;" EQUITY","BEST_GROSS_MARGIN","BEST_FPERIOD_OVERRIDE="&amp;INDEX(tb_ConsensusEstimate,3,COLUMN())&amp;INDEX(tb_ConsensusEstimate,2,COLUMN())),_xll.CIQ(MO.Ticker.CapIQ,"IQ_GROSS_MARGIN_EST","IQ_"&amp;INDEX(tb_ConsensusEstimate,2,COLUMN())&amp;"+"&amp;INDEX(tb_ConsensusEstimate,3,COLUMN())),_xll.FDS(MO.Ticker.FactSet,"FE_ESTIMATE(GROSSINCOME,MEAN,"&amp;INDEX(tb_ConsensusEstimate,2,COLUMN())&amp;",+"&amp;INDEX(tb_ConsensusEstimate,3,COLUMN())&amp;",NOW,,,'')")/_xll.FDS(MO.Ticker.FactSet,"FE_ESTIMATE(SALES,MEAN,"&amp;INDEX(tb_ConsensusEstimate,2,COLUMN())&amp;",+"&amp;INDEX(tb_ConsensusEstimate,3,COLUMN())&amp;",NOW,,,'')"),_xll.TR(MO.Ticker.Thomson,"ZAV(TR.GPMMean)","Period="&amp;INDEX(tb_ConsensusEstimate,2,COLUMN())&amp;INDEX(tb_ConsensusEstimate,3,COLUMN())))/100,"N/A")</f>
        <v>N/A</v>
      </c>
      <c r="AZ495" s="463" t="str">
        <f ca="1">IFERROR(CHOOSE(MO.DataSourceIndex,_xll.BDP(MO.Ticker.Bloomberg&amp;" EQUITY","BEST_GROSS_MARGIN","BEST_FPERIOD_OVERRIDE="&amp;INDEX(tb_ConsensusEstimate,3,COLUMN())&amp;INDEX(tb_ConsensusEstimate,2,COLUMN())),_xll.CIQ(MO.Ticker.CapIQ,"IQ_GROSS_MARGIN_EST","IQ_"&amp;INDEX(tb_ConsensusEstimate,2,COLUMN())&amp;"+"&amp;INDEX(tb_ConsensusEstimate,3,COLUMN())),_xll.FDS(MO.Ticker.FactSet,"FE_ESTIMATE(GROSSINCOME,MEAN,"&amp;INDEX(tb_ConsensusEstimate,2,COLUMN())&amp;",+"&amp;INDEX(tb_ConsensusEstimate,3,COLUMN())&amp;",NOW,,,'')")/_xll.FDS(MO.Ticker.FactSet,"FE_ESTIMATE(SALES,MEAN,"&amp;INDEX(tb_ConsensusEstimate,2,COLUMN())&amp;",+"&amp;INDEX(tb_ConsensusEstimate,3,COLUMN())&amp;",NOW,,,'')"),_xll.TR(MO.Ticker.Thomson,"ZAV(TR.GPMMean)","Period="&amp;INDEX(tb_ConsensusEstimate,2,COLUMN())&amp;INDEX(tb_ConsensusEstimate,3,COLUMN())))/100,"N/A")</f>
        <v>N/A</v>
      </c>
      <c r="BA495" s="463" t="str">
        <f ca="1">IFERROR(CHOOSE(MO.DataSourceIndex,_xll.BDP(MO.Ticker.Bloomberg&amp;" EQUITY","BEST_GROSS_MARGIN","BEST_FPERIOD_OVERRIDE="&amp;INDEX(tb_ConsensusEstimate,3,COLUMN())&amp;INDEX(tb_ConsensusEstimate,2,COLUMN())),_xll.CIQ(MO.Ticker.CapIQ,"IQ_GROSS_MARGIN_EST","IQ_"&amp;INDEX(tb_ConsensusEstimate,2,COLUMN())&amp;"+"&amp;INDEX(tb_ConsensusEstimate,3,COLUMN())),_xll.FDS(MO.Ticker.FactSet,"FE_ESTIMATE(GROSSINCOME,MEAN,"&amp;INDEX(tb_ConsensusEstimate,2,COLUMN())&amp;",+"&amp;INDEX(tb_ConsensusEstimate,3,COLUMN())&amp;",NOW,,,'')")/_xll.FDS(MO.Ticker.FactSet,"FE_ESTIMATE(SALES,MEAN,"&amp;INDEX(tb_ConsensusEstimate,2,COLUMN())&amp;",+"&amp;INDEX(tb_ConsensusEstimate,3,COLUMN())&amp;",NOW,,,'')"),_xll.TR(MO.Ticker.Thomson,"ZAV(TR.GPMMean)","Period="&amp;INDEX(tb_ConsensusEstimate,2,COLUMN())&amp;INDEX(tb_ConsensusEstimate,3,COLUMN())))/100,"N/A")</f>
        <v>N/A</v>
      </c>
      <c r="BB495" s="463" t="str">
        <f ca="1">IFERROR(CHOOSE(MO.DataSourceIndex,_xll.BDP(MO.Ticker.Bloomberg&amp;" EQUITY","BEST_GROSS_MARGIN","BEST_FPERIOD_OVERRIDE="&amp;INDEX(tb_ConsensusEstimate,3,COLUMN())&amp;INDEX(tb_ConsensusEstimate,2,COLUMN())),_xll.CIQ(MO.Ticker.CapIQ,"IQ_GROSS_MARGIN_EST","IQ_"&amp;INDEX(tb_ConsensusEstimate,2,COLUMN())&amp;"+"&amp;INDEX(tb_ConsensusEstimate,3,COLUMN())),_xll.FDS(MO.Ticker.FactSet,"FE_ESTIMATE(GROSSINCOME,MEAN,"&amp;INDEX(tb_ConsensusEstimate,2,COLUMN())&amp;",+"&amp;INDEX(tb_ConsensusEstimate,3,COLUMN())&amp;",NOW,,,'')")/_xll.FDS(MO.Ticker.FactSet,"FE_ESTIMATE(SALES,MEAN,"&amp;INDEX(tb_ConsensusEstimate,2,COLUMN())&amp;",+"&amp;INDEX(tb_ConsensusEstimate,3,COLUMN())&amp;",NOW,,,'')"),_xll.TR(MO.Ticker.Thomson,"ZAV(TR.GPMMean)","Period="&amp;INDEX(tb_ConsensusEstimate,2,COLUMN())&amp;INDEX(tb_ConsensusEstimate,3,COLUMN())))/100,"N/A")</f>
        <v>N/A</v>
      </c>
      <c r="BC495" s="546" t="str">
        <f ca="1">IFERROR(CHOOSE(MO.DataSourceIndex,_xll.BDP(MO.Ticker.Bloomberg&amp;" EQUITY","BEST_GROSS_MARGIN","BEST_FPERIOD_OVERRIDE="&amp;INDEX(tb_ConsensusEstimate,3,COLUMN())&amp;INDEX(tb_ConsensusEstimate,2,COLUMN())),_xll.CIQ(MO.Ticker.CapIQ,"IQ_GROSS_MARGIN_EST","IQ_"&amp;INDEX(tb_ConsensusEstimate,2,COLUMN())&amp;"+"&amp;INDEX(tb_ConsensusEstimate,3,COLUMN())),_xll.FDS(MO.Ticker.FactSet,"FE_ESTIMATE(GROSSINCOME,MEAN,"&amp;INDEX(tb_ConsensusEstimate,2,COLUMN())&amp;",+"&amp;INDEX(tb_ConsensusEstimate,3,COLUMN())&amp;",NOW,,,'')")/_xll.FDS(MO.Ticker.FactSet,"FE_ESTIMATE(SALES,MEAN,"&amp;INDEX(tb_ConsensusEstimate,2,COLUMN())&amp;",+"&amp;INDEX(tb_ConsensusEstimate,3,COLUMN())&amp;",NOW,,,'')"),_xll.TR(MO.Ticker.Thomson,"ZAV(TR.GPMMean)","Period="&amp;INDEX(tb_ConsensusEstimate,2,COLUMN())&amp;INDEX(tb_ConsensusEstimate,3,COLUMN())))/100,"N/A")</f>
        <v>N/A</v>
      </c>
      <c r="BD495" s="631"/>
    </row>
    <row r="496" spans="1:56" s="39" customFormat="1" x14ac:dyDescent="0.25">
      <c r="A496" s="550" t="str">
        <f>$A$161</f>
        <v>Consensus Estimates - Net Revenue</v>
      </c>
      <c r="B496" s="629"/>
      <c r="C496" s="464"/>
      <c r="D496" s="629"/>
      <c r="E496" s="629"/>
      <c r="F496" s="629"/>
      <c r="G496" s="629"/>
      <c r="H496" s="629"/>
      <c r="I496" s="629"/>
      <c r="J496" s="629"/>
      <c r="K496" s="629"/>
      <c r="L496" s="629"/>
      <c r="M496" s="629"/>
      <c r="N496" s="629"/>
      <c r="O496" s="629"/>
      <c r="P496" s="629"/>
      <c r="Q496" s="629"/>
      <c r="R496" s="629"/>
      <c r="S496" s="629"/>
      <c r="T496" s="629"/>
      <c r="U496" s="629"/>
      <c r="V496" s="629"/>
      <c r="W496" s="629"/>
      <c r="X496" s="629"/>
      <c r="Y496" s="629"/>
      <c r="Z496" s="629"/>
      <c r="AA496" s="629"/>
      <c r="AB496" s="629"/>
      <c r="AC496" s="629"/>
      <c r="AD496" s="629"/>
      <c r="AE496" s="629"/>
      <c r="AF496" s="725"/>
      <c r="AG496" s="629" t="str">
        <f ca="1">IFERROR(CHOOSE(MO.DataSourceIndex,_xll.BDP(MO.Ticker.Bloomberg&amp;" EQUITY","BEST_SALES","BEST_FPERIOD_OVERRIDE="&amp;INDEX(tb_ConsensusEstimate,3,COLUMN())&amp;INDEX(tb_ConsensusEstimate,2,COLUMN())),_xll.CIQ(MO.Ticker.CapIQ,"IQ_REVENUE_EST","IQ_"&amp;INDEX(tb_ConsensusEstimate,2,COLUMN())&amp;"+"&amp;INDEX(tb_ConsensusEstimate,3,COLUMN())),_xll.FDS(MO.Ticker.FactSet,"FE_ESTIMATE(SALES,MEAN,"&amp;INDEX(tb_ConsensusEstimate,2,COLUMN())&amp;",+"&amp;INDEX(tb_ConsensusEstimate,3,COLUMN())&amp;",NOW,,,'')"),_xll.TR(MO.Ticker.Thomson,"ZAV(TR.RevenueMean(Scale=6))","Period="&amp;INDEX(tb_ConsensusEstimate,2,COLUMN())&amp;INDEX(tb_ConsensusEstimate,3,COLUMN()))),"N/A")</f>
        <v>N/A</v>
      </c>
      <c r="AH496" s="629" t="str">
        <f ca="1">IFERROR(CHOOSE(MO.DataSourceIndex,_xll.BDP(MO.Ticker.Bloomberg&amp;" EQUITY","BEST_SALES","BEST_FPERIOD_OVERRIDE="&amp;INDEX(tb_ConsensusEstimate,3,COLUMN())&amp;INDEX(tb_ConsensusEstimate,2,COLUMN())),_xll.CIQ(MO.Ticker.CapIQ,"IQ_REVENUE_EST","IQ_"&amp;INDEX(tb_ConsensusEstimate,2,COLUMN())&amp;"+"&amp;INDEX(tb_ConsensusEstimate,3,COLUMN())),_xll.FDS(MO.Ticker.FactSet,"FE_ESTIMATE(SALES,MEAN,"&amp;INDEX(tb_ConsensusEstimate,2,COLUMN())&amp;",+"&amp;INDEX(tb_ConsensusEstimate,3,COLUMN())&amp;",NOW,,,'')"),_xll.TR(MO.Ticker.Thomson,"ZAV(TR.RevenueMean(Scale=6))","Period="&amp;INDEX(tb_ConsensusEstimate,2,COLUMN())&amp;INDEX(tb_ConsensusEstimate,3,COLUMN()))),"N/A")</f>
        <v>N/A</v>
      </c>
      <c r="AI496" s="629" t="str">
        <f ca="1">IFERROR(CHOOSE(MO.DataSourceIndex,_xll.BDP(MO.Ticker.Bloomberg&amp;" EQUITY","BEST_SALES","BEST_FPERIOD_OVERRIDE="&amp;INDEX(tb_ConsensusEstimate,3,COLUMN())&amp;INDEX(tb_ConsensusEstimate,2,COLUMN())),_xll.CIQ(MO.Ticker.CapIQ,"IQ_REVENUE_EST","IQ_"&amp;INDEX(tb_ConsensusEstimate,2,COLUMN())&amp;"+"&amp;INDEX(tb_ConsensusEstimate,3,COLUMN())),_xll.FDS(MO.Ticker.FactSet,"FE_ESTIMATE(SALES,MEAN,"&amp;INDEX(tb_ConsensusEstimate,2,COLUMN())&amp;",+"&amp;INDEX(tb_ConsensusEstimate,3,COLUMN())&amp;",NOW,,,'')"),_xll.TR(MO.Ticker.Thomson,"ZAV(TR.RevenueMean(Scale=6))","Period="&amp;INDEX(tb_ConsensusEstimate,2,COLUMN())&amp;INDEX(tb_ConsensusEstimate,3,COLUMN()))),"N/A")</f>
        <v>N/A</v>
      </c>
      <c r="AJ496" s="629" t="str">
        <f ca="1">IFERROR(CHOOSE(MO.DataSourceIndex,_xll.BDP(MO.Ticker.Bloomberg&amp;" EQUITY","BEST_SALES","BEST_FPERIOD_OVERRIDE="&amp;INDEX(tb_ConsensusEstimate,3,COLUMN())&amp;INDEX(tb_ConsensusEstimate,2,COLUMN())),_xll.CIQ(MO.Ticker.CapIQ,"IQ_REVENUE_EST","IQ_"&amp;INDEX(tb_ConsensusEstimate,2,COLUMN())&amp;"+"&amp;INDEX(tb_ConsensusEstimate,3,COLUMN())),_xll.FDS(MO.Ticker.FactSet,"FE_ESTIMATE(SALES,MEAN,"&amp;INDEX(tb_ConsensusEstimate,2,COLUMN())&amp;",+"&amp;INDEX(tb_ConsensusEstimate,3,COLUMN())&amp;",NOW,,,'')"),_xll.TR(MO.Ticker.Thomson,"ZAV(TR.RevenueMean(Scale=6))","Period="&amp;INDEX(tb_ConsensusEstimate,2,COLUMN())&amp;INDEX(tb_ConsensusEstimate,3,COLUMN()))),"N/A")</f>
        <v>N/A</v>
      </c>
      <c r="AK496" s="629" t="str">
        <f ca="1">IFERROR(CHOOSE(MO.DataSourceIndex,_xll.BDP(MO.Ticker.Bloomberg&amp;" EQUITY","BEST_SALES","BEST_FPERIOD_OVERRIDE="&amp;INDEX(tb_ConsensusEstimate,3,COLUMN())&amp;INDEX(tb_ConsensusEstimate,2,COLUMN())),_xll.CIQ(MO.Ticker.CapIQ,"IQ_REVENUE_EST","IQ_"&amp;INDEX(tb_ConsensusEstimate,2,COLUMN())&amp;"+"&amp;INDEX(tb_ConsensusEstimate,3,COLUMN())),_xll.FDS(MO.Ticker.FactSet,"FE_ESTIMATE(SALES,MEAN,"&amp;INDEX(tb_ConsensusEstimate,2,COLUMN())&amp;",+"&amp;INDEX(tb_ConsensusEstimate,3,COLUMN())&amp;",NOW,,,'')"),_xll.TR(MO.Ticker.Thomson,"ZAV(TR.RevenueMean(Scale=6))","Period="&amp;INDEX(tb_ConsensusEstimate,2,COLUMN())&amp;INDEX(tb_ConsensusEstimate,3,COLUMN()))),"N/A")</f>
        <v>N/A</v>
      </c>
      <c r="AL496" s="629" t="str">
        <f ca="1">IFERROR(CHOOSE(MO.DataSourceIndex,_xll.BDP(MO.Ticker.Bloomberg&amp;" EQUITY","BEST_SALES","BEST_FPERIOD_OVERRIDE="&amp;INDEX(tb_ConsensusEstimate,3,COLUMN())&amp;INDEX(tb_ConsensusEstimate,2,COLUMN())),_xll.CIQ(MO.Ticker.CapIQ,"IQ_REVENUE_EST","IQ_"&amp;INDEX(tb_ConsensusEstimate,2,COLUMN())&amp;"+"&amp;INDEX(tb_ConsensusEstimate,3,COLUMN())),_xll.FDS(MO.Ticker.FactSet,"FE_ESTIMATE(SALES,MEAN,"&amp;INDEX(tb_ConsensusEstimate,2,COLUMN())&amp;",+"&amp;INDEX(tb_ConsensusEstimate,3,COLUMN())&amp;",NOW,,,'')"),_xll.TR(MO.Ticker.Thomson,"ZAV(TR.RevenueMean(Scale=6))","Period="&amp;INDEX(tb_ConsensusEstimate,2,COLUMN())&amp;INDEX(tb_ConsensusEstimate,3,COLUMN()))),"N/A")</f>
        <v>N/A</v>
      </c>
      <c r="AM496" s="629"/>
      <c r="AN496" s="464"/>
      <c r="AO496" s="464"/>
      <c r="AP496" s="464"/>
      <c r="AQ496" s="464"/>
      <c r="AR496" s="629"/>
      <c r="AS496" s="629"/>
      <c r="AT496" s="629"/>
      <c r="AU496" s="629"/>
      <c r="AV496" s="629"/>
      <c r="AW496" s="629"/>
      <c r="AX496" s="629"/>
      <c r="AY496" s="629" t="str">
        <f ca="1">IFERROR(CHOOSE(MO.DataSourceIndex,_xll.BDP(MO.Ticker.Bloomberg&amp;" EQUITY","BEST_SALES","BEST_FPERIOD_OVERRIDE="&amp;INDEX(tb_ConsensusEstimate,3,COLUMN())&amp;INDEX(tb_ConsensusEstimate,2,COLUMN())),_xll.CIQ(MO.Ticker.CapIQ,"IQ_REVENUE_EST","IQ_"&amp;INDEX(tb_ConsensusEstimate,2,COLUMN())&amp;"+"&amp;INDEX(tb_ConsensusEstimate,3,COLUMN())),_xll.FDS(MO.Ticker.FactSet,"FE_ESTIMATE(SALES,MEAN,"&amp;INDEX(tb_ConsensusEstimate,2,COLUMN())&amp;",+"&amp;INDEX(tb_ConsensusEstimate,3,COLUMN())&amp;",NOW,,,'')"),_xll.TR(MO.Ticker.Thomson,"ZAV(TR.RevenueMean(Scale=6))","Period="&amp;INDEX(tb_ConsensusEstimate,2,COLUMN())&amp;INDEX(tb_ConsensusEstimate,3,COLUMN()))),"N/A")</f>
        <v>N/A</v>
      </c>
      <c r="AZ496" s="629" t="str">
        <f ca="1">IFERROR(CHOOSE(MO.DataSourceIndex,_xll.BDP(MO.Ticker.Bloomberg&amp;" EQUITY","BEST_SALES","BEST_FPERIOD_OVERRIDE="&amp;INDEX(tb_ConsensusEstimate,3,COLUMN())&amp;INDEX(tb_ConsensusEstimate,2,COLUMN())),_xll.CIQ(MO.Ticker.CapIQ,"IQ_REVENUE_EST","IQ_"&amp;INDEX(tb_ConsensusEstimate,2,COLUMN())&amp;"+"&amp;INDEX(tb_ConsensusEstimate,3,COLUMN())),_xll.FDS(MO.Ticker.FactSet,"FE_ESTIMATE(SALES,MEAN,"&amp;INDEX(tb_ConsensusEstimate,2,COLUMN())&amp;",+"&amp;INDEX(tb_ConsensusEstimate,3,COLUMN())&amp;",NOW,,,'')"),_xll.TR(MO.Ticker.Thomson,"ZAV(TR.RevenueMean(Scale=6))","Period="&amp;INDEX(tb_ConsensusEstimate,2,COLUMN())&amp;INDEX(tb_ConsensusEstimate,3,COLUMN()))),"N/A")</f>
        <v>N/A</v>
      </c>
      <c r="BA496" s="629" t="str">
        <f ca="1">IFERROR(CHOOSE(MO.DataSourceIndex,_xll.BDP(MO.Ticker.Bloomberg&amp;" EQUITY","BEST_SALES","BEST_FPERIOD_OVERRIDE="&amp;INDEX(tb_ConsensusEstimate,3,COLUMN())&amp;INDEX(tb_ConsensusEstimate,2,COLUMN())),_xll.CIQ(MO.Ticker.CapIQ,"IQ_REVENUE_EST","IQ_"&amp;INDEX(tb_ConsensusEstimate,2,COLUMN())&amp;"+"&amp;INDEX(tb_ConsensusEstimate,3,COLUMN())),_xll.FDS(MO.Ticker.FactSet,"FE_ESTIMATE(SALES,MEAN,"&amp;INDEX(tb_ConsensusEstimate,2,COLUMN())&amp;",+"&amp;INDEX(tb_ConsensusEstimate,3,COLUMN())&amp;",NOW,,,'')"),_xll.TR(MO.Ticker.Thomson,"ZAV(TR.RevenueMean(Scale=6))","Period="&amp;INDEX(tb_ConsensusEstimate,2,COLUMN())&amp;INDEX(tb_ConsensusEstimate,3,COLUMN()))),"N/A")</f>
        <v>N/A</v>
      </c>
      <c r="BB496" s="629" t="str">
        <f ca="1">IFERROR(CHOOSE(MO.DataSourceIndex,_xll.BDP(MO.Ticker.Bloomberg&amp;" EQUITY","BEST_SALES","BEST_FPERIOD_OVERRIDE="&amp;INDEX(tb_ConsensusEstimate,3,COLUMN())&amp;INDEX(tb_ConsensusEstimate,2,COLUMN())),_xll.CIQ(MO.Ticker.CapIQ,"IQ_REVENUE_EST","IQ_"&amp;INDEX(tb_ConsensusEstimate,2,COLUMN())&amp;"+"&amp;INDEX(tb_ConsensusEstimate,3,COLUMN())),_xll.FDS(MO.Ticker.FactSet,"FE_ESTIMATE(SALES,MEAN,"&amp;INDEX(tb_ConsensusEstimate,2,COLUMN())&amp;",+"&amp;INDEX(tb_ConsensusEstimate,3,COLUMN())&amp;",NOW,,,'')"),_xll.TR(MO.Ticker.Thomson,"ZAV(TR.RevenueMean(Scale=6))","Period="&amp;INDEX(tb_ConsensusEstimate,2,COLUMN())&amp;INDEX(tb_ConsensusEstimate,3,COLUMN()))),"N/A")</f>
        <v>N/A</v>
      </c>
      <c r="BC496" s="547" t="str">
        <f ca="1">IFERROR(CHOOSE(MO.DataSourceIndex,_xll.BDP(MO.Ticker.Bloomberg&amp;" EQUITY","BEST_SALES","BEST_FPERIOD_OVERRIDE="&amp;INDEX(tb_ConsensusEstimate,3,COLUMN())&amp;INDEX(tb_ConsensusEstimate,2,COLUMN())),_xll.CIQ(MO.Ticker.CapIQ,"IQ_REVENUE_EST","IQ_"&amp;INDEX(tb_ConsensusEstimate,2,COLUMN())&amp;"+"&amp;INDEX(tb_ConsensusEstimate,3,COLUMN())),_xll.FDS(MO.Ticker.FactSet,"FE_ESTIMATE(SALES,MEAN,"&amp;INDEX(tb_ConsensusEstimate,2,COLUMN())&amp;",+"&amp;INDEX(tb_ConsensusEstimate,3,COLUMN())&amp;",NOW,,,'')"),_xll.TR(MO.Ticker.Thomson,"ZAV(TR.RevenueMean(Scale=6))","Period="&amp;INDEX(tb_ConsensusEstimate,2,COLUMN())&amp;INDEX(tb_ConsensusEstimate,3,COLUMN()))),"N/A")</f>
        <v>N/A</v>
      </c>
      <c r="BD496" s="631"/>
    </row>
    <row r="497" spans="1:56" s="39" customFormat="1" x14ac:dyDescent="0.25">
      <c r="A497" s="550" t="str">
        <f>$A$169</f>
        <v>Consensus Estimates - Adjusted EBITDA</v>
      </c>
      <c r="B497" s="629"/>
      <c r="C497" s="464"/>
      <c r="D497" s="629"/>
      <c r="E497" s="629"/>
      <c r="F497" s="629"/>
      <c r="G497" s="629"/>
      <c r="H497" s="629"/>
      <c r="I497" s="629"/>
      <c r="J497" s="629"/>
      <c r="K497" s="629"/>
      <c r="L497" s="629"/>
      <c r="M497" s="629"/>
      <c r="N497" s="629"/>
      <c r="O497" s="629"/>
      <c r="P497" s="629"/>
      <c r="Q497" s="629"/>
      <c r="R497" s="629"/>
      <c r="S497" s="629"/>
      <c r="T497" s="629"/>
      <c r="U497" s="629"/>
      <c r="V497" s="629"/>
      <c r="W497" s="629"/>
      <c r="X497" s="629"/>
      <c r="Y497" s="629"/>
      <c r="Z497" s="629"/>
      <c r="AA497" s="629"/>
      <c r="AB497" s="629"/>
      <c r="AC497" s="629"/>
      <c r="AD497" s="629"/>
      <c r="AE497" s="629"/>
      <c r="AF497" s="725"/>
      <c r="AG497" s="629" t="str">
        <f ca="1">IFERROR(CHOOSE(MO.DataSourceIndex,_xll.BDP(MO.Ticker.Bloomberg&amp;" EQUITY","BEST_EBITDA","BEST_FPERIOD_OVERRIDE="&amp;INDEX(tb_ConsensusEstimate,3,COLUMN())&amp;INDEX(tb_ConsensusEstimate,2,COLUMN())),_xll.CIQ(MO.Ticker.CapIQ,"IQ_EBITDA_EST","IQ_"&amp;INDEX(tb_ConsensusEstimate,2,COLUMN())&amp;"+"&amp;INDEX(tb_ConsensusEstimate,3,COLUMN())),_xll.FDS(MO.Ticker.FactSet,"FE_ESTIMATE(EBITDA,MEAN,"&amp;INDEX(tb_ConsensusEstimate,2,COLUMN())&amp;",+"&amp;INDEX(tb_ConsensusEstimate,3,COLUMN())&amp;",NOW,,,'')"),_xll.TR(MO.Ticker.Thomson,"ZAV(TR.EBITDAMean(Scale=6))","Period="&amp;INDEX(tb_ConsensusEstimate,2,COLUMN())&amp;INDEX(tb_ConsensusEstimate,3,COLUMN()))),"N/A")</f>
        <v>N/A</v>
      </c>
      <c r="AH497" s="629" t="str">
        <f ca="1">IFERROR(CHOOSE(MO.DataSourceIndex,_xll.BDP(MO.Ticker.Bloomberg&amp;" EQUITY","BEST_EBITDA","BEST_FPERIOD_OVERRIDE="&amp;INDEX(tb_ConsensusEstimate,3,COLUMN())&amp;INDEX(tb_ConsensusEstimate,2,COLUMN())),_xll.CIQ(MO.Ticker.CapIQ,"IQ_EBITDA_EST","IQ_"&amp;INDEX(tb_ConsensusEstimate,2,COLUMN())&amp;"+"&amp;INDEX(tb_ConsensusEstimate,3,COLUMN())),_xll.FDS(MO.Ticker.FactSet,"FE_ESTIMATE(EBITDA,MEAN,"&amp;INDEX(tb_ConsensusEstimate,2,COLUMN())&amp;",+"&amp;INDEX(tb_ConsensusEstimate,3,COLUMN())&amp;",NOW,,,'')"),_xll.TR(MO.Ticker.Thomson,"ZAV(TR.EBITDAMean(Scale=6))","Period="&amp;INDEX(tb_ConsensusEstimate,2,COLUMN())&amp;INDEX(tb_ConsensusEstimate,3,COLUMN()))),"N/A")</f>
        <v>N/A</v>
      </c>
      <c r="AI497" s="629" t="str">
        <f ca="1">IFERROR(CHOOSE(MO.DataSourceIndex,_xll.BDP(MO.Ticker.Bloomberg&amp;" EQUITY","BEST_EBITDA","BEST_FPERIOD_OVERRIDE="&amp;INDEX(tb_ConsensusEstimate,3,COLUMN())&amp;INDEX(tb_ConsensusEstimate,2,COLUMN())),_xll.CIQ(MO.Ticker.CapIQ,"IQ_EBITDA_EST","IQ_"&amp;INDEX(tb_ConsensusEstimate,2,COLUMN())&amp;"+"&amp;INDEX(tb_ConsensusEstimate,3,COLUMN())),_xll.FDS(MO.Ticker.FactSet,"FE_ESTIMATE(EBITDA,MEAN,"&amp;INDEX(tb_ConsensusEstimate,2,COLUMN())&amp;",+"&amp;INDEX(tb_ConsensusEstimate,3,COLUMN())&amp;",NOW,,,'')"),_xll.TR(MO.Ticker.Thomson,"ZAV(TR.EBITDAMean(Scale=6))","Period="&amp;INDEX(tb_ConsensusEstimate,2,COLUMN())&amp;INDEX(tb_ConsensusEstimate,3,COLUMN()))),"N/A")</f>
        <v>N/A</v>
      </c>
      <c r="AJ497" s="629" t="str">
        <f ca="1">IFERROR(CHOOSE(MO.DataSourceIndex,_xll.BDP(MO.Ticker.Bloomberg&amp;" EQUITY","BEST_EBITDA","BEST_FPERIOD_OVERRIDE="&amp;INDEX(tb_ConsensusEstimate,3,COLUMN())&amp;INDEX(tb_ConsensusEstimate,2,COLUMN())),_xll.CIQ(MO.Ticker.CapIQ,"IQ_EBITDA_EST","IQ_"&amp;INDEX(tb_ConsensusEstimate,2,COLUMN())&amp;"+"&amp;INDEX(tb_ConsensusEstimate,3,COLUMN())),_xll.FDS(MO.Ticker.FactSet,"FE_ESTIMATE(EBITDA,MEAN,"&amp;INDEX(tb_ConsensusEstimate,2,COLUMN())&amp;",+"&amp;INDEX(tb_ConsensusEstimate,3,COLUMN())&amp;",NOW,,,'')"),_xll.TR(MO.Ticker.Thomson,"ZAV(TR.EBITDAMean(Scale=6))","Period="&amp;INDEX(tb_ConsensusEstimate,2,COLUMN())&amp;INDEX(tb_ConsensusEstimate,3,COLUMN()))),"N/A")</f>
        <v>N/A</v>
      </c>
      <c r="AK497" s="629" t="str">
        <f ca="1">IFERROR(CHOOSE(MO.DataSourceIndex,_xll.BDP(MO.Ticker.Bloomberg&amp;" EQUITY","BEST_EBITDA","BEST_FPERIOD_OVERRIDE="&amp;INDEX(tb_ConsensusEstimate,3,COLUMN())&amp;INDEX(tb_ConsensusEstimate,2,COLUMN())),_xll.CIQ(MO.Ticker.CapIQ,"IQ_EBITDA_EST","IQ_"&amp;INDEX(tb_ConsensusEstimate,2,COLUMN())&amp;"+"&amp;INDEX(tb_ConsensusEstimate,3,COLUMN())),_xll.FDS(MO.Ticker.FactSet,"FE_ESTIMATE(EBITDA,MEAN,"&amp;INDEX(tb_ConsensusEstimate,2,COLUMN())&amp;",+"&amp;INDEX(tb_ConsensusEstimate,3,COLUMN())&amp;",NOW,,,'')"),_xll.TR(MO.Ticker.Thomson,"ZAV(TR.EBITDAMean(Scale=6))","Period="&amp;INDEX(tb_ConsensusEstimate,2,COLUMN())&amp;INDEX(tb_ConsensusEstimate,3,COLUMN()))),"N/A")</f>
        <v>N/A</v>
      </c>
      <c r="AL497" s="629" t="str">
        <f ca="1">IFERROR(CHOOSE(MO.DataSourceIndex,_xll.BDP(MO.Ticker.Bloomberg&amp;" EQUITY","BEST_EBITDA","BEST_FPERIOD_OVERRIDE="&amp;INDEX(tb_ConsensusEstimate,3,COLUMN())&amp;INDEX(tb_ConsensusEstimate,2,COLUMN())),_xll.CIQ(MO.Ticker.CapIQ,"IQ_EBITDA_EST","IQ_"&amp;INDEX(tb_ConsensusEstimate,2,COLUMN())&amp;"+"&amp;INDEX(tb_ConsensusEstimate,3,COLUMN())),_xll.FDS(MO.Ticker.FactSet,"FE_ESTIMATE(EBITDA,MEAN,"&amp;INDEX(tb_ConsensusEstimate,2,COLUMN())&amp;",+"&amp;INDEX(tb_ConsensusEstimate,3,COLUMN())&amp;",NOW,,,'')"),_xll.TR(MO.Ticker.Thomson,"ZAV(TR.EBITDAMean(Scale=6))","Period="&amp;INDEX(tb_ConsensusEstimate,2,COLUMN())&amp;INDEX(tb_ConsensusEstimate,3,COLUMN()))),"N/A")</f>
        <v>N/A</v>
      </c>
      <c r="AM497" s="629"/>
      <c r="AN497" s="464"/>
      <c r="AO497" s="464"/>
      <c r="AP497" s="464"/>
      <c r="AQ497" s="464"/>
      <c r="AR497" s="629"/>
      <c r="AS497" s="629"/>
      <c r="AT497" s="629"/>
      <c r="AU497" s="629"/>
      <c r="AV497" s="629"/>
      <c r="AW497" s="629"/>
      <c r="AX497" s="629"/>
      <c r="AY497" s="629" t="str">
        <f ca="1">IFERROR(CHOOSE(MO.DataSourceIndex,_xll.BDP(MO.Ticker.Bloomberg&amp;" EQUITY","BEST_EBITDA","BEST_FPERIOD_OVERRIDE="&amp;INDEX(tb_ConsensusEstimate,3,COLUMN())&amp;INDEX(tb_ConsensusEstimate,2,COLUMN())),_xll.CIQ(MO.Ticker.CapIQ,"IQ_EBITDA_EST","IQ_"&amp;INDEX(tb_ConsensusEstimate,2,COLUMN())&amp;"+"&amp;INDEX(tb_ConsensusEstimate,3,COLUMN())),_xll.FDS(MO.Ticker.FactSet,"FE_ESTIMATE(EBITDA,MEAN,"&amp;INDEX(tb_ConsensusEstimate,2,COLUMN())&amp;",+"&amp;INDEX(tb_ConsensusEstimate,3,COLUMN())&amp;",NOW,,,'')"),_xll.TR(MO.Ticker.Thomson,"ZAV(TR.EBITDAMean(Scale=6))","Period="&amp;INDEX(tb_ConsensusEstimate,2,COLUMN())&amp;INDEX(tb_ConsensusEstimate,3,COLUMN()))),"N/A")</f>
        <v>N/A</v>
      </c>
      <c r="AZ497" s="629" t="str">
        <f ca="1">IFERROR(CHOOSE(MO.DataSourceIndex,_xll.BDP(MO.Ticker.Bloomberg&amp;" EQUITY","BEST_EBITDA","BEST_FPERIOD_OVERRIDE="&amp;INDEX(tb_ConsensusEstimate,3,COLUMN())&amp;INDEX(tb_ConsensusEstimate,2,COLUMN())),_xll.CIQ(MO.Ticker.CapIQ,"IQ_EBITDA_EST","IQ_"&amp;INDEX(tb_ConsensusEstimate,2,COLUMN())&amp;"+"&amp;INDEX(tb_ConsensusEstimate,3,COLUMN())),_xll.FDS(MO.Ticker.FactSet,"FE_ESTIMATE(EBITDA,MEAN,"&amp;INDEX(tb_ConsensusEstimate,2,COLUMN())&amp;",+"&amp;INDEX(tb_ConsensusEstimate,3,COLUMN())&amp;",NOW,,,'')"),_xll.TR(MO.Ticker.Thomson,"ZAV(TR.EBITDAMean(Scale=6))","Period="&amp;INDEX(tb_ConsensusEstimate,2,COLUMN())&amp;INDEX(tb_ConsensusEstimate,3,COLUMN()))),"N/A")</f>
        <v>N/A</v>
      </c>
      <c r="BA497" s="629" t="str">
        <f ca="1">IFERROR(CHOOSE(MO.DataSourceIndex,_xll.BDP(MO.Ticker.Bloomberg&amp;" EQUITY","BEST_EBITDA","BEST_FPERIOD_OVERRIDE="&amp;INDEX(tb_ConsensusEstimate,3,COLUMN())&amp;INDEX(tb_ConsensusEstimate,2,COLUMN())),_xll.CIQ(MO.Ticker.CapIQ,"IQ_EBITDA_EST","IQ_"&amp;INDEX(tb_ConsensusEstimate,2,COLUMN())&amp;"+"&amp;INDEX(tb_ConsensusEstimate,3,COLUMN())),_xll.FDS(MO.Ticker.FactSet,"FE_ESTIMATE(EBITDA,MEAN,"&amp;INDEX(tb_ConsensusEstimate,2,COLUMN())&amp;",+"&amp;INDEX(tb_ConsensusEstimate,3,COLUMN())&amp;",NOW,,,'')"),_xll.TR(MO.Ticker.Thomson,"ZAV(TR.EBITDAMean(Scale=6))","Period="&amp;INDEX(tb_ConsensusEstimate,2,COLUMN())&amp;INDEX(tb_ConsensusEstimate,3,COLUMN()))),"N/A")</f>
        <v>N/A</v>
      </c>
      <c r="BB497" s="629" t="str">
        <f ca="1">IFERROR(CHOOSE(MO.DataSourceIndex,_xll.BDP(MO.Ticker.Bloomberg&amp;" EQUITY","BEST_EBITDA","BEST_FPERIOD_OVERRIDE="&amp;INDEX(tb_ConsensusEstimate,3,COLUMN())&amp;INDEX(tb_ConsensusEstimate,2,COLUMN())),_xll.CIQ(MO.Ticker.CapIQ,"IQ_EBITDA_EST","IQ_"&amp;INDEX(tb_ConsensusEstimate,2,COLUMN())&amp;"+"&amp;INDEX(tb_ConsensusEstimate,3,COLUMN())),_xll.FDS(MO.Ticker.FactSet,"FE_ESTIMATE(EBITDA,MEAN,"&amp;INDEX(tb_ConsensusEstimate,2,COLUMN())&amp;",+"&amp;INDEX(tb_ConsensusEstimate,3,COLUMN())&amp;",NOW,,,'')"),_xll.TR(MO.Ticker.Thomson,"ZAV(TR.EBITDAMean(Scale=6))","Period="&amp;INDEX(tb_ConsensusEstimate,2,COLUMN())&amp;INDEX(tb_ConsensusEstimate,3,COLUMN()))),"N/A")</f>
        <v>N/A</v>
      </c>
      <c r="BC497" s="547" t="str">
        <f ca="1">IFERROR(CHOOSE(MO.DataSourceIndex,_xll.BDP(MO.Ticker.Bloomberg&amp;" EQUITY","BEST_EBITDA","BEST_FPERIOD_OVERRIDE="&amp;INDEX(tb_ConsensusEstimate,3,COLUMN())&amp;INDEX(tb_ConsensusEstimate,2,COLUMN())),_xll.CIQ(MO.Ticker.CapIQ,"IQ_EBITDA_EST","IQ_"&amp;INDEX(tb_ConsensusEstimate,2,COLUMN())&amp;"+"&amp;INDEX(tb_ConsensusEstimate,3,COLUMN())),_xll.FDS(MO.Ticker.FactSet,"FE_ESTIMATE(EBITDA,MEAN,"&amp;INDEX(tb_ConsensusEstimate,2,COLUMN())&amp;",+"&amp;INDEX(tb_ConsensusEstimate,3,COLUMN())&amp;",NOW,,,'')"),_xll.TR(MO.Ticker.Thomson,"ZAV(TR.EBITDAMean(Scale=6))","Period="&amp;INDEX(tb_ConsensusEstimate,2,COLUMN())&amp;INDEX(tb_ConsensusEstimate,3,COLUMN()))),"N/A")</f>
        <v>N/A</v>
      </c>
      <c r="BD497" s="631"/>
    </row>
    <row r="498" spans="1:56" s="53" customFormat="1" x14ac:dyDescent="0.25">
      <c r="A498" s="551" t="str">
        <f>$A$200</f>
        <v>Consensus Estimates - Adjusted Earnings Per Share - WAD</v>
      </c>
      <c r="B498" s="452"/>
      <c r="C498" s="465"/>
      <c r="D498" s="452"/>
      <c r="E498" s="452"/>
      <c r="F498" s="452"/>
      <c r="G498" s="452"/>
      <c r="H498" s="452"/>
      <c r="I498" s="452"/>
      <c r="J498" s="452"/>
      <c r="K498" s="452"/>
      <c r="L498" s="452"/>
      <c r="M498" s="452"/>
      <c r="N498" s="452"/>
      <c r="O498" s="452"/>
      <c r="P498" s="452"/>
      <c r="Q498" s="452"/>
      <c r="R498" s="452"/>
      <c r="S498" s="452"/>
      <c r="T498" s="452"/>
      <c r="U498" s="452"/>
      <c r="V498" s="452"/>
      <c r="W498" s="452"/>
      <c r="X498" s="452"/>
      <c r="Y498" s="452"/>
      <c r="Z498" s="452"/>
      <c r="AA498" s="452"/>
      <c r="AB498" s="452"/>
      <c r="AC498" s="452"/>
      <c r="AD498" s="452"/>
      <c r="AE498" s="452"/>
      <c r="AF498" s="452"/>
      <c r="AG498" s="452" t="str">
        <f ca="1">IFERROR(CHOOSE(MO.DataSourceIndex,_xll.BDP(MO.Ticker.Bloomberg&amp;" EQUITY","BEST_EPS","BEST_FPERIOD_OVERRIDE="&amp;INDEX(tb_ConsensusEstimate,3,COLUMN())&amp;INDEX(tb_ConsensusEstimate,2,COLUMN())),_xll.CIQ(MO.Ticker.CapIQ,"IQ_EPS_NORM_EST","IQ_"&amp;INDEX(tb_ConsensusEstimate,2,COLUMN())&amp;"+"&amp;INDEX(tb_ConsensusEstimate,3,COLUMN())),_xll.FDS(MO.Ticker.FactSet,"FE_ESTIMATE(EPS,MEAN,"&amp;INDEX(tb_ConsensusEstimate,2,COLUMN())&amp;",+"&amp;INDEX(tb_ConsensusEstimate,3,COLUMN())&amp;",NOW,,,'')"),_xll.TR(MO.Ticker.Thomson,"ZAV(TR.EPSMean)","Period="&amp;INDEX(tb_ConsensusEstimate,2,COLUMN())&amp;INDEX(tb_ConsensusEstimate,3,COLUMN()))),"N/A")</f>
        <v>N/A</v>
      </c>
      <c r="AH498" s="452" t="str">
        <f ca="1">IFERROR(CHOOSE(MO.DataSourceIndex,_xll.BDP(MO.Ticker.Bloomberg&amp;" EQUITY","BEST_EPS","BEST_FPERIOD_OVERRIDE="&amp;INDEX(tb_ConsensusEstimate,3,COLUMN())&amp;INDEX(tb_ConsensusEstimate,2,COLUMN())),_xll.CIQ(MO.Ticker.CapIQ,"IQ_EPS_NORM_EST","IQ_"&amp;INDEX(tb_ConsensusEstimate,2,COLUMN())&amp;"+"&amp;INDEX(tb_ConsensusEstimate,3,COLUMN())),_xll.FDS(MO.Ticker.FactSet,"FE_ESTIMATE(EPS,MEAN,"&amp;INDEX(tb_ConsensusEstimate,2,COLUMN())&amp;",+"&amp;INDEX(tb_ConsensusEstimate,3,COLUMN())&amp;",NOW,,,'')"),_xll.TR(MO.Ticker.Thomson,"ZAV(TR.EPSMean)","Period="&amp;INDEX(tb_ConsensusEstimate,2,COLUMN())&amp;INDEX(tb_ConsensusEstimate,3,COLUMN()))),"N/A")</f>
        <v>N/A</v>
      </c>
      <c r="AI498" s="452" t="str">
        <f ca="1">IFERROR(CHOOSE(MO.DataSourceIndex,_xll.BDP(MO.Ticker.Bloomberg&amp;" EQUITY","BEST_EPS","BEST_FPERIOD_OVERRIDE="&amp;INDEX(tb_ConsensusEstimate,3,COLUMN())&amp;INDEX(tb_ConsensusEstimate,2,COLUMN())),_xll.CIQ(MO.Ticker.CapIQ,"IQ_EPS_NORM_EST","IQ_"&amp;INDEX(tb_ConsensusEstimate,2,COLUMN())&amp;"+"&amp;INDEX(tb_ConsensusEstimate,3,COLUMN())),_xll.FDS(MO.Ticker.FactSet,"FE_ESTIMATE(EPS,MEAN,"&amp;INDEX(tb_ConsensusEstimate,2,COLUMN())&amp;",+"&amp;INDEX(tb_ConsensusEstimate,3,COLUMN())&amp;",NOW,,,'')"),_xll.TR(MO.Ticker.Thomson,"ZAV(TR.EPSMean)","Period="&amp;INDEX(tb_ConsensusEstimate,2,COLUMN())&amp;INDEX(tb_ConsensusEstimate,3,COLUMN()))),"N/A")</f>
        <v>N/A</v>
      </c>
      <c r="AJ498" s="452" t="str">
        <f ca="1">IFERROR(CHOOSE(MO.DataSourceIndex,_xll.BDP(MO.Ticker.Bloomberg&amp;" EQUITY","BEST_EPS","BEST_FPERIOD_OVERRIDE="&amp;INDEX(tb_ConsensusEstimate,3,COLUMN())&amp;INDEX(tb_ConsensusEstimate,2,COLUMN())),_xll.CIQ(MO.Ticker.CapIQ,"IQ_EPS_NORM_EST","IQ_"&amp;INDEX(tb_ConsensusEstimate,2,COLUMN())&amp;"+"&amp;INDEX(tb_ConsensusEstimate,3,COLUMN())),_xll.FDS(MO.Ticker.FactSet,"FE_ESTIMATE(EPS,MEAN,"&amp;INDEX(tb_ConsensusEstimate,2,COLUMN())&amp;",+"&amp;INDEX(tb_ConsensusEstimate,3,COLUMN())&amp;",NOW,,,'')"),_xll.TR(MO.Ticker.Thomson,"ZAV(TR.EPSMean)","Period="&amp;INDEX(tb_ConsensusEstimate,2,COLUMN())&amp;INDEX(tb_ConsensusEstimate,3,COLUMN()))),"N/A")</f>
        <v>N/A</v>
      </c>
      <c r="AK498" s="452" t="str">
        <f ca="1">IFERROR(CHOOSE(MO.DataSourceIndex,_xll.BDP(MO.Ticker.Bloomberg&amp;" EQUITY","BEST_EPS","BEST_FPERIOD_OVERRIDE="&amp;INDEX(tb_ConsensusEstimate,3,COLUMN())&amp;INDEX(tb_ConsensusEstimate,2,COLUMN())),_xll.CIQ(MO.Ticker.CapIQ,"IQ_EPS_NORM_EST","IQ_"&amp;INDEX(tb_ConsensusEstimate,2,COLUMN())&amp;"+"&amp;INDEX(tb_ConsensusEstimate,3,COLUMN())),_xll.FDS(MO.Ticker.FactSet,"FE_ESTIMATE(EPS,MEAN,"&amp;INDEX(tb_ConsensusEstimate,2,COLUMN())&amp;",+"&amp;INDEX(tb_ConsensusEstimate,3,COLUMN())&amp;",NOW,,,'')"),_xll.TR(MO.Ticker.Thomson,"ZAV(TR.EPSMean)","Period="&amp;INDEX(tb_ConsensusEstimate,2,COLUMN())&amp;INDEX(tb_ConsensusEstimate,3,COLUMN()))),"N/A")</f>
        <v>N/A</v>
      </c>
      <c r="AL498" s="452" t="str">
        <f ca="1">IFERROR(CHOOSE(MO.DataSourceIndex,_xll.BDP(MO.Ticker.Bloomberg&amp;" EQUITY","BEST_EPS","BEST_FPERIOD_OVERRIDE="&amp;INDEX(tb_ConsensusEstimate,3,COLUMN())&amp;INDEX(tb_ConsensusEstimate,2,COLUMN())),_xll.CIQ(MO.Ticker.CapIQ,"IQ_EPS_NORM_EST","IQ_"&amp;INDEX(tb_ConsensusEstimate,2,COLUMN())&amp;"+"&amp;INDEX(tb_ConsensusEstimate,3,COLUMN())),_xll.FDS(MO.Ticker.FactSet,"FE_ESTIMATE(EPS,MEAN,"&amp;INDEX(tb_ConsensusEstimate,2,COLUMN())&amp;",+"&amp;INDEX(tb_ConsensusEstimate,3,COLUMN())&amp;",NOW,,,'')"),_xll.TR(MO.Ticker.Thomson,"ZAV(TR.EPSMean)","Period="&amp;INDEX(tb_ConsensusEstimate,2,COLUMN())&amp;INDEX(tb_ConsensusEstimate,3,COLUMN()))),"N/A")</f>
        <v>N/A</v>
      </c>
      <c r="AM498" s="452"/>
      <c r="AN498" s="465"/>
      <c r="AO498" s="465"/>
      <c r="AP498" s="465"/>
      <c r="AQ498" s="465"/>
      <c r="AR498" s="452"/>
      <c r="AS498" s="452"/>
      <c r="AT498" s="452"/>
      <c r="AU498" s="452"/>
      <c r="AV498" s="452"/>
      <c r="AW498" s="452"/>
      <c r="AX498" s="452"/>
      <c r="AY498" s="452" t="str">
        <f ca="1">IFERROR(CHOOSE(MO.DataSourceIndex,_xll.BDP(MO.Ticker.Bloomberg&amp;" EQUITY","BEST_EPS","BEST_FPERIOD_OVERRIDE="&amp;INDEX(tb_ConsensusEstimate,3,COLUMN())&amp;INDEX(tb_ConsensusEstimate,2,COLUMN())),_xll.CIQ(MO.Ticker.CapIQ,"IQ_EPS_NORM_EST","IQ_"&amp;INDEX(tb_ConsensusEstimate,2,COLUMN())&amp;"+"&amp;INDEX(tb_ConsensusEstimate,3,COLUMN())),_xll.FDS(MO.Ticker.FactSet,"FE_ESTIMATE(EPS,MEAN,"&amp;INDEX(tb_ConsensusEstimate,2,COLUMN())&amp;",+"&amp;INDEX(tb_ConsensusEstimate,3,COLUMN())&amp;",NOW,,,'')"),_xll.TR(MO.Ticker.Thomson,"ZAV(TR.EPSMean)","Period="&amp;INDEX(tb_ConsensusEstimate,2,COLUMN())&amp;INDEX(tb_ConsensusEstimate,3,COLUMN()))),"N/A")</f>
        <v>N/A</v>
      </c>
      <c r="AZ498" s="452" t="str">
        <f ca="1">IFERROR(CHOOSE(MO.DataSourceIndex,_xll.BDP(MO.Ticker.Bloomberg&amp;" EQUITY","BEST_EPS","BEST_FPERIOD_OVERRIDE="&amp;INDEX(tb_ConsensusEstimate,3,COLUMN())&amp;INDEX(tb_ConsensusEstimate,2,COLUMN())),_xll.CIQ(MO.Ticker.CapIQ,"IQ_EPS_NORM_EST","IQ_"&amp;INDEX(tb_ConsensusEstimate,2,COLUMN())&amp;"+"&amp;INDEX(tb_ConsensusEstimate,3,COLUMN())),_xll.FDS(MO.Ticker.FactSet,"FE_ESTIMATE(EPS,MEAN,"&amp;INDEX(tb_ConsensusEstimate,2,COLUMN())&amp;",+"&amp;INDEX(tb_ConsensusEstimate,3,COLUMN())&amp;",NOW,,,'')"),_xll.TR(MO.Ticker.Thomson,"ZAV(TR.EPSMean)","Period="&amp;INDEX(tb_ConsensusEstimate,2,COLUMN())&amp;INDEX(tb_ConsensusEstimate,3,COLUMN()))),"N/A")</f>
        <v>N/A</v>
      </c>
      <c r="BA498" s="452" t="str">
        <f ca="1">IFERROR(CHOOSE(MO.DataSourceIndex,_xll.BDP(MO.Ticker.Bloomberg&amp;" EQUITY","BEST_EPS","BEST_FPERIOD_OVERRIDE="&amp;INDEX(tb_ConsensusEstimate,3,COLUMN())&amp;INDEX(tb_ConsensusEstimate,2,COLUMN())),_xll.CIQ(MO.Ticker.CapIQ,"IQ_EPS_NORM_EST","IQ_"&amp;INDEX(tb_ConsensusEstimate,2,COLUMN())&amp;"+"&amp;INDEX(tb_ConsensusEstimate,3,COLUMN())),_xll.FDS(MO.Ticker.FactSet,"FE_ESTIMATE(EPS,MEAN,"&amp;INDEX(tb_ConsensusEstimate,2,COLUMN())&amp;",+"&amp;INDEX(tb_ConsensusEstimate,3,COLUMN())&amp;",NOW,,,'')"),_xll.TR(MO.Ticker.Thomson,"ZAV(TR.EPSMean)","Period="&amp;INDEX(tb_ConsensusEstimate,2,COLUMN())&amp;INDEX(tb_ConsensusEstimate,3,COLUMN()))),"N/A")</f>
        <v>N/A</v>
      </c>
      <c r="BB498" s="452" t="str">
        <f ca="1">IFERROR(CHOOSE(MO.DataSourceIndex,_xll.BDP(MO.Ticker.Bloomberg&amp;" EQUITY","BEST_EPS","BEST_FPERIOD_OVERRIDE="&amp;INDEX(tb_ConsensusEstimate,3,COLUMN())&amp;INDEX(tb_ConsensusEstimate,2,COLUMN())),_xll.CIQ(MO.Ticker.CapIQ,"IQ_EPS_NORM_EST","IQ_"&amp;INDEX(tb_ConsensusEstimate,2,COLUMN())&amp;"+"&amp;INDEX(tb_ConsensusEstimate,3,COLUMN())),_xll.FDS(MO.Ticker.FactSet,"FE_ESTIMATE(EPS,MEAN,"&amp;INDEX(tb_ConsensusEstimate,2,COLUMN())&amp;",+"&amp;INDEX(tb_ConsensusEstimate,3,COLUMN())&amp;",NOW,,,'')"),_xll.TR(MO.Ticker.Thomson,"ZAV(TR.EPSMean)","Period="&amp;INDEX(tb_ConsensusEstimate,2,COLUMN())&amp;INDEX(tb_ConsensusEstimate,3,COLUMN()))),"N/A")</f>
        <v>N/A</v>
      </c>
      <c r="BC498" s="548" t="str">
        <f ca="1">IFERROR(CHOOSE(MO.DataSourceIndex,_xll.BDP(MO.Ticker.Bloomberg&amp;" EQUITY","BEST_EPS","BEST_FPERIOD_OVERRIDE="&amp;INDEX(tb_ConsensusEstimate,3,COLUMN())&amp;INDEX(tb_ConsensusEstimate,2,COLUMN())),_xll.CIQ(MO.Ticker.CapIQ,"IQ_EPS_NORM_EST","IQ_"&amp;INDEX(tb_ConsensusEstimate,2,COLUMN())&amp;"+"&amp;INDEX(tb_ConsensusEstimate,3,COLUMN())),_xll.FDS(MO.Ticker.FactSet,"FE_ESTIMATE(EPS,MEAN,"&amp;INDEX(tb_ConsensusEstimate,2,COLUMN())&amp;",+"&amp;INDEX(tb_ConsensusEstimate,3,COLUMN())&amp;",NOW,,,'')"),_xll.TR(MO.Ticker.Thomson,"ZAV(TR.EPSMean)","Period="&amp;INDEX(tb_ConsensusEstimate,2,COLUMN())&amp;INDEX(tb_ConsensusEstimate,3,COLUMN()))),"N/A")</f>
        <v>N/A</v>
      </c>
      <c r="BD498" s="309"/>
    </row>
    <row r="499" spans="1:56" s="53" customFormat="1" x14ac:dyDescent="0.25">
      <c r="A499" s="551" t="str">
        <f>$A$209</f>
        <v>Consensus Estimates - Cash Flow Per Diluted Share</v>
      </c>
      <c r="B499" s="452"/>
      <c r="C499" s="465"/>
      <c r="D499" s="452"/>
      <c r="E499" s="452"/>
      <c r="F499" s="452"/>
      <c r="G499" s="452"/>
      <c r="H499" s="452"/>
      <c r="I499" s="452"/>
      <c r="J499" s="452"/>
      <c r="K499" s="452"/>
      <c r="L499" s="452"/>
      <c r="M499" s="452"/>
      <c r="N499" s="452"/>
      <c r="O499" s="452"/>
      <c r="P499" s="452"/>
      <c r="Q499" s="452"/>
      <c r="R499" s="452"/>
      <c r="S499" s="452"/>
      <c r="T499" s="452"/>
      <c r="U499" s="452"/>
      <c r="V499" s="452"/>
      <c r="W499" s="452"/>
      <c r="X499" s="452"/>
      <c r="Y499" s="452"/>
      <c r="Z499" s="452"/>
      <c r="AA499" s="452"/>
      <c r="AB499" s="452"/>
      <c r="AC499" s="452"/>
      <c r="AD499" s="452"/>
      <c r="AE499" s="452"/>
      <c r="AF499" s="452"/>
      <c r="AG499" s="452" t="str">
        <f ca="1">IFERROR(CHOOSE(MO.DataSourceIndex,_xll.BDP(MO.Ticker.Bloomberg&amp;" EQUITY","BEST_CPS","BEST_FPERIOD_OVERRIDE="&amp;INDEX(tb_ConsensusEstimate,3,COLUMN())&amp;INDEX(tb_ConsensusEstimate,2,COLUMN())),_xll.CIQ(MO.Ticker.CapIQ,"IQ_CFPS_EST","IQ_"&amp;INDEX(tb_ConsensusEstimate,2,COLUMN())&amp;"+"&amp;INDEX(tb_ConsensusEstimate,3,COLUMN())),_xll.FDS(MO.Ticker.FactSet,"FE_ESTIMATE(CFPS,MEAN,"&amp;INDEX(tb_ConsensusEstimate,2,COLUMN())&amp;",+"&amp;INDEX(tb_ConsensusEstimate,3,COLUMN())&amp;",NOW,,,'')"),_xll.TR(MO.Ticker.Thomson,"ZAV(TR.CFPSMean)","Period="&amp;INDEX(tb_ConsensusEstimate,2,COLUMN())&amp;INDEX(tb_ConsensusEstimate,3,COLUMN()))),"N/A")</f>
        <v>N/A</v>
      </c>
      <c r="AH499" s="452" t="str">
        <f ca="1">IFERROR(CHOOSE(MO.DataSourceIndex,_xll.BDP(MO.Ticker.Bloomberg&amp;" EQUITY","BEST_CPS","BEST_FPERIOD_OVERRIDE="&amp;INDEX(tb_ConsensusEstimate,3,COLUMN())&amp;INDEX(tb_ConsensusEstimate,2,COLUMN())),_xll.CIQ(MO.Ticker.CapIQ,"IQ_CFPS_EST","IQ_"&amp;INDEX(tb_ConsensusEstimate,2,COLUMN())&amp;"+"&amp;INDEX(tb_ConsensusEstimate,3,COLUMN())),_xll.FDS(MO.Ticker.FactSet,"FE_ESTIMATE(CFPS,MEAN,"&amp;INDEX(tb_ConsensusEstimate,2,COLUMN())&amp;",+"&amp;INDEX(tb_ConsensusEstimate,3,COLUMN())&amp;",NOW,,,'')"),_xll.TR(MO.Ticker.Thomson,"ZAV(TR.CFPSMean)","Period="&amp;INDEX(tb_ConsensusEstimate,2,COLUMN())&amp;INDEX(tb_ConsensusEstimate,3,COLUMN()))),"N/A")</f>
        <v>N/A</v>
      </c>
      <c r="AI499" s="452" t="str">
        <f ca="1">IFERROR(CHOOSE(MO.DataSourceIndex,_xll.BDP(MO.Ticker.Bloomberg&amp;" EQUITY","BEST_CPS","BEST_FPERIOD_OVERRIDE="&amp;INDEX(tb_ConsensusEstimate,3,COLUMN())&amp;INDEX(tb_ConsensusEstimate,2,COLUMN())),_xll.CIQ(MO.Ticker.CapIQ,"IQ_CFPS_EST","IQ_"&amp;INDEX(tb_ConsensusEstimate,2,COLUMN())&amp;"+"&amp;INDEX(tb_ConsensusEstimate,3,COLUMN())),_xll.FDS(MO.Ticker.FactSet,"FE_ESTIMATE(CFPS,MEAN,"&amp;INDEX(tb_ConsensusEstimate,2,COLUMN())&amp;",+"&amp;INDEX(tb_ConsensusEstimate,3,COLUMN())&amp;",NOW,,,'')"),_xll.TR(MO.Ticker.Thomson,"ZAV(TR.CFPSMean)","Period="&amp;INDEX(tb_ConsensusEstimate,2,COLUMN())&amp;INDEX(tb_ConsensusEstimate,3,COLUMN()))),"N/A")</f>
        <v>N/A</v>
      </c>
      <c r="AJ499" s="452" t="str">
        <f ca="1">IFERROR(CHOOSE(MO.DataSourceIndex,_xll.BDP(MO.Ticker.Bloomberg&amp;" EQUITY","BEST_CPS","BEST_FPERIOD_OVERRIDE="&amp;INDEX(tb_ConsensusEstimate,3,COLUMN())&amp;INDEX(tb_ConsensusEstimate,2,COLUMN())),_xll.CIQ(MO.Ticker.CapIQ,"IQ_CFPS_EST","IQ_"&amp;INDEX(tb_ConsensusEstimate,2,COLUMN())&amp;"+"&amp;INDEX(tb_ConsensusEstimate,3,COLUMN())),_xll.FDS(MO.Ticker.FactSet,"FE_ESTIMATE(CFPS,MEAN,"&amp;INDEX(tb_ConsensusEstimate,2,COLUMN())&amp;",+"&amp;INDEX(tb_ConsensusEstimate,3,COLUMN())&amp;",NOW,,,'')"),_xll.TR(MO.Ticker.Thomson,"ZAV(TR.CFPSMean)","Period="&amp;INDEX(tb_ConsensusEstimate,2,COLUMN())&amp;INDEX(tb_ConsensusEstimate,3,COLUMN()))),"N/A")</f>
        <v>N/A</v>
      </c>
      <c r="AK499" s="452" t="str">
        <f ca="1">IFERROR(CHOOSE(MO.DataSourceIndex,_xll.BDP(MO.Ticker.Bloomberg&amp;" EQUITY","BEST_CPS","BEST_FPERIOD_OVERRIDE="&amp;INDEX(tb_ConsensusEstimate,3,COLUMN())&amp;INDEX(tb_ConsensusEstimate,2,COLUMN())),_xll.CIQ(MO.Ticker.CapIQ,"IQ_CFPS_EST","IQ_"&amp;INDEX(tb_ConsensusEstimate,2,COLUMN())&amp;"+"&amp;INDEX(tb_ConsensusEstimate,3,COLUMN())),_xll.FDS(MO.Ticker.FactSet,"FE_ESTIMATE(CFPS,MEAN,"&amp;INDEX(tb_ConsensusEstimate,2,COLUMN())&amp;",+"&amp;INDEX(tb_ConsensusEstimate,3,COLUMN())&amp;",NOW,,,'')"),_xll.TR(MO.Ticker.Thomson,"ZAV(TR.CFPSMean)","Period="&amp;INDEX(tb_ConsensusEstimate,2,COLUMN())&amp;INDEX(tb_ConsensusEstimate,3,COLUMN()))),"N/A")</f>
        <v>N/A</v>
      </c>
      <c r="AL499" s="452" t="str">
        <f ca="1">IFERROR(CHOOSE(MO.DataSourceIndex,_xll.BDP(MO.Ticker.Bloomberg&amp;" EQUITY","BEST_CPS","BEST_FPERIOD_OVERRIDE="&amp;INDEX(tb_ConsensusEstimate,3,COLUMN())&amp;INDEX(tb_ConsensusEstimate,2,COLUMN())),_xll.CIQ(MO.Ticker.CapIQ,"IQ_CFPS_EST","IQ_"&amp;INDEX(tb_ConsensusEstimate,2,COLUMN())&amp;"+"&amp;INDEX(tb_ConsensusEstimate,3,COLUMN())),_xll.FDS(MO.Ticker.FactSet,"FE_ESTIMATE(CFPS,MEAN,"&amp;INDEX(tb_ConsensusEstimate,2,COLUMN())&amp;",+"&amp;INDEX(tb_ConsensusEstimate,3,COLUMN())&amp;",NOW,,,'')"),_xll.TR(MO.Ticker.Thomson,"ZAV(TR.CFPSMean)","Period="&amp;INDEX(tb_ConsensusEstimate,2,COLUMN())&amp;INDEX(tb_ConsensusEstimate,3,COLUMN()))),"N/A")</f>
        <v>N/A</v>
      </c>
      <c r="AM499" s="452"/>
      <c r="AN499" s="465"/>
      <c r="AO499" s="465"/>
      <c r="AP499" s="465"/>
      <c r="AQ499" s="465"/>
      <c r="AR499" s="452"/>
      <c r="AS499" s="452"/>
      <c r="AT499" s="452"/>
      <c r="AU499" s="452"/>
      <c r="AV499" s="452"/>
      <c r="AW499" s="452"/>
      <c r="AX499" s="452"/>
      <c r="AY499" s="452" t="str">
        <f ca="1">IFERROR(CHOOSE(MO.DataSourceIndex,_xll.BDP(MO.Ticker.Bloomberg&amp;" EQUITY","BEST_CPS","BEST_FPERIOD_OVERRIDE="&amp;INDEX(tb_ConsensusEstimate,3,COLUMN())&amp;INDEX(tb_ConsensusEstimate,2,COLUMN())),_xll.CIQ(MO.Ticker.CapIQ,"IQ_CFPS_EST","IQ_"&amp;INDEX(tb_ConsensusEstimate,2,COLUMN())&amp;"+"&amp;INDEX(tb_ConsensusEstimate,3,COLUMN())),_xll.FDS(MO.Ticker.FactSet,"FE_ESTIMATE(CFPS,MEAN,"&amp;INDEX(tb_ConsensusEstimate,2,COLUMN())&amp;",+"&amp;INDEX(tb_ConsensusEstimate,3,COLUMN())&amp;",NOW,,,'')"),_xll.TR(MO.Ticker.Thomson,"ZAV(TR.CFPSMean)","Period="&amp;INDEX(tb_ConsensusEstimate,2,COLUMN())&amp;INDEX(tb_ConsensusEstimate,3,COLUMN()))),"N/A")</f>
        <v>N/A</v>
      </c>
      <c r="AZ499" s="452" t="str">
        <f ca="1">IFERROR(CHOOSE(MO.DataSourceIndex,_xll.BDP(MO.Ticker.Bloomberg&amp;" EQUITY","BEST_CPS","BEST_FPERIOD_OVERRIDE="&amp;INDEX(tb_ConsensusEstimate,3,COLUMN())&amp;INDEX(tb_ConsensusEstimate,2,COLUMN())),_xll.CIQ(MO.Ticker.CapIQ,"IQ_CFPS_EST","IQ_"&amp;INDEX(tb_ConsensusEstimate,2,COLUMN())&amp;"+"&amp;INDEX(tb_ConsensusEstimate,3,COLUMN())),_xll.FDS(MO.Ticker.FactSet,"FE_ESTIMATE(CFPS,MEAN,"&amp;INDEX(tb_ConsensusEstimate,2,COLUMN())&amp;",+"&amp;INDEX(tb_ConsensusEstimate,3,COLUMN())&amp;",NOW,,,'')"),_xll.TR(MO.Ticker.Thomson,"ZAV(TR.CFPSMean)","Period="&amp;INDEX(tb_ConsensusEstimate,2,COLUMN())&amp;INDEX(tb_ConsensusEstimate,3,COLUMN()))),"N/A")</f>
        <v>N/A</v>
      </c>
      <c r="BA499" s="452" t="str">
        <f ca="1">IFERROR(CHOOSE(MO.DataSourceIndex,_xll.BDP(MO.Ticker.Bloomberg&amp;" EQUITY","BEST_CPS","BEST_FPERIOD_OVERRIDE="&amp;INDEX(tb_ConsensusEstimate,3,COLUMN())&amp;INDEX(tb_ConsensusEstimate,2,COLUMN())),_xll.CIQ(MO.Ticker.CapIQ,"IQ_CFPS_EST","IQ_"&amp;INDEX(tb_ConsensusEstimate,2,COLUMN())&amp;"+"&amp;INDEX(tb_ConsensusEstimate,3,COLUMN())),_xll.FDS(MO.Ticker.FactSet,"FE_ESTIMATE(CFPS,MEAN,"&amp;INDEX(tb_ConsensusEstimate,2,COLUMN())&amp;",+"&amp;INDEX(tb_ConsensusEstimate,3,COLUMN())&amp;",NOW,,,'')"),_xll.TR(MO.Ticker.Thomson,"ZAV(TR.CFPSMean)","Period="&amp;INDEX(tb_ConsensusEstimate,2,COLUMN())&amp;INDEX(tb_ConsensusEstimate,3,COLUMN()))),"N/A")</f>
        <v>N/A</v>
      </c>
      <c r="BB499" s="452" t="str">
        <f ca="1">IFERROR(CHOOSE(MO.DataSourceIndex,_xll.BDP(MO.Ticker.Bloomberg&amp;" EQUITY","BEST_CPS","BEST_FPERIOD_OVERRIDE="&amp;INDEX(tb_ConsensusEstimate,3,COLUMN())&amp;INDEX(tb_ConsensusEstimate,2,COLUMN())),_xll.CIQ(MO.Ticker.CapIQ,"IQ_CFPS_EST","IQ_"&amp;INDEX(tb_ConsensusEstimate,2,COLUMN())&amp;"+"&amp;INDEX(tb_ConsensusEstimate,3,COLUMN())),_xll.FDS(MO.Ticker.FactSet,"FE_ESTIMATE(CFPS,MEAN,"&amp;INDEX(tb_ConsensusEstimate,2,COLUMN())&amp;",+"&amp;INDEX(tb_ConsensusEstimate,3,COLUMN())&amp;",NOW,,,'')"),_xll.TR(MO.Ticker.Thomson,"ZAV(TR.CFPSMean)","Period="&amp;INDEX(tb_ConsensusEstimate,2,COLUMN())&amp;INDEX(tb_ConsensusEstimate,3,COLUMN()))),"N/A")</f>
        <v>N/A</v>
      </c>
      <c r="BC499" s="548" t="str">
        <f ca="1">IFERROR(CHOOSE(MO.DataSourceIndex,_xll.BDP(MO.Ticker.Bloomberg&amp;" EQUITY","BEST_CPS","BEST_FPERIOD_OVERRIDE="&amp;INDEX(tb_ConsensusEstimate,3,COLUMN())&amp;INDEX(tb_ConsensusEstimate,2,COLUMN())),_xll.CIQ(MO.Ticker.CapIQ,"IQ_CFPS_EST","IQ_"&amp;INDEX(tb_ConsensusEstimate,2,COLUMN())&amp;"+"&amp;INDEX(tb_ConsensusEstimate,3,COLUMN())),_xll.FDS(MO.Ticker.FactSet,"FE_ESTIMATE(CFPS,MEAN,"&amp;INDEX(tb_ConsensusEstimate,2,COLUMN())&amp;",+"&amp;INDEX(tb_ConsensusEstimate,3,COLUMN())&amp;",NOW,,,'')"),_xll.TR(MO.Ticker.Thomson,"ZAV(TR.CFPSMean)","Period="&amp;INDEX(tb_ConsensusEstimate,2,COLUMN())&amp;INDEX(tb_ConsensusEstimate,3,COLUMN()))),"N/A")</f>
        <v>N/A</v>
      </c>
      <c r="BD499" s="309"/>
    </row>
    <row r="500" spans="1:56" s="39" customFormat="1" x14ac:dyDescent="0.25">
      <c r="A500" s="550" t="str">
        <f>A211</f>
        <v>Consensus Estimates - Capex</v>
      </c>
      <c r="B500" s="629"/>
      <c r="C500" s="464"/>
      <c r="D500" s="629"/>
      <c r="E500" s="629"/>
      <c r="F500" s="629"/>
      <c r="G500" s="629"/>
      <c r="H500" s="629"/>
      <c r="I500" s="629"/>
      <c r="J500" s="629"/>
      <c r="K500" s="629"/>
      <c r="L500" s="629"/>
      <c r="M500" s="629"/>
      <c r="N500" s="629"/>
      <c r="O500" s="629"/>
      <c r="P500" s="629"/>
      <c r="Q500" s="629"/>
      <c r="R500" s="629"/>
      <c r="S500" s="629"/>
      <c r="T500" s="629"/>
      <c r="U500" s="629"/>
      <c r="V500" s="629"/>
      <c r="W500" s="629"/>
      <c r="X500" s="629"/>
      <c r="Y500" s="629"/>
      <c r="Z500" s="629"/>
      <c r="AA500" s="629"/>
      <c r="AB500" s="629"/>
      <c r="AC500" s="629"/>
      <c r="AD500" s="629"/>
      <c r="AE500" s="629"/>
      <c r="AF500" s="725"/>
      <c r="AG500" s="629" t="str">
        <f ca="1">IFERROR(CHOOSE(MO.DataSourceIndex,_xll.BDP(MO.Ticker.Bloomberg&amp;" EQUITY","BEST_CAPEX","BEST_FPERIOD_OVERRIDE="&amp;INDEX(tb_ConsensusEstimate,3,COLUMN())&amp;INDEX(tb_ConsensusEstimate,2,COLUMN())),_xll.CIQ(MO.Ticker.CapIQ,"IQ_CAPEX_EST","IQ_"&amp;INDEX(tb_ConsensusEstimate,2,COLUMN())&amp;"+"&amp;INDEX(tb_ConsensusEstimate,3,COLUMN())),-_xll.FDS(MO.Ticker.FactSet,"FE_ESTIMATE(CAPEX,MEAN,"&amp;INDEX(tb_ConsensusEstimate,2,COLUMN())&amp;",+"&amp;INDEX(tb_ConsensusEstimate,3,COLUMN())&amp;",NOW,,,'')"),-_xll.TR(MO.Ticker.Thomson,"ZAV(TR.CAPEXMean(Scale=6))","Period="&amp;INDEX(tb_ConsensusEstimate,2,COLUMN())&amp;INDEX(tb_ConsensusEstimate,3,COLUMN()))),"N/A")</f>
        <v>N/A</v>
      </c>
      <c r="AH500" s="629" t="str">
        <f ca="1">IFERROR(CHOOSE(MO.DataSourceIndex,_xll.BDP(MO.Ticker.Bloomberg&amp;" EQUITY","BEST_CAPEX","BEST_FPERIOD_OVERRIDE="&amp;INDEX(tb_ConsensusEstimate,3,COLUMN())&amp;INDEX(tb_ConsensusEstimate,2,COLUMN())),_xll.CIQ(MO.Ticker.CapIQ,"IQ_CAPEX_EST","IQ_"&amp;INDEX(tb_ConsensusEstimate,2,COLUMN())&amp;"+"&amp;INDEX(tb_ConsensusEstimate,3,COLUMN())),-_xll.FDS(MO.Ticker.FactSet,"FE_ESTIMATE(CAPEX,MEAN,"&amp;INDEX(tb_ConsensusEstimate,2,COLUMN())&amp;",+"&amp;INDEX(tb_ConsensusEstimate,3,COLUMN())&amp;",NOW,,,'')"),-_xll.TR(MO.Ticker.Thomson,"ZAV(TR.CAPEXMean(Scale=6))","Period="&amp;INDEX(tb_ConsensusEstimate,2,COLUMN())&amp;INDEX(tb_ConsensusEstimate,3,COLUMN()))),"N/A")</f>
        <v>N/A</v>
      </c>
      <c r="AI500" s="629" t="str">
        <f ca="1">IFERROR(CHOOSE(MO.DataSourceIndex,_xll.BDP(MO.Ticker.Bloomberg&amp;" EQUITY","BEST_CAPEX","BEST_FPERIOD_OVERRIDE="&amp;INDEX(tb_ConsensusEstimate,3,COLUMN())&amp;INDEX(tb_ConsensusEstimate,2,COLUMN())),_xll.CIQ(MO.Ticker.CapIQ,"IQ_CAPEX_EST","IQ_"&amp;INDEX(tb_ConsensusEstimate,2,COLUMN())&amp;"+"&amp;INDEX(tb_ConsensusEstimate,3,COLUMN())),-_xll.FDS(MO.Ticker.FactSet,"FE_ESTIMATE(CAPEX,MEAN,"&amp;INDEX(tb_ConsensusEstimate,2,COLUMN())&amp;",+"&amp;INDEX(tb_ConsensusEstimate,3,COLUMN())&amp;",NOW,,,'')"),-_xll.TR(MO.Ticker.Thomson,"ZAV(TR.CAPEXMean(Scale=6))","Period="&amp;INDEX(tb_ConsensusEstimate,2,COLUMN())&amp;INDEX(tb_ConsensusEstimate,3,COLUMN()))),"N/A")</f>
        <v>N/A</v>
      </c>
      <c r="AJ500" s="629" t="str">
        <f ca="1">IFERROR(CHOOSE(MO.DataSourceIndex,_xll.BDP(MO.Ticker.Bloomberg&amp;" EQUITY","BEST_CAPEX","BEST_FPERIOD_OVERRIDE="&amp;INDEX(tb_ConsensusEstimate,3,COLUMN())&amp;INDEX(tb_ConsensusEstimate,2,COLUMN())),_xll.CIQ(MO.Ticker.CapIQ,"IQ_CAPEX_EST","IQ_"&amp;INDEX(tb_ConsensusEstimate,2,COLUMN())&amp;"+"&amp;INDEX(tb_ConsensusEstimate,3,COLUMN())),-_xll.FDS(MO.Ticker.FactSet,"FE_ESTIMATE(CAPEX,MEAN,"&amp;INDEX(tb_ConsensusEstimate,2,COLUMN())&amp;",+"&amp;INDEX(tb_ConsensusEstimate,3,COLUMN())&amp;",NOW,,,'')"),-_xll.TR(MO.Ticker.Thomson,"ZAV(TR.CAPEXMean(Scale=6))","Period="&amp;INDEX(tb_ConsensusEstimate,2,COLUMN())&amp;INDEX(tb_ConsensusEstimate,3,COLUMN()))),"N/A")</f>
        <v>N/A</v>
      </c>
      <c r="AK500" s="629" t="str">
        <f ca="1">IFERROR(CHOOSE(MO.DataSourceIndex,_xll.BDP(MO.Ticker.Bloomberg&amp;" EQUITY","BEST_CAPEX","BEST_FPERIOD_OVERRIDE="&amp;INDEX(tb_ConsensusEstimate,3,COLUMN())&amp;INDEX(tb_ConsensusEstimate,2,COLUMN())),_xll.CIQ(MO.Ticker.CapIQ,"IQ_CAPEX_EST","IQ_"&amp;INDEX(tb_ConsensusEstimate,2,COLUMN())&amp;"+"&amp;INDEX(tb_ConsensusEstimate,3,COLUMN())),-_xll.FDS(MO.Ticker.FactSet,"FE_ESTIMATE(CAPEX,MEAN,"&amp;INDEX(tb_ConsensusEstimate,2,COLUMN())&amp;",+"&amp;INDEX(tb_ConsensusEstimate,3,COLUMN())&amp;",NOW,,,'')"),-_xll.TR(MO.Ticker.Thomson,"ZAV(TR.CAPEXMean(Scale=6))","Period="&amp;INDEX(tb_ConsensusEstimate,2,COLUMN())&amp;INDEX(tb_ConsensusEstimate,3,COLUMN()))),"N/A")</f>
        <v>N/A</v>
      </c>
      <c r="AL500" s="629" t="str">
        <f ca="1">IFERROR(CHOOSE(MO.DataSourceIndex,_xll.BDP(MO.Ticker.Bloomberg&amp;" EQUITY","BEST_CAPEX","BEST_FPERIOD_OVERRIDE="&amp;INDEX(tb_ConsensusEstimate,3,COLUMN())&amp;INDEX(tb_ConsensusEstimate,2,COLUMN())),_xll.CIQ(MO.Ticker.CapIQ,"IQ_CAPEX_EST","IQ_"&amp;INDEX(tb_ConsensusEstimate,2,COLUMN())&amp;"+"&amp;INDEX(tb_ConsensusEstimate,3,COLUMN())),-_xll.FDS(MO.Ticker.FactSet,"FE_ESTIMATE(CAPEX,MEAN,"&amp;INDEX(tb_ConsensusEstimate,2,COLUMN())&amp;",+"&amp;INDEX(tb_ConsensusEstimate,3,COLUMN())&amp;",NOW,,,'')"),-_xll.TR(MO.Ticker.Thomson,"ZAV(TR.CAPEXMean(Scale=6))","Period="&amp;INDEX(tb_ConsensusEstimate,2,COLUMN())&amp;INDEX(tb_ConsensusEstimate,3,COLUMN()))),"N/A")</f>
        <v>N/A</v>
      </c>
      <c r="AM500" s="629"/>
      <c r="AN500" s="464"/>
      <c r="AO500" s="464"/>
      <c r="AP500" s="464"/>
      <c r="AQ500" s="464"/>
      <c r="AR500" s="629"/>
      <c r="AS500" s="629"/>
      <c r="AT500" s="629"/>
      <c r="AU500" s="629"/>
      <c r="AV500" s="629"/>
      <c r="AW500" s="629"/>
      <c r="AX500" s="629"/>
      <c r="AY500" s="629" t="str">
        <f ca="1">IFERROR(CHOOSE(MO.DataSourceIndex,_xll.BDP(MO.Ticker.Bloomberg&amp;" EQUITY","BEST_CAPEX","BEST_FPERIOD_OVERRIDE="&amp;INDEX(tb_ConsensusEstimate,3,COLUMN())&amp;INDEX(tb_ConsensusEstimate,2,COLUMN())),_xll.CIQ(MO.Ticker.CapIQ,"IQ_CAPEX_EST","IQ_"&amp;INDEX(tb_ConsensusEstimate,2,COLUMN())&amp;"+"&amp;INDEX(tb_ConsensusEstimate,3,COLUMN())),-_xll.FDS(MO.Ticker.FactSet,"FE_ESTIMATE(CAPEX,MEAN,"&amp;INDEX(tb_ConsensusEstimate,2,COLUMN())&amp;",+"&amp;INDEX(tb_ConsensusEstimate,3,COLUMN())&amp;",NOW,,,'')"),-_xll.TR(MO.Ticker.Thomson,"ZAV(TR.CAPEXMean(Scale=6))","Period="&amp;INDEX(tb_ConsensusEstimate,2,COLUMN())&amp;INDEX(tb_ConsensusEstimate,3,COLUMN()))),"N/A")</f>
        <v>N/A</v>
      </c>
      <c r="AZ500" s="629" t="str">
        <f ca="1">IFERROR(CHOOSE(MO.DataSourceIndex,_xll.BDP(MO.Ticker.Bloomberg&amp;" EQUITY","BEST_CAPEX","BEST_FPERIOD_OVERRIDE="&amp;INDEX(tb_ConsensusEstimate,3,COLUMN())&amp;INDEX(tb_ConsensusEstimate,2,COLUMN())),_xll.CIQ(MO.Ticker.CapIQ,"IQ_CAPEX_EST","IQ_"&amp;INDEX(tb_ConsensusEstimate,2,COLUMN())&amp;"+"&amp;INDEX(tb_ConsensusEstimate,3,COLUMN())),-_xll.FDS(MO.Ticker.FactSet,"FE_ESTIMATE(CAPEX,MEAN,"&amp;INDEX(tb_ConsensusEstimate,2,COLUMN())&amp;",+"&amp;INDEX(tb_ConsensusEstimate,3,COLUMN())&amp;",NOW,,,'')"),-_xll.TR(MO.Ticker.Thomson,"ZAV(TR.CAPEXMean(Scale=6))","Period="&amp;INDEX(tb_ConsensusEstimate,2,COLUMN())&amp;INDEX(tb_ConsensusEstimate,3,COLUMN()))),"N/A")</f>
        <v>N/A</v>
      </c>
      <c r="BA500" s="629" t="str">
        <f ca="1">IFERROR(CHOOSE(MO.DataSourceIndex,_xll.BDP(MO.Ticker.Bloomberg&amp;" EQUITY","BEST_CAPEX","BEST_FPERIOD_OVERRIDE="&amp;INDEX(tb_ConsensusEstimate,3,COLUMN())&amp;INDEX(tb_ConsensusEstimate,2,COLUMN())),_xll.CIQ(MO.Ticker.CapIQ,"IQ_CAPEX_EST","IQ_"&amp;INDEX(tb_ConsensusEstimate,2,COLUMN())&amp;"+"&amp;INDEX(tb_ConsensusEstimate,3,COLUMN())),-_xll.FDS(MO.Ticker.FactSet,"FE_ESTIMATE(CAPEX,MEAN,"&amp;INDEX(tb_ConsensusEstimate,2,COLUMN())&amp;",+"&amp;INDEX(tb_ConsensusEstimate,3,COLUMN())&amp;",NOW,,,'')"),-_xll.TR(MO.Ticker.Thomson,"ZAV(TR.CAPEXMean(Scale=6))","Period="&amp;INDEX(tb_ConsensusEstimate,2,COLUMN())&amp;INDEX(tb_ConsensusEstimate,3,COLUMN()))),"N/A")</f>
        <v>N/A</v>
      </c>
      <c r="BB500" s="629" t="str">
        <f ca="1">IFERROR(CHOOSE(MO.DataSourceIndex,_xll.BDP(MO.Ticker.Bloomberg&amp;" EQUITY","BEST_CAPEX","BEST_FPERIOD_OVERRIDE="&amp;INDEX(tb_ConsensusEstimate,3,COLUMN())&amp;INDEX(tb_ConsensusEstimate,2,COLUMN())),_xll.CIQ(MO.Ticker.CapIQ,"IQ_CAPEX_EST","IQ_"&amp;INDEX(tb_ConsensusEstimate,2,COLUMN())&amp;"+"&amp;INDEX(tb_ConsensusEstimate,3,COLUMN())),-_xll.FDS(MO.Ticker.FactSet,"FE_ESTIMATE(CAPEX,MEAN,"&amp;INDEX(tb_ConsensusEstimate,2,COLUMN())&amp;",+"&amp;INDEX(tb_ConsensusEstimate,3,COLUMN())&amp;",NOW,,,'')"),-_xll.TR(MO.Ticker.Thomson,"ZAV(TR.CAPEXMean(Scale=6))","Period="&amp;INDEX(tb_ConsensusEstimate,2,COLUMN())&amp;INDEX(tb_ConsensusEstimate,3,COLUMN()))),"N/A")</f>
        <v>N/A</v>
      </c>
      <c r="BC500" s="547" t="str">
        <f ca="1">IFERROR(CHOOSE(MO.DataSourceIndex,_xll.BDP(MO.Ticker.Bloomberg&amp;" EQUITY","BEST_CAPEX","BEST_FPERIOD_OVERRIDE="&amp;INDEX(tb_ConsensusEstimate,3,COLUMN())&amp;INDEX(tb_ConsensusEstimate,2,COLUMN())),_xll.CIQ(MO.Ticker.CapIQ,"IQ_CAPEX_EST","IQ_"&amp;INDEX(tb_ConsensusEstimate,2,COLUMN())&amp;"+"&amp;INDEX(tb_ConsensusEstimate,3,COLUMN())),-_xll.FDS(MO.Ticker.FactSet,"FE_ESTIMATE(CAPEX,MEAN,"&amp;INDEX(tb_ConsensusEstimate,2,COLUMN())&amp;",+"&amp;INDEX(tb_ConsensusEstimate,3,COLUMN())&amp;",NOW,,,'')"),-_xll.TR(MO.Ticker.Thomson,"ZAV(TR.CAPEXMean(Scale=6))","Period="&amp;INDEX(tb_ConsensusEstimate,2,COLUMN())&amp;INDEX(tb_ConsensusEstimate,3,COLUMN()))),"N/A")</f>
        <v>N/A</v>
      </c>
      <c r="BD500" s="631"/>
    </row>
    <row r="501" spans="1:56" x14ac:dyDescent="0.25">
      <c r="A501" s="552"/>
      <c r="B501" s="545"/>
      <c r="C501" s="545"/>
      <c r="D501" s="545"/>
      <c r="E501" s="545"/>
      <c r="F501" s="545"/>
      <c r="G501" s="545"/>
      <c r="H501" s="545"/>
      <c r="I501" s="545"/>
      <c r="J501" s="545"/>
      <c r="K501" s="545"/>
      <c r="L501" s="545"/>
      <c r="M501" s="545"/>
      <c r="N501" s="545"/>
      <c r="O501" s="545"/>
      <c r="P501" s="545"/>
      <c r="Q501" s="545"/>
      <c r="R501" s="545"/>
      <c r="S501" s="545"/>
      <c r="T501" s="545"/>
      <c r="U501" s="545"/>
      <c r="V501" s="545"/>
      <c r="W501" s="545"/>
      <c r="X501" s="545"/>
      <c r="Y501" s="545"/>
      <c r="Z501" s="545"/>
      <c r="AA501" s="545"/>
      <c r="AB501" s="545"/>
      <c r="AC501" s="545"/>
      <c r="AD501" s="545"/>
      <c r="AE501" s="545"/>
      <c r="AF501" s="545"/>
      <c r="AG501" s="545"/>
      <c r="AH501" s="545"/>
      <c r="AI501" s="545"/>
      <c r="AJ501" s="545"/>
      <c r="AK501" s="545"/>
      <c r="AL501" s="545"/>
      <c r="AM501" s="545"/>
      <c r="AN501" s="545"/>
      <c r="AO501" s="545"/>
      <c r="AP501" s="545"/>
      <c r="AQ501" s="545"/>
      <c r="AR501" s="545"/>
      <c r="AS501" s="545"/>
      <c r="AT501" s="545"/>
      <c r="AU501" s="545"/>
      <c r="AV501" s="545"/>
      <c r="AW501" s="545"/>
      <c r="AX501" s="545"/>
      <c r="AY501" s="545"/>
      <c r="AZ501" s="545"/>
      <c r="BA501" s="545"/>
      <c r="BB501" s="545"/>
      <c r="BC501" s="549"/>
      <c r="BD501" s="285"/>
    </row>
    <row r="502" spans="1:56" x14ac:dyDescent="0.25">
      <c r="A502" s="335"/>
      <c r="B502" s="335"/>
      <c r="C502" s="453"/>
      <c r="D502" s="453"/>
      <c r="E502" s="453"/>
      <c r="F502" s="453"/>
      <c r="G502" s="453"/>
      <c r="H502" s="453"/>
      <c r="I502" s="453"/>
      <c r="J502" s="453"/>
      <c r="K502" s="453"/>
      <c r="L502" s="453"/>
      <c r="M502" s="453"/>
      <c r="N502" s="453"/>
      <c r="O502" s="453"/>
      <c r="P502" s="453"/>
      <c r="Q502" s="453"/>
      <c r="R502" s="453"/>
      <c r="S502" s="453"/>
      <c r="T502" s="453"/>
      <c r="U502" s="453"/>
      <c r="V502" s="453"/>
      <c r="W502" s="453"/>
      <c r="X502" s="453"/>
      <c r="Y502" s="453"/>
      <c r="Z502" s="453"/>
      <c r="AA502" s="453"/>
      <c r="AB502" s="453"/>
      <c r="AC502" s="453"/>
      <c r="AD502" s="453"/>
      <c r="AE502" s="453"/>
      <c r="AF502" s="453"/>
      <c r="AG502" s="335"/>
      <c r="AH502" s="335"/>
      <c r="AI502" s="335"/>
      <c r="AJ502" s="335"/>
      <c r="AK502" s="335"/>
      <c r="AL502" s="335"/>
      <c r="AM502" s="335"/>
      <c r="AN502" s="453"/>
      <c r="AO502" s="453"/>
      <c r="AP502" s="453"/>
      <c r="AQ502" s="453"/>
      <c r="AR502" s="453"/>
      <c r="AS502" s="453"/>
      <c r="AT502" s="453"/>
      <c r="AU502" s="453"/>
      <c r="AV502" s="453"/>
      <c r="AW502" s="453"/>
      <c r="AX502" s="453"/>
      <c r="AY502" s="335"/>
      <c r="AZ502" s="335"/>
      <c r="BA502" s="335"/>
      <c r="BB502" s="335"/>
      <c r="BC502" s="335"/>
      <c r="BD502" s="285"/>
    </row>
    <row r="503" spans="1:56" x14ac:dyDescent="0.25">
      <c r="A503" s="340" t="s">
        <v>279</v>
      </c>
      <c r="B503" s="338"/>
      <c r="C503" s="338"/>
      <c r="D503" s="338"/>
      <c r="E503" s="338"/>
      <c r="F503" s="338"/>
      <c r="G503" s="338"/>
      <c r="H503" s="338"/>
      <c r="I503" s="338"/>
      <c r="J503" s="338"/>
      <c r="K503" s="338"/>
      <c r="L503" s="338"/>
      <c r="M503" s="338"/>
      <c r="N503" s="338"/>
      <c r="O503" s="338"/>
      <c r="P503" s="338"/>
      <c r="Q503" s="338"/>
      <c r="R503" s="338"/>
      <c r="S503" s="338"/>
      <c r="T503" s="338"/>
      <c r="U503" s="338"/>
      <c r="V503" s="338"/>
      <c r="W503" s="338"/>
      <c r="X503" s="338"/>
      <c r="Y503" s="338"/>
      <c r="Z503" s="338"/>
      <c r="AA503" s="338"/>
      <c r="AB503" s="338"/>
      <c r="AC503" s="338"/>
      <c r="AD503" s="338"/>
      <c r="AE503" s="338"/>
      <c r="AF503" s="338"/>
      <c r="AG503" s="338"/>
      <c r="AH503" s="338"/>
      <c r="AI503" s="338"/>
      <c r="AJ503" s="338"/>
      <c r="AK503" s="338"/>
      <c r="AL503" s="338"/>
      <c r="AM503" s="338"/>
      <c r="AN503" s="338"/>
      <c r="AO503" s="338"/>
      <c r="AP503" s="338"/>
      <c r="AQ503" s="338"/>
      <c r="AR503" s="338"/>
      <c r="AS503" s="338"/>
      <c r="AT503" s="338"/>
      <c r="AU503" s="338"/>
      <c r="AV503" s="338"/>
      <c r="AW503" s="338"/>
      <c r="AX503" s="338"/>
      <c r="AY503" s="338"/>
      <c r="AZ503" s="338"/>
      <c r="BA503" s="338"/>
      <c r="BB503" s="338"/>
      <c r="BC503" s="339"/>
      <c r="BD503" s="285"/>
    </row>
    <row r="504" spans="1:56" x14ac:dyDescent="0.25">
      <c r="A504" s="341" t="s">
        <v>280</v>
      </c>
      <c r="B504" s="335"/>
      <c r="C504" s="454">
        <f t="shared" ref="C504:AL504" si="486">INDEX(MO_Common_QEndDate,0,COLUMN())-INDEX(MO_Common_FPDays,0,COLUMN())+1</f>
        <v>41275</v>
      </c>
      <c r="D504" s="454">
        <f t="shared" si="486"/>
        <v>41365</v>
      </c>
      <c r="E504" s="454">
        <f t="shared" si="486"/>
        <v>41456</v>
      </c>
      <c r="F504" s="454">
        <f t="shared" si="486"/>
        <v>41548</v>
      </c>
      <c r="G504" s="454">
        <f t="shared" si="486"/>
        <v>41640</v>
      </c>
      <c r="H504" s="454">
        <f t="shared" si="486"/>
        <v>41730</v>
      </c>
      <c r="I504" s="454">
        <f t="shared" si="486"/>
        <v>41821</v>
      </c>
      <c r="J504" s="454">
        <f t="shared" si="486"/>
        <v>41913</v>
      </c>
      <c r="K504" s="454">
        <f t="shared" si="486"/>
        <v>42005</v>
      </c>
      <c r="L504" s="454">
        <f t="shared" si="486"/>
        <v>42095</v>
      </c>
      <c r="M504" s="454">
        <f t="shared" si="486"/>
        <v>42186</v>
      </c>
      <c r="N504" s="454">
        <f t="shared" si="486"/>
        <v>42278</v>
      </c>
      <c r="O504" s="454">
        <f t="shared" si="486"/>
        <v>42370</v>
      </c>
      <c r="P504" s="454">
        <f t="shared" si="486"/>
        <v>42461</v>
      </c>
      <c r="Q504" s="454">
        <f t="shared" si="486"/>
        <v>42552</v>
      </c>
      <c r="R504" s="454">
        <f t="shared" si="486"/>
        <v>42644</v>
      </c>
      <c r="S504" s="454">
        <f t="shared" si="486"/>
        <v>42736</v>
      </c>
      <c r="T504" s="454">
        <f t="shared" si="486"/>
        <v>42826</v>
      </c>
      <c r="U504" s="454">
        <f t="shared" si="486"/>
        <v>42917</v>
      </c>
      <c r="V504" s="454">
        <f t="shared" si="486"/>
        <v>43009</v>
      </c>
      <c r="W504" s="454">
        <f t="shared" si="486"/>
        <v>43101</v>
      </c>
      <c r="X504" s="454">
        <f t="shared" si="486"/>
        <v>43191</v>
      </c>
      <c r="Y504" s="454">
        <f t="shared" si="486"/>
        <v>43282</v>
      </c>
      <c r="Z504" s="454">
        <f t="shared" si="486"/>
        <v>43374</v>
      </c>
      <c r="AA504" s="454">
        <f t="shared" si="486"/>
        <v>43466</v>
      </c>
      <c r="AB504" s="454">
        <f t="shared" si="486"/>
        <v>43556</v>
      </c>
      <c r="AC504" s="454">
        <f t="shared" si="486"/>
        <v>43647</v>
      </c>
      <c r="AD504" s="454">
        <f t="shared" si="486"/>
        <v>43739</v>
      </c>
      <c r="AE504" s="454">
        <f t="shared" si="486"/>
        <v>43831</v>
      </c>
      <c r="AF504" s="454">
        <f t="shared" si="486"/>
        <v>43922</v>
      </c>
      <c r="AG504" s="342">
        <f t="shared" si="486"/>
        <v>44013</v>
      </c>
      <c r="AH504" s="342">
        <f t="shared" si="486"/>
        <v>44105</v>
      </c>
      <c r="AI504" s="342">
        <f t="shared" si="486"/>
        <v>44197</v>
      </c>
      <c r="AJ504" s="342">
        <f t="shared" si="486"/>
        <v>44287</v>
      </c>
      <c r="AK504" s="342">
        <f t="shared" si="486"/>
        <v>44378</v>
      </c>
      <c r="AL504" s="342">
        <f t="shared" si="486"/>
        <v>44470</v>
      </c>
      <c r="AM504" s="342"/>
      <c r="AN504" s="454">
        <f t="shared" ref="AN504:BC504" si="487">INDEX(MO_Common_QEndDate,0,COLUMN())-INDEX(MO_Common_FPDays,0,COLUMN())+1</f>
        <v>39814</v>
      </c>
      <c r="AO504" s="454">
        <f t="shared" si="487"/>
        <v>40179</v>
      </c>
      <c r="AP504" s="454">
        <f t="shared" si="487"/>
        <v>40544</v>
      </c>
      <c r="AQ504" s="454">
        <f t="shared" si="487"/>
        <v>40909</v>
      </c>
      <c r="AR504" s="454">
        <f t="shared" si="487"/>
        <v>41275</v>
      </c>
      <c r="AS504" s="454">
        <f t="shared" si="487"/>
        <v>41640</v>
      </c>
      <c r="AT504" s="454">
        <f t="shared" si="487"/>
        <v>42005</v>
      </c>
      <c r="AU504" s="454">
        <f t="shared" si="487"/>
        <v>42370</v>
      </c>
      <c r="AV504" s="454">
        <f t="shared" si="487"/>
        <v>42736</v>
      </c>
      <c r="AW504" s="454">
        <f t="shared" si="487"/>
        <v>43101</v>
      </c>
      <c r="AX504" s="454">
        <f t="shared" si="487"/>
        <v>43466</v>
      </c>
      <c r="AY504" s="342">
        <f t="shared" si="487"/>
        <v>43831</v>
      </c>
      <c r="AZ504" s="342">
        <f t="shared" si="487"/>
        <v>44197</v>
      </c>
      <c r="BA504" s="342">
        <f t="shared" si="487"/>
        <v>44562</v>
      </c>
      <c r="BB504" s="342">
        <f t="shared" si="487"/>
        <v>44927</v>
      </c>
      <c r="BC504" s="343">
        <f t="shared" si="487"/>
        <v>45292</v>
      </c>
      <c r="BD504" s="285"/>
    </row>
    <row r="505" spans="1:56" x14ac:dyDescent="0.25">
      <c r="A505" s="341" t="s">
        <v>381</v>
      </c>
      <c r="B505" s="335"/>
      <c r="C505" s="454" t="b">
        <f>TRUE</f>
        <v>1</v>
      </c>
      <c r="D505" s="454" t="b">
        <f>TRUE</f>
        <v>1</v>
      </c>
      <c r="E505" s="454" t="b">
        <f>TRUE</f>
        <v>1</v>
      </c>
      <c r="F505" s="454" t="b">
        <f>TRUE</f>
        <v>1</v>
      </c>
      <c r="G505" s="454" t="b">
        <f>TRUE</f>
        <v>1</v>
      </c>
      <c r="H505" s="454" t="b">
        <f>TRUE</f>
        <v>1</v>
      </c>
      <c r="I505" s="454" t="b">
        <f>TRUE</f>
        <v>1</v>
      </c>
      <c r="J505" s="454" t="b">
        <f>TRUE</f>
        <v>1</v>
      </c>
      <c r="K505" s="454" t="b">
        <f>TRUE</f>
        <v>1</v>
      </c>
      <c r="L505" s="454" t="b">
        <f>TRUE</f>
        <v>1</v>
      </c>
      <c r="M505" s="454" t="b">
        <f>TRUE</f>
        <v>1</v>
      </c>
      <c r="N505" s="454" t="b">
        <f>TRUE</f>
        <v>1</v>
      </c>
      <c r="O505" s="454" t="b">
        <f>TRUE</f>
        <v>1</v>
      </c>
      <c r="P505" s="454" t="b">
        <f>TRUE</f>
        <v>1</v>
      </c>
      <c r="Q505" s="454" t="b">
        <f>TRUE</f>
        <v>1</v>
      </c>
      <c r="R505" s="454" t="b">
        <f>TRUE</f>
        <v>1</v>
      </c>
      <c r="S505" s="454" t="b">
        <f>TRUE</f>
        <v>1</v>
      </c>
      <c r="T505" s="454" t="b">
        <f>TRUE</f>
        <v>1</v>
      </c>
      <c r="U505" s="454" t="b">
        <f>TRUE</f>
        <v>1</v>
      </c>
      <c r="V505" s="454" t="b">
        <f>TRUE</f>
        <v>1</v>
      </c>
      <c r="W505" s="454" t="b">
        <f>TRUE</f>
        <v>1</v>
      </c>
      <c r="X505" s="454" t="b">
        <f>TRUE</f>
        <v>1</v>
      </c>
      <c r="Y505" s="454" t="b">
        <f>TRUE</f>
        <v>1</v>
      </c>
      <c r="Z505" s="454" t="b">
        <f>TRUE</f>
        <v>1</v>
      </c>
      <c r="AA505" s="454" t="b">
        <f>TRUE</f>
        <v>1</v>
      </c>
      <c r="AB505" s="454" t="b">
        <f>TRUE</f>
        <v>1</v>
      </c>
      <c r="AC505" s="454" t="b">
        <f>TRUE</f>
        <v>1</v>
      </c>
      <c r="AD505" s="454" t="b">
        <f>TRUE</f>
        <v>1</v>
      </c>
      <c r="AE505" s="454" t="b">
        <f>TRUE</f>
        <v>1</v>
      </c>
      <c r="AF505" s="454" t="b">
        <f>TRUE</f>
        <v>1</v>
      </c>
      <c r="AG505" s="342" t="b">
        <f>FALSE</f>
        <v>0</v>
      </c>
      <c r="AH505" s="342" t="b">
        <f>FALSE</f>
        <v>0</v>
      </c>
      <c r="AI505" s="342" t="b">
        <f>FALSE</f>
        <v>0</v>
      </c>
      <c r="AJ505" s="342" t="b">
        <f>FALSE</f>
        <v>0</v>
      </c>
      <c r="AK505" s="342" t="b">
        <f>FALSE</f>
        <v>0</v>
      </c>
      <c r="AL505" s="342" t="b">
        <f>FALSE</f>
        <v>0</v>
      </c>
      <c r="AM505" s="342"/>
      <c r="AN505" s="454" t="b">
        <f>TRUE</f>
        <v>1</v>
      </c>
      <c r="AO505" s="454" t="b">
        <f>TRUE</f>
        <v>1</v>
      </c>
      <c r="AP505" s="454" t="b">
        <f>TRUE</f>
        <v>1</v>
      </c>
      <c r="AQ505" s="454" t="b">
        <f>TRUE</f>
        <v>1</v>
      </c>
      <c r="AR505" s="454" t="b">
        <f>TRUE</f>
        <v>1</v>
      </c>
      <c r="AS505" s="454" t="b">
        <f>TRUE</f>
        <v>1</v>
      </c>
      <c r="AT505" s="454" t="b">
        <f>TRUE</f>
        <v>1</v>
      </c>
      <c r="AU505" s="454" t="b">
        <f>TRUE</f>
        <v>1</v>
      </c>
      <c r="AV505" s="454" t="b">
        <f>TRUE</f>
        <v>1</v>
      </c>
      <c r="AW505" s="454" t="b">
        <f>TRUE</f>
        <v>1</v>
      </c>
      <c r="AX505" s="454" t="b">
        <f>TRUE</f>
        <v>1</v>
      </c>
      <c r="AY505" s="342" t="b">
        <f>FALSE</f>
        <v>0</v>
      </c>
      <c r="AZ505" s="342" t="b">
        <f>FALSE</f>
        <v>0</v>
      </c>
      <c r="BA505" s="342" t="b">
        <f>FALSE</f>
        <v>0</v>
      </c>
      <c r="BB505" s="342" t="b">
        <f>FALSE</f>
        <v>0</v>
      </c>
      <c r="BC505" s="343" t="b">
        <f>FALSE</f>
        <v>0</v>
      </c>
      <c r="BD505" s="285"/>
    </row>
    <row r="506" spans="1:56" s="348" customFormat="1" x14ac:dyDescent="0.25">
      <c r="A506" s="344" t="str">
        <f ca="1">"Stock High: "&amp;IF(OR(MO.RealTimeStockPriceToggle=FALSE,VLOOKUP(MO.DataSourceName,MO_SPT_StockHigh_Sources,COLUMN()+2,FALSE)="N/A"),"Real-Time Off Source",MO.DataSourceName)</f>
        <v>Stock High: Real-Time Off Source</v>
      </c>
      <c r="B506" s="345"/>
      <c r="C506" s="455">
        <f t="shared" ref="C506:AL506" ca="1" si="488">IF(OR(MO.RealTimeStockPriceToggle=FALSE,VLOOKUP(MO.DataSourceName,MO_SPT_StockHigh_Sources,COLUMN(),FALSE)="N/A"),VLOOKUP("Real-Time Off Source",MO_SPT_StockHigh_Sources,COLUMN(),FALSE),VLOOKUP(MO.DataSourceName,MO_SPT_StockHigh_Sources,COLUMN(),FALSE))</f>
        <v>24.3</v>
      </c>
      <c r="D506" s="455">
        <f t="shared" ca="1" si="488"/>
        <v>25.97</v>
      </c>
      <c r="E506" s="455">
        <f t="shared" ca="1" si="488"/>
        <v>27.84</v>
      </c>
      <c r="F506" s="455">
        <f t="shared" ca="1" si="488"/>
        <v>30.61</v>
      </c>
      <c r="G506" s="455">
        <f t="shared" ca="1" si="488"/>
        <v>30.88</v>
      </c>
      <c r="H506" s="455">
        <f t="shared" ca="1" si="488"/>
        <v>28.52</v>
      </c>
      <c r="I506" s="455">
        <f t="shared" ca="1" si="488"/>
        <v>29.36</v>
      </c>
      <c r="J506" s="455">
        <f t="shared" ca="1" si="488"/>
        <v>34.340000000000003</v>
      </c>
      <c r="K506" s="455">
        <f t="shared" ca="1" si="488"/>
        <v>37.85</v>
      </c>
      <c r="L506" s="455">
        <f t="shared" ca="1" si="488"/>
        <v>37.5</v>
      </c>
      <c r="M506" s="455">
        <f t="shared" ca="1" si="488"/>
        <v>35.39</v>
      </c>
      <c r="N506" s="455">
        <f t="shared" ca="1" si="488"/>
        <v>28.59</v>
      </c>
      <c r="O506" s="455">
        <f t="shared" ca="1" si="488"/>
        <v>27.99</v>
      </c>
      <c r="P506" s="455">
        <f t="shared" ca="1" si="488"/>
        <v>27.36</v>
      </c>
      <c r="Q506" s="455">
        <f t="shared" ca="1" si="488"/>
        <v>25.5</v>
      </c>
      <c r="R506" s="455">
        <f t="shared" ca="1" si="488"/>
        <v>30</v>
      </c>
      <c r="S506" s="455">
        <f t="shared" ca="1" si="488"/>
        <v>29.65</v>
      </c>
      <c r="T506" s="455">
        <f t="shared" ca="1" si="488"/>
        <v>28.35</v>
      </c>
      <c r="U506" s="455">
        <f t="shared" ca="1" si="488"/>
        <v>31.05</v>
      </c>
      <c r="V506" s="455">
        <f t="shared" ca="1" si="488"/>
        <v>31.25</v>
      </c>
      <c r="W506" s="455">
        <f t="shared" ca="1" si="488"/>
        <v>26.45</v>
      </c>
      <c r="X506" s="455">
        <f t="shared" ca="1" si="488"/>
        <v>22.9</v>
      </c>
      <c r="Y506" s="455">
        <f t="shared" ca="1" si="488"/>
        <v>19.399999999999999</v>
      </c>
      <c r="Z506" s="455">
        <f t="shared" ca="1" si="488"/>
        <v>18.309999999999999</v>
      </c>
      <c r="AA506" s="455">
        <f t="shared" ca="1" si="488"/>
        <v>16.95</v>
      </c>
      <c r="AB506" s="455">
        <f t="shared" ca="1" si="488"/>
        <v>15.75</v>
      </c>
      <c r="AC506" s="455">
        <f t="shared" ca="1" si="488"/>
        <v>16.309999999999999</v>
      </c>
      <c r="AD506" s="455">
        <f t="shared" ca="1" si="488"/>
        <v>14.33</v>
      </c>
      <c r="AE506" s="455">
        <f t="shared" ca="1" si="488"/>
        <v>14.9</v>
      </c>
      <c r="AF506" s="455">
        <f t="shared" ca="1" si="488"/>
        <v>8.9600000000000009</v>
      </c>
      <c r="AG506" s="345">
        <f t="shared" ca="1" si="488"/>
        <v>0</v>
      </c>
      <c r="AH506" s="345">
        <f t="shared" ca="1" si="488"/>
        <v>0</v>
      </c>
      <c r="AI506" s="345">
        <f t="shared" ca="1" si="488"/>
        <v>0</v>
      </c>
      <c r="AJ506" s="345">
        <f t="shared" ca="1" si="488"/>
        <v>0</v>
      </c>
      <c r="AK506" s="345">
        <f t="shared" ca="1" si="488"/>
        <v>0</v>
      </c>
      <c r="AL506" s="345">
        <f t="shared" ca="1" si="488"/>
        <v>0</v>
      </c>
      <c r="AM506" s="345"/>
      <c r="AN506" s="455">
        <f t="shared" ref="AN506:BC506" ca="1" si="489">IF(OR(MO.RealTimeStockPriceToggle=FALSE,VLOOKUP(MO.DataSourceName,MO_SPT_StockHigh_Sources,COLUMN(),FALSE)="N/A"),VLOOKUP("Real-Time Off Source",MO_SPT_StockHigh_Sources,COLUMN(),FALSE),VLOOKUP(MO.DataSourceName,MO_SPT_StockHigh_Sources,COLUMN(),FALSE))</f>
        <v>8.39</v>
      </c>
      <c r="AO506" s="455">
        <f t="shared" ca="1" si="489"/>
        <v>10.84</v>
      </c>
      <c r="AP506" s="455">
        <f t="shared" ca="1" si="489"/>
        <v>14.34</v>
      </c>
      <c r="AQ506" s="455">
        <f t="shared" ca="1" si="489"/>
        <v>21.44</v>
      </c>
      <c r="AR506" s="455">
        <f t="shared" ca="1" si="489"/>
        <v>30.61</v>
      </c>
      <c r="AS506" s="455">
        <f t="shared" ca="1" si="489"/>
        <v>34.340000000000003</v>
      </c>
      <c r="AT506" s="455">
        <f t="shared" ca="1" si="489"/>
        <v>37.85</v>
      </c>
      <c r="AU506" s="455">
        <f t="shared" ca="1" si="489"/>
        <v>30</v>
      </c>
      <c r="AV506" s="455">
        <f t="shared" ca="1" si="489"/>
        <v>31.25</v>
      </c>
      <c r="AW506" s="455">
        <f t="shared" ca="1" si="489"/>
        <v>26.45</v>
      </c>
      <c r="AX506" s="455">
        <f t="shared" ca="1" si="489"/>
        <v>16.95</v>
      </c>
      <c r="AY506" s="345">
        <f t="shared" ca="1" si="489"/>
        <v>0</v>
      </c>
      <c r="AZ506" s="345">
        <f t="shared" ca="1" si="489"/>
        <v>0</v>
      </c>
      <c r="BA506" s="345">
        <f t="shared" ca="1" si="489"/>
        <v>0</v>
      </c>
      <c r="BB506" s="345">
        <f t="shared" ca="1" si="489"/>
        <v>0</v>
      </c>
      <c r="BC506" s="346">
        <f t="shared" ca="1" si="489"/>
        <v>0</v>
      </c>
      <c r="BD506" s="347"/>
    </row>
    <row r="507" spans="1:56" s="348" customFormat="1" hidden="1" outlineLevel="1" x14ac:dyDescent="0.25">
      <c r="A507" s="349" t="s">
        <v>281</v>
      </c>
      <c r="B507" s="345"/>
      <c r="C507" s="455">
        <v>24.3</v>
      </c>
      <c r="D507" s="455">
        <v>25.97</v>
      </c>
      <c r="E507" s="455">
        <v>27.84</v>
      </c>
      <c r="F507" s="455">
        <v>30.61</v>
      </c>
      <c r="G507" s="455">
        <v>30.88</v>
      </c>
      <c r="H507" s="455">
        <v>28.52</v>
      </c>
      <c r="I507" s="455">
        <v>29.36</v>
      </c>
      <c r="J507" s="455">
        <v>34.340000000000003</v>
      </c>
      <c r="K507" s="455">
        <v>37.85</v>
      </c>
      <c r="L507" s="455">
        <v>37.5</v>
      </c>
      <c r="M507" s="455">
        <v>35.39</v>
      </c>
      <c r="N507" s="455">
        <v>28.59</v>
      </c>
      <c r="O507" s="455">
        <v>27.99</v>
      </c>
      <c r="P507" s="455">
        <v>27.36</v>
      </c>
      <c r="Q507" s="455">
        <v>25.5</v>
      </c>
      <c r="R507" s="455">
        <v>30</v>
      </c>
      <c r="S507" s="455">
        <v>29.65</v>
      </c>
      <c r="T507" s="455">
        <v>28.35</v>
      </c>
      <c r="U507" s="455">
        <v>31.05</v>
      </c>
      <c r="V507" s="455">
        <v>31.25</v>
      </c>
      <c r="W507" s="455">
        <v>26.45</v>
      </c>
      <c r="X507" s="455">
        <v>22.9</v>
      </c>
      <c r="Y507" s="455">
        <v>19.399999999999999</v>
      </c>
      <c r="Z507" s="455">
        <v>18.309999999999999</v>
      </c>
      <c r="AA507" s="455">
        <v>16.95</v>
      </c>
      <c r="AB507" s="455">
        <v>15.75</v>
      </c>
      <c r="AC507" s="455">
        <v>16.309999999999999</v>
      </c>
      <c r="AD507" s="455">
        <v>14.33</v>
      </c>
      <c r="AE507" s="455">
        <v>14.9</v>
      </c>
      <c r="AF507" s="455">
        <v>8.9600000000000009</v>
      </c>
      <c r="AG507" s="345"/>
      <c r="AH507" s="345"/>
      <c r="AI507" s="345"/>
      <c r="AJ507" s="345"/>
      <c r="AK507" s="345"/>
      <c r="AL507" s="345"/>
      <c r="AM507" s="345"/>
      <c r="AN507" s="455">
        <v>8.39</v>
      </c>
      <c r="AO507" s="455">
        <v>10.84</v>
      </c>
      <c r="AP507" s="455">
        <v>14.34</v>
      </c>
      <c r="AQ507" s="455">
        <v>21.44</v>
      </c>
      <c r="AR507" s="455">
        <v>30.61</v>
      </c>
      <c r="AS507" s="455">
        <v>34.340000000000003</v>
      </c>
      <c r="AT507" s="455">
        <v>37.85</v>
      </c>
      <c r="AU507" s="455">
        <v>30</v>
      </c>
      <c r="AV507" s="455">
        <v>31.25</v>
      </c>
      <c r="AW507" s="455">
        <v>26.45</v>
      </c>
      <c r="AX507" s="455">
        <v>16.95</v>
      </c>
      <c r="AY507" s="345"/>
      <c r="AZ507" s="345"/>
      <c r="BA507" s="345"/>
      <c r="BB507" s="345"/>
      <c r="BC507" s="346"/>
      <c r="BD507" s="347"/>
    </row>
    <row r="508" spans="1:56" s="348" customFormat="1" hidden="1" outlineLevel="1" x14ac:dyDescent="0.25">
      <c r="A508" s="349" t="s">
        <v>7</v>
      </c>
      <c r="B508" s="345"/>
      <c r="C508" s="455" t="str">
        <f ca="1">IFERROR(_xll.BDP(MO.Ticker.Bloomberg&amp;" Equity","INTERVAL_HIGH","MARKET_DATA_OVERRIDE=PX_LAST","START_DATE_OVERRIDE",TEXT(INDEX(MO_SNA_FPStartDate,0,COLUMN()),"YYYYMMDD"),"END_DATE_OVERRIDE",TEXT(INDEX(MO_Common_QEndDate,0,COLUMN()),"YYYYMMDD")),"N/A")</f>
        <v>N/A</v>
      </c>
      <c r="D508" s="455" t="str">
        <f ca="1">IFERROR(_xll.BDP(MO.Ticker.Bloomberg&amp;" Equity","INTERVAL_HIGH","MARKET_DATA_OVERRIDE=PX_LAST","START_DATE_OVERRIDE",TEXT(INDEX(MO_SNA_FPStartDate,0,COLUMN()),"YYYYMMDD"),"END_DATE_OVERRIDE",TEXT(INDEX(MO_Common_QEndDate,0,COLUMN()),"YYYYMMDD")),"N/A")</f>
        <v>N/A</v>
      </c>
      <c r="E508" s="455" t="str">
        <f ca="1">IFERROR(_xll.BDP(MO.Ticker.Bloomberg&amp;" Equity","INTERVAL_HIGH","MARKET_DATA_OVERRIDE=PX_LAST","START_DATE_OVERRIDE",TEXT(INDEX(MO_SNA_FPStartDate,0,COLUMN()),"YYYYMMDD"),"END_DATE_OVERRIDE",TEXT(INDEX(MO_Common_QEndDate,0,COLUMN()),"YYYYMMDD")),"N/A")</f>
        <v>N/A</v>
      </c>
      <c r="F508" s="455" t="str">
        <f ca="1">IFERROR(_xll.BDP(MO.Ticker.Bloomberg&amp;" Equity","INTERVAL_HIGH","MARKET_DATA_OVERRIDE=PX_LAST","START_DATE_OVERRIDE",TEXT(INDEX(MO_SNA_FPStartDate,0,COLUMN()),"YYYYMMDD"),"END_DATE_OVERRIDE",TEXT(INDEX(MO_Common_QEndDate,0,COLUMN()),"YYYYMMDD")),"N/A")</f>
        <v>N/A</v>
      </c>
      <c r="G508" s="455" t="str">
        <f ca="1">IFERROR(_xll.BDP(MO.Ticker.Bloomberg&amp;" Equity","INTERVAL_HIGH","MARKET_DATA_OVERRIDE=PX_LAST","START_DATE_OVERRIDE",TEXT(INDEX(MO_SNA_FPStartDate,0,COLUMN()),"YYYYMMDD"),"END_DATE_OVERRIDE",TEXT(INDEX(MO_Common_QEndDate,0,COLUMN()),"YYYYMMDD")),"N/A")</f>
        <v>N/A</v>
      </c>
      <c r="H508" s="455" t="str">
        <f ca="1">IFERROR(_xll.BDP(MO.Ticker.Bloomberg&amp;" Equity","INTERVAL_HIGH","MARKET_DATA_OVERRIDE=PX_LAST","START_DATE_OVERRIDE",TEXT(INDEX(MO_SNA_FPStartDate,0,COLUMN()),"YYYYMMDD"),"END_DATE_OVERRIDE",TEXT(INDEX(MO_Common_QEndDate,0,COLUMN()),"YYYYMMDD")),"N/A")</f>
        <v>N/A</v>
      </c>
      <c r="I508" s="455" t="str">
        <f ca="1">IFERROR(_xll.BDP(MO.Ticker.Bloomberg&amp;" Equity","INTERVAL_HIGH","MARKET_DATA_OVERRIDE=PX_LAST","START_DATE_OVERRIDE",TEXT(INDEX(MO_SNA_FPStartDate,0,COLUMN()),"YYYYMMDD"),"END_DATE_OVERRIDE",TEXT(INDEX(MO_Common_QEndDate,0,COLUMN()),"YYYYMMDD")),"N/A")</f>
        <v>N/A</v>
      </c>
      <c r="J508" s="455" t="str">
        <f ca="1">IFERROR(_xll.BDP(MO.Ticker.Bloomberg&amp;" Equity","INTERVAL_HIGH","MARKET_DATA_OVERRIDE=PX_LAST","START_DATE_OVERRIDE",TEXT(INDEX(MO_SNA_FPStartDate,0,COLUMN()),"YYYYMMDD"),"END_DATE_OVERRIDE",TEXT(INDEX(MO_Common_QEndDate,0,COLUMN()),"YYYYMMDD")),"N/A")</f>
        <v>N/A</v>
      </c>
      <c r="K508" s="455" t="str">
        <f ca="1">IFERROR(_xll.BDP(MO.Ticker.Bloomberg&amp;" Equity","INTERVAL_HIGH","MARKET_DATA_OVERRIDE=PX_LAST","START_DATE_OVERRIDE",TEXT(INDEX(MO_SNA_FPStartDate,0,COLUMN()),"YYYYMMDD"),"END_DATE_OVERRIDE",TEXT(INDEX(MO_Common_QEndDate,0,COLUMN()),"YYYYMMDD")),"N/A")</f>
        <v>N/A</v>
      </c>
      <c r="L508" s="455" t="str">
        <f ca="1">IFERROR(_xll.BDP(MO.Ticker.Bloomberg&amp;" Equity","INTERVAL_HIGH","MARKET_DATA_OVERRIDE=PX_LAST","START_DATE_OVERRIDE",TEXT(INDEX(MO_SNA_FPStartDate,0,COLUMN()),"YYYYMMDD"),"END_DATE_OVERRIDE",TEXT(INDEX(MO_Common_QEndDate,0,COLUMN()),"YYYYMMDD")),"N/A")</f>
        <v>N/A</v>
      </c>
      <c r="M508" s="455" t="str">
        <f ca="1">IFERROR(_xll.BDP(MO.Ticker.Bloomberg&amp;" Equity","INTERVAL_HIGH","MARKET_DATA_OVERRIDE=PX_LAST","START_DATE_OVERRIDE",TEXT(INDEX(MO_SNA_FPStartDate,0,COLUMN()),"YYYYMMDD"),"END_DATE_OVERRIDE",TEXT(INDEX(MO_Common_QEndDate,0,COLUMN()),"YYYYMMDD")),"N/A")</f>
        <v>N/A</v>
      </c>
      <c r="N508" s="455" t="str">
        <f ca="1">IFERROR(_xll.BDP(MO.Ticker.Bloomberg&amp;" Equity","INTERVAL_HIGH","MARKET_DATA_OVERRIDE=PX_LAST","START_DATE_OVERRIDE",TEXT(INDEX(MO_SNA_FPStartDate,0,COLUMN()),"YYYYMMDD"),"END_DATE_OVERRIDE",TEXT(INDEX(MO_Common_QEndDate,0,COLUMN()),"YYYYMMDD")),"N/A")</f>
        <v>N/A</v>
      </c>
      <c r="O508" s="455" t="str">
        <f ca="1">IFERROR(_xll.BDP(MO.Ticker.Bloomberg&amp;" Equity","INTERVAL_HIGH","MARKET_DATA_OVERRIDE=PX_LAST","START_DATE_OVERRIDE",TEXT(INDEX(MO_SNA_FPStartDate,0,COLUMN()),"YYYYMMDD"),"END_DATE_OVERRIDE",TEXT(INDEX(MO_Common_QEndDate,0,COLUMN()),"YYYYMMDD")),"N/A")</f>
        <v>N/A</v>
      </c>
      <c r="P508" s="455" t="str">
        <f ca="1">IFERROR(_xll.BDP(MO.Ticker.Bloomberg&amp;" Equity","INTERVAL_HIGH","MARKET_DATA_OVERRIDE=PX_LAST","START_DATE_OVERRIDE",TEXT(INDEX(MO_SNA_FPStartDate,0,COLUMN()),"YYYYMMDD"),"END_DATE_OVERRIDE",TEXT(INDEX(MO_Common_QEndDate,0,COLUMN()),"YYYYMMDD")),"N/A")</f>
        <v>N/A</v>
      </c>
      <c r="Q508" s="455" t="str">
        <f ca="1">IFERROR(_xll.BDP(MO.Ticker.Bloomberg&amp;" Equity","INTERVAL_HIGH","MARKET_DATA_OVERRIDE=PX_LAST","START_DATE_OVERRIDE",TEXT(INDEX(MO_SNA_FPStartDate,0,COLUMN()),"YYYYMMDD"),"END_DATE_OVERRIDE",TEXT(INDEX(MO_Common_QEndDate,0,COLUMN()),"YYYYMMDD")),"N/A")</f>
        <v>N/A</v>
      </c>
      <c r="R508" s="455" t="str">
        <f ca="1">IFERROR(_xll.BDP(MO.Ticker.Bloomberg&amp;" Equity","INTERVAL_HIGH","MARKET_DATA_OVERRIDE=PX_LAST","START_DATE_OVERRIDE",TEXT(INDEX(MO_SNA_FPStartDate,0,COLUMN()),"YYYYMMDD"),"END_DATE_OVERRIDE",TEXT(INDEX(MO_Common_QEndDate,0,COLUMN()),"YYYYMMDD")),"N/A")</f>
        <v>N/A</v>
      </c>
      <c r="S508" s="455" t="str">
        <f ca="1">IFERROR(_xll.BDP(MO.Ticker.Bloomberg&amp;" Equity","INTERVAL_HIGH","MARKET_DATA_OVERRIDE=PX_LAST","START_DATE_OVERRIDE",TEXT(INDEX(MO_SNA_FPStartDate,0,COLUMN()),"YYYYMMDD"),"END_DATE_OVERRIDE",TEXT(INDEX(MO_Common_QEndDate,0,COLUMN()),"YYYYMMDD")),"N/A")</f>
        <v>N/A</v>
      </c>
      <c r="T508" s="455" t="str">
        <f ca="1">IFERROR(_xll.BDP(MO.Ticker.Bloomberg&amp;" Equity","INTERVAL_HIGH","MARKET_DATA_OVERRIDE=PX_LAST","START_DATE_OVERRIDE",TEXT(INDEX(MO_SNA_FPStartDate,0,COLUMN()),"YYYYMMDD"),"END_DATE_OVERRIDE",TEXT(INDEX(MO_Common_QEndDate,0,COLUMN()),"YYYYMMDD")),"N/A")</f>
        <v>N/A</v>
      </c>
      <c r="U508" s="455" t="str">
        <f ca="1">IFERROR(_xll.BDP(MO.Ticker.Bloomberg&amp;" Equity","INTERVAL_HIGH","MARKET_DATA_OVERRIDE=PX_LAST","START_DATE_OVERRIDE",TEXT(INDEX(MO_SNA_FPStartDate,0,COLUMN()),"YYYYMMDD"),"END_DATE_OVERRIDE",TEXT(INDEX(MO_Common_QEndDate,0,COLUMN()),"YYYYMMDD")),"N/A")</f>
        <v>N/A</v>
      </c>
      <c r="V508" s="455" t="str">
        <f ca="1">IFERROR(_xll.BDP(MO.Ticker.Bloomberg&amp;" Equity","INTERVAL_HIGH","MARKET_DATA_OVERRIDE=PX_LAST","START_DATE_OVERRIDE",TEXT(INDEX(MO_SNA_FPStartDate,0,COLUMN()),"YYYYMMDD"),"END_DATE_OVERRIDE",TEXT(INDEX(MO_Common_QEndDate,0,COLUMN()),"YYYYMMDD")),"N/A")</f>
        <v>N/A</v>
      </c>
      <c r="W508" s="455" t="str">
        <f ca="1">IFERROR(_xll.BDP(MO.Ticker.Bloomberg&amp;" Equity","INTERVAL_HIGH","MARKET_DATA_OVERRIDE=PX_LAST","START_DATE_OVERRIDE",TEXT(INDEX(MO_SNA_FPStartDate,0,COLUMN()),"YYYYMMDD"),"END_DATE_OVERRIDE",TEXT(INDEX(MO_Common_QEndDate,0,COLUMN()),"YYYYMMDD")),"N/A")</f>
        <v>N/A</v>
      </c>
      <c r="X508" s="455" t="str">
        <f ca="1">IFERROR(_xll.BDP(MO.Ticker.Bloomberg&amp;" Equity","INTERVAL_HIGH","MARKET_DATA_OVERRIDE=PX_LAST","START_DATE_OVERRIDE",TEXT(INDEX(MO_SNA_FPStartDate,0,COLUMN()),"YYYYMMDD"),"END_DATE_OVERRIDE",TEXT(INDEX(MO_Common_QEndDate,0,COLUMN()),"YYYYMMDD")),"N/A")</f>
        <v>N/A</v>
      </c>
      <c r="Y508" s="455" t="str">
        <f ca="1">IFERROR(_xll.BDP(MO.Ticker.Bloomberg&amp;" Equity","INTERVAL_HIGH","MARKET_DATA_OVERRIDE=PX_LAST","START_DATE_OVERRIDE",TEXT(INDEX(MO_SNA_FPStartDate,0,COLUMN()),"YYYYMMDD"),"END_DATE_OVERRIDE",TEXT(INDEX(MO_Common_QEndDate,0,COLUMN()),"YYYYMMDD")),"N/A")</f>
        <v>N/A</v>
      </c>
      <c r="Z508" s="455" t="str">
        <f ca="1">IFERROR(_xll.BDP(MO.Ticker.Bloomberg&amp;" Equity","INTERVAL_HIGH","MARKET_DATA_OVERRIDE=PX_LAST","START_DATE_OVERRIDE",TEXT(INDEX(MO_SNA_FPStartDate,0,COLUMN()),"YYYYMMDD"),"END_DATE_OVERRIDE",TEXT(INDEX(MO_Common_QEndDate,0,COLUMN()),"YYYYMMDD")),"N/A")</f>
        <v>N/A</v>
      </c>
      <c r="AA508" s="455" t="str">
        <f ca="1">IFERROR(_xll.BDP(MO.Ticker.Bloomberg&amp;" Equity","INTERVAL_HIGH","MARKET_DATA_OVERRIDE=PX_LAST","START_DATE_OVERRIDE",TEXT(INDEX(MO_SNA_FPStartDate,0,COLUMN()),"YYYYMMDD"),"END_DATE_OVERRIDE",TEXT(INDEX(MO_Common_QEndDate,0,COLUMN()),"YYYYMMDD")),"N/A")</f>
        <v>N/A</v>
      </c>
      <c r="AB508" s="455" t="str">
        <f ca="1">IFERROR(_xll.BDP(MO.Ticker.Bloomberg&amp;" Equity","INTERVAL_HIGH","MARKET_DATA_OVERRIDE=PX_LAST","START_DATE_OVERRIDE",TEXT(INDEX(MO_SNA_FPStartDate,0,COLUMN()),"YYYYMMDD"),"END_DATE_OVERRIDE",TEXT(INDEX(MO_Common_QEndDate,0,COLUMN()),"YYYYMMDD")),"N/A")</f>
        <v>N/A</v>
      </c>
      <c r="AC508" s="455" t="str">
        <f ca="1">IFERROR(_xll.BDP(MO.Ticker.Bloomberg&amp;" Equity","INTERVAL_HIGH","MARKET_DATA_OVERRIDE=PX_LAST","START_DATE_OVERRIDE",TEXT(INDEX(MO_SNA_FPStartDate,0,COLUMN()),"YYYYMMDD"),"END_DATE_OVERRIDE",TEXT(INDEX(MO_Common_QEndDate,0,COLUMN()),"YYYYMMDD")),"N/A")</f>
        <v>N/A</v>
      </c>
      <c r="AD508" s="455" t="str">
        <f ca="1">IFERROR(_xll.BDP(MO.Ticker.Bloomberg&amp;" Equity","INTERVAL_HIGH","MARKET_DATA_OVERRIDE=PX_LAST","START_DATE_OVERRIDE",TEXT(INDEX(MO_SNA_FPStartDate,0,COLUMN()),"YYYYMMDD"),"END_DATE_OVERRIDE",TEXT(INDEX(MO_Common_QEndDate,0,COLUMN()),"YYYYMMDD")),"N/A")</f>
        <v>N/A</v>
      </c>
      <c r="AE508" s="455" t="str">
        <f ca="1">IFERROR(_xll.BDP(MO.Ticker.Bloomberg&amp;" Equity","INTERVAL_HIGH","MARKET_DATA_OVERRIDE=PX_LAST","START_DATE_OVERRIDE",TEXT(INDEX(MO_SNA_FPStartDate,0,COLUMN()),"YYYYMMDD"),"END_DATE_OVERRIDE",TEXT(INDEX(MO_Common_QEndDate,0,COLUMN()),"YYYYMMDD")),"N/A")</f>
        <v>N/A</v>
      </c>
      <c r="AF508" s="455" t="str">
        <f ca="1">IFERROR(_xll.BDP(MO.Ticker.Bloomberg&amp;" Equity","INTERVAL_HIGH","MARKET_DATA_OVERRIDE=PX_LAST","START_DATE_OVERRIDE",TEXT(INDEX(MO_SNA_FPStartDate,0,COLUMN()),"YYYYMMDD"),"END_DATE_OVERRIDE",TEXT(INDEX(MO_Common_QEndDate,0,COLUMN()),"YYYYMMDD")),"N/A")</f>
        <v>N/A</v>
      </c>
      <c r="AG508" s="345" t="str">
        <f ca="1">IFERROR(_xll.BDP(MO.Ticker.Bloomberg&amp;" Equity","INTERVAL_HIGH","MARKET_DATA_OVERRIDE=PX_LAST","START_DATE_OVERRIDE",TEXT(INDEX(MO_SNA_FPStartDate,0,COLUMN()),"YYYYMMDD"),"END_DATE_OVERRIDE",TEXT(INDEX(MO_Common_QEndDate,0,COLUMN()),"YYYYMMDD")),"N/A")</f>
        <v>N/A</v>
      </c>
      <c r="AH508" s="345" t="str">
        <f ca="1">IFERROR(_xll.BDP(MO.Ticker.Bloomberg&amp;" Equity","INTERVAL_HIGH","MARKET_DATA_OVERRIDE=PX_LAST","START_DATE_OVERRIDE",TEXT(INDEX(MO_SNA_FPStartDate,0,COLUMN()),"YYYYMMDD"),"END_DATE_OVERRIDE",TEXT(INDEX(MO_Common_QEndDate,0,COLUMN()),"YYYYMMDD")),"N/A")</f>
        <v>N/A</v>
      </c>
      <c r="AI508" s="345" t="str">
        <f ca="1">IFERROR(_xll.BDP(MO.Ticker.Bloomberg&amp;" Equity","INTERVAL_HIGH","MARKET_DATA_OVERRIDE=PX_LAST","START_DATE_OVERRIDE",TEXT(INDEX(MO_SNA_FPStartDate,0,COLUMN()),"YYYYMMDD"),"END_DATE_OVERRIDE",TEXT(INDEX(MO_Common_QEndDate,0,COLUMN()),"YYYYMMDD")),"N/A")</f>
        <v>N/A</v>
      </c>
      <c r="AJ508" s="345" t="str">
        <f ca="1">IFERROR(_xll.BDP(MO.Ticker.Bloomberg&amp;" Equity","INTERVAL_HIGH","MARKET_DATA_OVERRIDE=PX_LAST","START_DATE_OVERRIDE",TEXT(INDEX(MO_SNA_FPStartDate,0,COLUMN()),"YYYYMMDD"),"END_DATE_OVERRIDE",TEXT(INDEX(MO_Common_QEndDate,0,COLUMN()),"YYYYMMDD")),"N/A")</f>
        <v>N/A</v>
      </c>
      <c r="AK508" s="345" t="str">
        <f ca="1">IFERROR(_xll.BDP(MO.Ticker.Bloomberg&amp;" Equity","INTERVAL_HIGH","MARKET_DATA_OVERRIDE=PX_LAST","START_DATE_OVERRIDE",TEXT(INDEX(MO_SNA_FPStartDate,0,COLUMN()),"YYYYMMDD"),"END_DATE_OVERRIDE",TEXT(INDEX(MO_Common_QEndDate,0,COLUMN()),"YYYYMMDD")),"N/A")</f>
        <v>N/A</v>
      </c>
      <c r="AL508" s="345" t="str">
        <f ca="1">IFERROR(_xll.BDP(MO.Ticker.Bloomberg&amp;" Equity","INTERVAL_HIGH","MARKET_DATA_OVERRIDE=PX_LAST","START_DATE_OVERRIDE",TEXT(INDEX(MO_SNA_FPStartDate,0,COLUMN()),"YYYYMMDD"),"END_DATE_OVERRIDE",TEXT(INDEX(MO_Common_QEndDate,0,COLUMN()),"YYYYMMDD")),"N/A")</f>
        <v>N/A</v>
      </c>
      <c r="AM508" s="345"/>
      <c r="AN508" s="455" t="str">
        <f ca="1">IFERROR(_xll.BDP(MO.Ticker.Bloomberg&amp;" Equity","INTERVAL_HIGH","MARKET_DATA_OVERRIDE=PX_LAST","START_DATE_OVERRIDE",TEXT(INDEX(MO_SNA_FPStartDate,0,COLUMN()),"YYYYMMDD"),"END_DATE_OVERRIDE",TEXT(INDEX(MO_Common_QEndDate,0,COLUMN()),"YYYYMMDD")),"N/A")</f>
        <v>N/A</v>
      </c>
      <c r="AO508" s="455" t="str">
        <f ca="1">IFERROR(_xll.BDP(MO.Ticker.Bloomberg&amp;" Equity","INTERVAL_HIGH","MARKET_DATA_OVERRIDE=PX_LAST","START_DATE_OVERRIDE",TEXT(INDEX(MO_SNA_FPStartDate,0,COLUMN()),"YYYYMMDD"),"END_DATE_OVERRIDE",TEXT(INDEX(MO_Common_QEndDate,0,COLUMN()),"YYYYMMDD")),"N/A")</f>
        <v>N/A</v>
      </c>
      <c r="AP508" s="455" t="str">
        <f ca="1">IFERROR(_xll.BDP(MO.Ticker.Bloomberg&amp;" Equity","INTERVAL_HIGH","MARKET_DATA_OVERRIDE=PX_LAST","START_DATE_OVERRIDE",TEXT(INDEX(MO_SNA_FPStartDate,0,COLUMN()),"YYYYMMDD"),"END_DATE_OVERRIDE",TEXT(INDEX(MO_Common_QEndDate,0,COLUMN()),"YYYYMMDD")),"N/A")</f>
        <v>N/A</v>
      </c>
      <c r="AQ508" s="455" t="str">
        <f ca="1">IFERROR(_xll.BDP(MO.Ticker.Bloomberg&amp;" Equity","INTERVAL_HIGH","MARKET_DATA_OVERRIDE=PX_LAST","START_DATE_OVERRIDE",TEXT(INDEX(MO_SNA_FPStartDate,0,COLUMN()),"YYYYMMDD"),"END_DATE_OVERRIDE",TEXT(INDEX(MO_Common_QEndDate,0,COLUMN()),"YYYYMMDD")),"N/A")</f>
        <v>N/A</v>
      </c>
      <c r="AR508" s="455" t="str">
        <f ca="1">IFERROR(_xll.BDP(MO.Ticker.Bloomberg&amp;" Equity","INTERVAL_HIGH","MARKET_DATA_OVERRIDE=PX_LAST","START_DATE_OVERRIDE",TEXT(INDEX(MO_SNA_FPStartDate,0,COLUMN()),"YYYYMMDD"),"END_DATE_OVERRIDE",TEXT(INDEX(MO_Common_QEndDate,0,COLUMN()),"YYYYMMDD")),"N/A")</f>
        <v>N/A</v>
      </c>
      <c r="AS508" s="455" t="str">
        <f ca="1">IFERROR(_xll.BDP(MO.Ticker.Bloomberg&amp;" Equity","INTERVAL_HIGH","MARKET_DATA_OVERRIDE=PX_LAST","START_DATE_OVERRIDE",TEXT(INDEX(MO_SNA_FPStartDate,0,COLUMN()),"YYYYMMDD"),"END_DATE_OVERRIDE",TEXT(INDEX(MO_Common_QEndDate,0,COLUMN()),"YYYYMMDD")),"N/A")</f>
        <v>N/A</v>
      </c>
      <c r="AT508" s="455" t="str">
        <f ca="1">IFERROR(_xll.BDP(MO.Ticker.Bloomberg&amp;" Equity","INTERVAL_HIGH","MARKET_DATA_OVERRIDE=PX_LAST","START_DATE_OVERRIDE",TEXT(INDEX(MO_SNA_FPStartDate,0,COLUMN()),"YYYYMMDD"),"END_DATE_OVERRIDE",TEXT(INDEX(MO_Common_QEndDate,0,COLUMN()),"YYYYMMDD")),"N/A")</f>
        <v>N/A</v>
      </c>
      <c r="AU508" s="455" t="str">
        <f ca="1">IFERROR(_xll.BDP(MO.Ticker.Bloomberg&amp;" Equity","INTERVAL_HIGH","MARKET_DATA_OVERRIDE=PX_LAST","START_DATE_OVERRIDE",TEXT(INDEX(MO_SNA_FPStartDate,0,COLUMN()),"YYYYMMDD"),"END_DATE_OVERRIDE",TEXT(INDEX(MO_Common_QEndDate,0,COLUMN()),"YYYYMMDD")),"N/A")</f>
        <v>N/A</v>
      </c>
      <c r="AV508" s="455" t="str">
        <f ca="1">IFERROR(_xll.BDP(MO.Ticker.Bloomberg&amp;" Equity","INTERVAL_HIGH","MARKET_DATA_OVERRIDE=PX_LAST","START_DATE_OVERRIDE",TEXT(INDEX(MO_SNA_FPStartDate,0,COLUMN()),"YYYYMMDD"),"END_DATE_OVERRIDE",TEXT(INDEX(MO_Common_QEndDate,0,COLUMN()),"YYYYMMDD")),"N/A")</f>
        <v>N/A</v>
      </c>
      <c r="AW508" s="455" t="str">
        <f ca="1">IFERROR(_xll.BDP(MO.Ticker.Bloomberg&amp;" Equity","INTERVAL_HIGH","MARKET_DATA_OVERRIDE=PX_LAST","START_DATE_OVERRIDE",TEXT(INDEX(MO_SNA_FPStartDate,0,COLUMN()),"YYYYMMDD"),"END_DATE_OVERRIDE",TEXT(INDEX(MO_Common_QEndDate,0,COLUMN()),"YYYYMMDD")),"N/A")</f>
        <v>N/A</v>
      </c>
      <c r="AX508" s="455" t="str">
        <f ca="1">IFERROR(_xll.BDP(MO.Ticker.Bloomberg&amp;" Equity","INTERVAL_HIGH","MARKET_DATA_OVERRIDE=PX_LAST","START_DATE_OVERRIDE",TEXT(INDEX(MO_SNA_FPStartDate,0,COLUMN()),"YYYYMMDD"),"END_DATE_OVERRIDE",TEXT(INDEX(MO_Common_QEndDate,0,COLUMN()),"YYYYMMDD")),"N/A")</f>
        <v>N/A</v>
      </c>
      <c r="AY508" s="345" t="str">
        <f ca="1">IFERROR(_xll.BDP(MO.Ticker.Bloomberg&amp;" Equity","INTERVAL_HIGH","MARKET_DATA_OVERRIDE=PX_LAST","START_DATE_OVERRIDE",TEXT(INDEX(MO_SNA_FPStartDate,0,COLUMN()),"YYYYMMDD"),"END_DATE_OVERRIDE",TEXT(INDEX(MO_Common_QEndDate,0,COLUMN()),"YYYYMMDD")),"N/A")</f>
        <v>N/A</v>
      </c>
      <c r="AZ508" s="345" t="str">
        <f ca="1">IFERROR(_xll.BDP(MO.Ticker.Bloomberg&amp;" Equity","INTERVAL_HIGH","MARKET_DATA_OVERRIDE=PX_LAST","START_DATE_OVERRIDE",TEXT(INDEX(MO_SNA_FPStartDate,0,COLUMN()),"YYYYMMDD"),"END_DATE_OVERRIDE",TEXT(INDEX(MO_Common_QEndDate,0,COLUMN()),"YYYYMMDD")),"N/A")</f>
        <v>N/A</v>
      </c>
      <c r="BA508" s="345" t="str">
        <f ca="1">IFERROR(_xll.BDP(MO.Ticker.Bloomberg&amp;" Equity","INTERVAL_HIGH","MARKET_DATA_OVERRIDE=PX_LAST","START_DATE_OVERRIDE",TEXT(INDEX(MO_SNA_FPStartDate,0,COLUMN()),"YYYYMMDD"),"END_DATE_OVERRIDE",TEXT(INDEX(MO_Common_QEndDate,0,COLUMN()),"YYYYMMDD")),"N/A")</f>
        <v>N/A</v>
      </c>
      <c r="BB508" s="345" t="str">
        <f ca="1">IFERROR(_xll.BDP(MO.Ticker.Bloomberg&amp;" Equity","INTERVAL_HIGH","MARKET_DATA_OVERRIDE=PX_LAST","START_DATE_OVERRIDE",TEXT(INDEX(MO_SNA_FPStartDate,0,COLUMN()),"YYYYMMDD"),"END_DATE_OVERRIDE",TEXT(INDEX(MO_Common_QEndDate,0,COLUMN()),"YYYYMMDD")),"N/A")</f>
        <v>N/A</v>
      </c>
      <c r="BC508" s="346" t="str">
        <f ca="1">IFERROR(_xll.BDP(MO.Ticker.Bloomberg&amp;" Equity","INTERVAL_HIGH","MARKET_DATA_OVERRIDE=PX_LAST","START_DATE_OVERRIDE",TEXT(INDEX(MO_SNA_FPStartDate,0,COLUMN()),"YYYYMMDD"),"END_DATE_OVERRIDE",TEXT(INDEX(MO_Common_QEndDate,0,COLUMN()),"YYYYMMDD")),"N/A")</f>
        <v>N/A</v>
      </c>
      <c r="BD508" s="347"/>
    </row>
    <row r="509" spans="1:56" s="348" customFormat="1" hidden="1" outlineLevel="1" x14ac:dyDescent="0.25">
      <c r="A509" s="349" t="s">
        <v>282</v>
      </c>
      <c r="B509" s="345"/>
      <c r="C509" s="455" t="str">
        <f ca="1">IFERROR(_xll.CIQHI(MO.Ticker.CapIQ,"IQ_LASTSALEPRICE",INDEX(MO_SNA_FPStartDate,0,COLUMN()),INDEX(MO_Common_QEndDate,0,COLUMN())),"N/A")</f>
        <v>N/A</v>
      </c>
      <c r="D509" s="455" t="str">
        <f ca="1">IFERROR(_xll.CIQHI(MO.Ticker.CapIQ,"IQ_LASTSALEPRICE",INDEX(MO_SNA_FPStartDate,0,COLUMN()),INDEX(MO_Common_QEndDate,0,COLUMN())),"N/A")</f>
        <v>N/A</v>
      </c>
      <c r="E509" s="455" t="str">
        <f ca="1">IFERROR(_xll.CIQHI(MO.Ticker.CapIQ,"IQ_LASTSALEPRICE",INDEX(MO_SNA_FPStartDate,0,COLUMN()),INDEX(MO_Common_QEndDate,0,COLUMN())),"N/A")</f>
        <v>N/A</v>
      </c>
      <c r="F509" s="455" t="str">
        <f ca="1">IFERROR(_xll.CIQHI(MO.Ticker.CapIQ,"IQ_LASTSALEPRICE",INDEX(MO_SNA_FPStartDate,0,COLUMN()),INDEX(MO_Common_QEndDate,0,COLUMN())),"N/A")</f>
        <v>N/A</v>
      </c>
      <c r="G509" s="455" t="str">
        <f ca="1">IFERROR(_xll.CIQHI(MO.Ticker.CapIQ,"IQ_LASTSALEPRICE",INDEX(MO_SNA_FPStartDate,0,COLUMN()),INDEX(MO_Common_QEndDate,0,COLUMN())),"N/A")</f>
        <v>N/A</v>
      </c>
      <c r="H509" s="455" t="str">
        <f ca="1">IFERROR(_xll.CIQHI(MO.Ticker.CapIQ,"IQ_LASTSALEPRICE",INDEX(MO_SNA_FPStartDate,0,COLUMN()),INDEX(MO_Common_QEndDate,0,COLUMN())),"N/A")</f>
        <v>N/A</v>
      </c>
      <c r="I509" s="455" t="str">
        <f ca="1">IFERROR(_xll.CIQHI(MO.Ticker.CapIQ,"IQ_LASTSALEPRICE",INDEX(MO_SNA_FPStartDate,0,COLUMN()),INDEX(MO_Common_QEndDate,0,COLUMN())),"N/A")</f>
        <v>N/A</v>
      </c>
      <c r="J509" s="455" t="str">
        <f ca="1">IFERROR(_xll.CIQHI(MO.Ticker.CapIQ,"IQ_LASTSALEPRICE",INDEX(MO_SNA_FPStartDate,0,COLUMN()),INDEX(MO_Common_QEndDate,0,COLUMN())),"N/A")</f>
        <v>N/A</v>
      </c>
      <c r="K509" s="455" t="str">
        <f ca="1">IFERROR(_xll.CIQHI(MO.Ticker.CapIQ,"IQ_LASTSALEPRICE",INDEX(MO_SNA_FPStartDate,0,COLUMN()),INDEX(MO_Common_QEndDate,0,COLUMN())),"N/A")</f>
        <v>N/A</v>
      </c>
      <c r="L509" s="455" t="str">
        <f ca="1">IFERROR(_xll.CIQHI(MO.Ticker.CapIQ,"IQ_LASTSALEPRICE",INDEX(MO_SNA_FPStartDate,0,COLUMN()),INDEX(MO_Common_QEndDate,0,COLUMN())),"N/A")</f>
        <v>N/A</v>
      </c>
      <c r="M509" s="455" t="str">
        <f ca="1">IFERROR(_xll.CIQHI(MO.Ticker.CapIQ,"IQ_LASTSALEPRICE",INDEX(MO_SNA_FPStartDate,0,COLUMN()),INDEX(MO_Common_QEndDate,0,COLUMN())),"N/A")</f>
        <v>N/A</v>
      </c>
      <c r="N509" s="455" t="str">
        <f ca="1">IFERROR(_xll.CIQHI(MO.Ticker.CapIQ,"IQ_LASTSALEPRICE",INDEX(MO_SNA_FPStartDate,0,COLUMN()),INDEX(MO_Common_QEndDate,0,COLUMN())),"N/A")</f>
        <v>N/A</v>
      </c>
      <c r="O509" s="455" t="str">
        <f ca="1">IFERROR(_xll.CIQHI(MO.Ticker.CapIQ,"IQ_LASTSALEPRICE",INDEX(MO_SNA_FPStartDate,0,COLUMN()),INDEX(MO_Common_QEndDate,0,COLUMN())),"N/A")</f>
        <v>N/A</v>
      </c>
      <c r="P509" s="455" t="str">
        <f ca="1">IFERROR(_xll.CIQHI(MO.Ticker.CapIQ,"IQ_LASTSALEPRICE",INDEX(MO_SNA_FPStartDate,0,COLUMN()),INDEX(MO_Common_QEndDate,0,COLUMN())),"N/A")</f>
        <v>N/A</v>
      </c>
      <c r="Q509" s="455" t="str">
        <f ca="1">IFERROR(_xll.CIQHI(MO.Ticker.CapIQ,"IQ_LASTSALEPRICE",INDEX(MO_SNA_FPStartDate,0,COLUMN()),INDEX(MO_Common_QEndDate,0,COLUMN())),"N/A")</f>
        <v>N/A</v>
      </c>
      <c r="R509" s="455" t="str">
        <f ca="1">IFERROR(_xll.CIQHI(MO.Ticker.CapIQ,"IQ_LASTSALEPRICE",INDEX(MO_SNA_FPStartDate,0,COLUMN()),INDEX(MO_Common_QEndDate,0,COLUMN())),"N/A")</f>
        <v>N/A</v>
      </c>
      <c r="S509" s="455" t="str">
        <f ca="1">IFERROR(_xll.CIQHI(MO.Ticker.CapIQ,"IQ_LASTSALEPRICE",INDEX(MO_SNA_FPStartDate,0,COLUMN()),INDEX(MO_Common_QEndDate,0,COLUMN())),"N/A")</f>
        <v>N/A</v>
      </c>
      <c r="T509" s="455" t="str">
        <f ca="1">IFERROR(_xll.CIQHI(MO.Ticker.CapIQ,"IQ_LASTSALEPRICE",INDEX(MO_SNA_FPStartDate,0,COLUMN()),INDEX(MO_Common_QEndDate,0,COLUMN())),"N/A")</f>
        <v>N/A</v>
      </c>
      <c r="U509" s="455" t="str">
        <f ca="1">IFERROR(_xll.CIQHI(MO.Ticker.CapIQ,"IQ_LASTSALEPRICE",INDEX(MO_SNA_FPStartDate,0,COLUMN()),INDEX(MO_Common_QEndDate,0,COLUMN())),"N/A")</f>
        <v>N/A</v>
      </c>
      <c r="V509" s="455" t="str">
        <f ca="1">IFERROR(_xll.CIQHI(MO.Ticker.CapIQ,"IQ_LASTSALEPRICE",INDEX(MO_SNA_FPStartDate,0,COLUMN()),INDEX(MO_Common_QEndDate,0,COLUMN())),"N/A")</f>
        <v>N/A</v>
      </c>
      <c r="W509" s="455" t="str">
        <f ca="1">IFERROR(_xll.CIQHI(MO.Ticker.CapIQ,"IQ_LASTSALEPRICE",INDEX(MO_SNA_FPStartDate,0,COLUMN()),INDEX(MO_Common_QEndDate,0,COLUMN())),"N/A")</f>
        <v>N/A</v>
      </c>
      <c r="X509" s="455" t="str">
        <f ca="1">IFERROR(_xll.CIQHI(MO.Ticker.CapIQ,"IQ_LASTSALEPRICE",INDEX(MO_SNA_FPStartDate,0,COLUMN()),INDEX(MO_Common_QEndDate,0,COLUMN())),"N/A")</f>
        <v>N/A</v>
      </c>
      <c r="Y509" s="455" t="str">
        <f ca="1">IFERROR(_xll.CIQHI(MO.Ticker.CapIQ,"IQ_LASTSALEPRICE",INDEX(MO_SNA_FPStartDate,0,COLUMN()),INDEX(MO_Common_QEndDate,0,COLUMN())),"N/A")</f>
        <v>N/A</v>
      </c>
      <c r="Z509" s="455" t="str">
        <f ca="1">IFERROR(_xll.CIQHI(MO.Ticker.CapIQ,"IQ_LASTSALEPRICE",INDEX(MO_SNA_FPStartDate,0,COLUMN()),INDEX(MO_Common_QEndDate,0,COLUMN())),"N/A")</f>
        <v>N/A</v>
      </c>
      <c r="AA509" s="455" t="str">
        <f ca="1">IFERROR(_xll.CIQHI(MO.Ticker.CapIQ,"IQ_LASTSALEPRICE",INDEX(MO_SNA_FPStartDate,0,COLUMN()),INDEX(MO_Common_QEndDate,0,COLUMN())),"N/A")</f>
        <v>N/A</v>
      </c>
      <c r="AB509" s="455" t="str">
        <f ca="1">IFERROR(_xll.CIQHI(MO.Ticker.CapIQ,"IQ_LASTSALEPRICE",INDEX(MO_SNA_FPStartDate,0,COLUMN()),INDEX(MO_Common_QEndDate,0,COLUMN())),"N/A")</f>
        <v>N/A</v>
      </c>
      <c r="AC509" s="455" t="str">
        <f ca="1">IFERROR(_xll.CIQHI(MO.Ticker.CapIQ,"IQ_LASTSALEPRICE",INDEX(MO_SNA_FPStartDate,0,COLUMN()),INDEX(MO_Common_QEndDate,0,COLUMN())),"N/A")</f>
        <v>N/A</v>
      </c>
      <c r="AD509" s="455" t="str">
        <f ca="1">IFERROR(_xll.CIQHI(MO.Ticker.CapIQ,"IQ_LASTSALEPRICE",INDEX(MO_SNA_FPStartDate,0,COLUMN()),INDEX(MO_Common_QEndDate,0,COLUMN())),"N/A")</f>
        <v>N/A</v>
      </c>
      <c r="AE509" s="455" t="str">
        <f ca="1">IFERROR(_xll.CIQHI(MO.Ticker.CapIQ,"IQ_LASTSALEPRICE",INDEX(MO_SNA_FPStartDate,0,COLUMN()),INDEX(MO_Common_QEndDate,0,COLUMN())),"N/A")</f>
        <v>N/A</v>
      </c>
      <c r="AF509" s="455" t="str">
        <f ca="1">IFERROR(_xll.CIQHI(MO.Ticker.CapIQ,"IQ_LASTSALEPRICE",INDEX(MO_SNA_FPStartDate,0,COLUMN()),INDEX(MO_Common_QEndDate,0,COLUMN())),"N/A")</f>
        <v>N/A</v>
      </c>
      <c r="AG509" s="345" t="str">
        <f ca="1">IFERROR(_xll.CIQHI(MO.Ticker.CapIQ,"IQ_LASTSALEPRICE",INDEX(MO_SNA_FPStartDate,0,COLUMN()),INDEX(MO_Common_QEndDate,0,COLUMN())),"N/A")</f>
        <v>N/A</v>
      </c>
      <c r="AH509" s="345" t="str">
        <f ca="1">IFERROR(_xll.CIQHI(MO.Ticker.CapIQ,"IQ_LASTSALEPRICE",INDEX(MO_SNA_FPStartDate,0,COLUMN()),INDEX(MO_Common_QEndDate,0,COLUMN())),"N/A")</f>
        <v>N/A</v>
      </c>
      <c r="AI509" s="345" t="str">
        <f ca="1">IFERROR(_xll.CIQHI(MO.Ticker.CapIQ,"IQ_LASTSALEPRICE",INDEX(MO_SNA_FPStartDate,0,COLUMN()),INDEX(MO_Common_QEndDate,0,COLUMN())),"N/A")</f>
        <v>N/A</v>
      </c>
      <c r="AJ509" s="345" t="str">
        <f ca="1">IFERROR(_xll.CIQHI(MO.Ticker.CapIQ,"IQ_LASTSALEPRICE",INDEX(MO_SNA_FPStartDate,0,COLUMN()),INDEX(MO_Common_QEndDate,0,COLUMN())),"N/A")</f>
        <v>N/A</v>
      </c>
      <c r="AK509" s="345" t="str">
        <f ca="1">IFERROR(_xll.CIQHI(MO.Ticker.CapIQ,"IQ_LASTSALEPRICE",INDEX(MO_SNA_FPStartDate,0,COLUMN()),INDEX(MO_Common_QEndDate,0,COLUMN())),"N/A")</f>
        <v>N/A</v>
      </c>
      <c r="AL509" s="345" t="str">
        <f ca="1">IFERROR(_xll.CIQHI(MO.Ticker.CapIQ,"IQ_LASTSALEPRICE",INDEX(MO_SNA_FPStartDate,0,COLUMN()),INDEX(MO_Common_QEndDate,0,COLUMN())),"N/A")</f>
        <v>N/A</v>
      </c>
      <c r="AM509" s="345"/>
      <c r="AN509" s="455" t="str">
        <f ca="1">IFERROR(_xll.CIQHI(MO.Ticker.CapIQ,"IQ_LASTSALEPRICE",INDEX(MO_SNA_FPStartDate,0,COLUMN()),INDEX(MO_Common_QEndDate,0,COLUMN())),"N/A")</f>
        <v>N/A</v>
      </c>
      <c r="AO509" s="455" t="str">
        <f ca="1">IFERROR(_xll.CIQHI(MO.Ticker.CapIQ,"IQ_LASTSALEPRICE",INDEX(MO_SNA_FPStartDate,0,COLUMN()),INDEX(MO_Common_QEndDate,0,COLUMN())),"N/A")</f>
        <v>N/A</v>
      </c>
      <c r="AP509" s="455" t="str">
        <f ca="1">IFERROR(_xll.CIQHI(MO.Ticker.CapIQ,"IQ_LASTSALEPRICE",INDEX(MO_SNA_FPStartDate,0,COLUMN()),INDEX(MO_Common_QEndDate,0,COLUMN())),"N/A")</f>
        <v>N/A</v>
      </c>
      <c r="AQ509" s="455" t="str">
        <f ca="1">IFERROR(_xll.CIQHI(MO.Ticker.CapIQ,"IQ_LASTSALEPRICE",INDEX(MO_SNA_FPStartDate,0,COLUMN()),INDEX(MO_Common_QEndDate,0,COLUMN())),"N/A")</f>
        <v>N/A</v>
      </c>
      <c r="AR509" s="455" t="str">
        <f ca="1">IFERROR(_xll.CIQHI(MO.Ticker.CapIQ,"IQ_LASTSALEPRICE",INDEX(MO_SNA_FPStartDate,0,COLUMN()),INDEX(MO_Common_QEndDate,0,COLUMN())),"N/A")</f>
        <v>N/A</v>
      </c>
      <c r="AS509" s="455" t="str">
        <f ca="1">IFERROR(_xll.CIQHI(MO.Ticker.CapIQ,"IQ_LASTSALEPRICE",INDEX(MO_SNA_FPStartDate,0,COLUMN()),INDEX(MO_Common_QEndDate,0,COLUMN())),"N/A")</f>
        <v>N/A</v>
      </c>
      <c r="AT509" s="455" t="str">
        <f ca="1">IFERROR(_xll.CIQHI(MO.Ticker.CapIQ,"IQ_LASTSALEPRICE",INDEX(MO_SNA_FPStartDate,0,COLUMN()),INDEX(MO_Common_QEndDate,0,COLUMN())),"N/A")</f>
        <v>N/A</v>
      </c>
      <c r="AU509" s="455" t="str">
        <f ca="1">IFERROR(_xll.CIQHI(MO.Ticker.CapIQ,"IQ_LASTSALEPRICE",INDEX(MO_SNA_FPStartDate,0,COLUMN()),INDEX(MO_Common_QEndDate,0,COLUMN())),"N/A")</f>
        <v>N/A</v>
      </c>
      <c r="AV509" s="455" t="str">
        <f ca="1">IFERROR(_xll.CIQHI(MO.Ticker.CapIQ,"IQ_LASTSALEPRICE",INDEX(MO_SNA_FPStartDate,0,COLUMN()),INDEX(MO_Common_QEndDate,0,COLUMN())),"N/A")</f>
        <v>N/A</v>
      </c>
      <c r="AW509" s="455" t="str">
        <f ca="1">IFERROR(_xll.CIQHI(MO.Ticker.CapIQ,"IQ_LASTSALEPRICE",INDEX(MO_SNA_FPStartDate,0,COLUMN()),INDEX(MO_Common_QEndDate,0,COLUMN())),"N/A")</f>
        <v>N/A</v>
      </c>
      <c r="AX509" s="455" t="str">
        <f ca="1">IFERROR(_xll.CIQHI(MO.Ticker.CapIQ,"IQ_LASTSALEPRICE",INDEX(MO_SNA_FPStartDate,0,COLUMN()),INDEX(MO_Common_QEndDate,0,COLUMN())),"N/A")</f>
        <v>N/A</v>
      </c>
      <c r="AY509" s="345" t="str">
        <f ca="1">IFERROR(_xll.CIQHI(MO.Ticker.CapIQ,"IQ_LASTSALEPRICE",INDEX(MO_SNA_FPStartDate,0,COLUMN()),INDEX(MO_Common_QEndDate,0,COLUMN())),"N/A")</f>
        <v>N/A</v>
      </c>
      <c r="AZ509" s="345" t="str">
        <f ca="1">IFERROR(_xll.CIQHI(MO.Ticker.CapIQ,"IQ_LASTSALEPRICE",INDEX(MO_SNA_FPStartDate,0,COLUMN()),INDEX(MO_Common_QEndDate,0,COLUMN())),"N/A")</f>
        <v>N/A</v>
      </c>
      <c r="BA509" s="345" t="str">
        <f ca="1">IFERROR(_xll.CIQHI(MO.Ticker.CapIQ,"IQ_LASTSALEPRICE",INDEX(MO_SNA_FPStartDate,0,COLUMN()),INDEX(MO_Common_QEndDate,0,COLUMN())),"N/A")</f>
        <v>N/A</v>
      </c>
      <c r="BB509" s="345" t="str">
        <f ca="1">IFERROR(_xll.CIQHI(MO.Ticker.CapIQ,"IQ_LASTSALEPRICE",INDEX(MO_SNA_FPStartDate,0,COLUMN()),INDEX(MO_Common_QEndDate,0,COLUMN())),"N/A")</f>
        <v>N/A</v>
      </c>
      <c r="BC509" s="346" t="str">
        <f ca="1">IFERROR(_xll.CIQHI(MO.Ticker.CapIQ,"IQ_LASTSALEPRICE",INDEX(MO_SNA_FPStartDate,0,COLUMN()),INDEX(MO_Common_QEndDate,0,COLUMN())),"N/A")</f>
        <v>N/A</v>
      </c>
      <c r="BD509" s="347"/>
    </row>
    <row r="510" spans="1:56" s="348" customFormat="1" hidden="1" outlineLevel="1" x14ac:dyDescent="0.25">
      <c r="A510" s="349" t="s">
        <v>283</v>
      </c>
      <c r="B510" s="345"/>
      <c r="C510" s="455" t="str">
        <f ca="1">IFERROR(_xll.FDS(MO.Ticker.FactSet,"P_PRICE_HIGH"&amp;"("&amp;INDEX(MO_SNA_FPStartDate,0,COLUMN())&amp;","&amp;INDEX(MO_Common_QEndDate,0,COLUMN())&amp;",,,,""PRICE"",""CLOSE"")"),"N/A")</f>
        <v>N/A</v>
      </c>
      <c r="D510" s="455" t="str">
        <f ca="1">IFERROR(_xll.FDS(MO.Ticker.FactSet,"P_PRICE_HIGH"&amp;"("&amp;INDEX(MO_SNA_FPStartDate,0,COLUMN())&amp;","&amp;INDEX(MO_Common_QEndDate,0,COLUMN())&amp;",,,,""PRICE"",""CLOSE"")"),"N/A")</f>
        <v>N/A</v>
      </c>
      <c r="E510" s="455" t="str">
        <f ca="1">IFERROR(_xll.FDS(MO.Ticker.FactSet,"P_PRICE_HIGH"&amp;"("&amp;INDEX(MO_SNA_FPStartDate,0,COLUMN())&amp;","&amp;INDEX(MO_Common_QEndDate,0,COLUMN())&amp;",,,,""PRICE"",""CLOSE"")"),"N/A")</f>
        <v>N/A</v>
      </c>
      <c r="F510" s="455" t="str">
        <f ca="1">IFERROR(_xll.FDS(MO.Ticker.FactSet,"P_PRICE_HIGH"&amp;"("&amp;INDEX(MO_SNA_FPStartDate,0,COLUMN())&amp;","&amp;INDEX(MO_Common_QEndDate,0,COLUMN())&amp;",,,,""PRICE"",""CLOSE"")"),"N/A")</f>
        <v>N/A</v>
      </c>
      <c r="G510" s="455" t="str">
        <f ca="1">IFERROR(_xll.FDS(MO.Ticker.FactSet,"P_PRICE_HIGH"&amp;"("&amp;INDEX(MO_SNA_FPStartDate,0,COLUMN())&amp;","&amp;INDEX(MO_Common_QEndDate,0,COLUMN())&amp;",,,,""PRICE"",""CLOSE"")"),"N/A")</f>
        <v>N/A</v>
      </c>
      <c r="H510" s="455" t="str">
        <f ca="1">IFERROR(_xll.FDS(MO.Ticker.FactSet,"P_PRICE_HIGH"&amp;"("&amp;INDEX(MO_SNA_FPStartDate,0,COLUMN())&amp;","&amp;INDEX(MO_Common_QEndDate,0,COLUMN())&amp;",,,,""PRICE"",""CLOSE"")"),"N/A")</f>
        <v>N/A</v>
      </c>
      <c r="I510" s="455" t="str">
        <f ca="1">IFERROR(_xll.FDS(MO.Ticker.FactSet,"P_PRICE_HIGH"&amp;"("&amp;INDEX(MO_SNA_FPStartDate,0,COLUMN())&amp;","&amp;INDEX(MO_Common_QEndDate,0,COLUMN())&amp;",,,,""PRICE"",""CLOSE"")"),"N/A")</f>
        <v>N/A</v>
      </c>
      <c r="J510" s="455" t="str">
        <f ca="1">IFERROR(_xll.FDS(MO.Ticker.FactSet,"P_PRICE_HIGH"&amp;"("&amp;INDEX(MO_SNA_FPStartDate,0,COLUMN())&amp;","&amp;INDEX(MO_Common_QEndDate,0,COLUMN())&amp;",,,,""PRICE"",""CLOSE"")"),"N/A")</f>
        <v>N/A</v>
      </c>
      <c r="K510" s="455" t="str">
        <f ca="1">IFERROR(_xll.FDS(MO.Ticker.FactSet,"P_PRICE_HIGH"&amp;"("&amp;INDEX(MO_SNA_FPStartDate,0,COLUMN())&amp;","&amp;INDEX(MO_Common_QEndDate,0,COLUMN())&amp;",,,,""PRICE"",""CLOSE"")"),"N/A")</f>
        <v>N/A</v>
      </c>
      <c r="L510" s="455" t="str">
        <f ca="1">IFERROR(_xll.FDS(MO.Ticker.FactSet,"P_PRICE_HIGH"&amp;"("&amp;INDEX(MO_SNA_FPStartDate,0,COLUMN())&amp;","&amp;INDEX(MO_Common_QEndDate,0,COLUMN())&amp;",,,,""PRICE"",""CLOSE"")"),"N/A")</f>
        <v>N/A</v>
      </c>
      <c r="M510" s="455" t="str">
        <f ca="1">IFERROR(_xll.FDS(MO.Ticker.FactSet,"P_PRICE_HIGH"&amp;"("&amp;INDEX(MO_SNA_FPStartDate,0,COLUMN())&amp;","&amp;INDEX(MO_Common_QEndDate,0,COLUMN())&amp;",,,,""PRICE"",""CLOSE"")"),"N/A")</f>
        <v>N/A</v>
      </c>
      <c r="N510" s="455" t="str">
        <f ca="1">IFERROR(_xll.FDS(MO.Ticker.FactSet,"P_PRICE_HIGH"&amp;"("&amp;INDEX(MO_SNA_FPStartDate,0,COLUMN())&amp;","&amp;INDEX(MO_Common_QEndDate,0,COLUMN())&amp;",,,,""PRICE"",""CLOSE"")"),"N/A")</f>
        <v>N/A</v>
      </c>
      <c r="O510" s="455" t="str">
        <f ca="1">IFERROR(_xll.FDS(MO.Ticker.FactSet,"P_PRICE_HIGH"&amp;"("&amp;INDEX(MO_SNA_FPStartDate,0,COLUMN())&amp;","&amp;INDEX(MO_Common_QEndDate,0,COLUMN())&amp;",,,,""PRICE"",""CLOSE"")"),"N/A")</f>
        <v>N/A</v>
      </c>
      <c r="P510" s="455" t="str">
        <f ca="1">IFERROR(_xll.FDS(MO.Ticker.FactSet,"P_PRICE_HIGH"&amp;"("&amp;INDEX(MO_SNA_FPStartDate,0,COLUMN())&amp;","&amp;INDEX(MO_Common_QEndDate,0,COLUMN())&amp;",,,,""PRICE"",""CLOSE"")"),"N/A")</f>
        <v>N/A</v>
      </c>
      <c r="Q510" s="455" t="str">
        <f ca="1">IFERROR(_xll.FDS(MO.Ticker.FactSet,"P_PRICE_HIGH"&amp;"("&amp;INDEX(MO_SNA_FPStartDate,0,COLUMN())&amp;","&amp;INDEX(MO_Common_QEndDate,0,COLUMN())&amp;",,,,""PRICE"",""CLOSE"")"),"N/A")</f>
        <v>N/A</v>
      </c>
      <c r="R510" s="455" t="str">
        <f ca="1">IFERROR(_xll.FDS(MO.Ticker.FactSet,"P_PRICE_HIGH"&amp;"("&amp;INDEX(MO_SNA_FPStartDate,0,COLUMN())&amp;","&amp;INDEX(MO_Common_QEndDate,0,COLUMN())&amp;",,,,""PRICE"",""CLOSE"")"),"N/A")</f>
        <v>N/A</v>
      </c>
      <c r="S510" s="455" t="str">
        <f ca="1">IFERROR(_xll.FDS(MO.Ticker.FactSet,"P_PRICE_HIGH"&amp;"("&amp;INDEX(MO_SNA_FPStartDate,0,COLUMN())&amp;","&amp;INDEX(MO_Common_QEndDate,0,COLUMN())&amp;",,,,""PRICE"",""CLOSE"")"),"N/A")</f>
        <v>N/A</v>
      </c>
      <c r="T510" s="455" t="str">
        <f ca="1">IFERROR(_xll.FDS(MO.Ticker.FactSet,"P_PRICE_HIGH"&amp;"("&amp;INDEX(MO_SNA_FPStartDate,0,COLUMN())&amp;","&amp;INDEX(MO_Common_QEndDate,0,COLUMN())&amp;",,,,""PRICE"",""CLOSE"")"),"N/A")</f>
        <v>N/A</v>
      </c>
      <c r="U510" s="455" t="str">
        <f ca="1">IFERROR(_xll.FDS(MO.Ticker.FactSet,"P_PRICE_HIGH"&amp;"("&amp;INDEX(MO_SNA_FPStartDate,0,COLUMN())&amp;","&amp;INDEX(MO_Common_QEndDate,0,COLUMN())&amp;",,,,""PRICE"",""CLOSE"")"),"N/A")</f>
        <v>N/A</v>
      </c>
      <c r="V510" s="455" t="str">
        <f ca="1">IFERROR(_xll.FDS(MO.Ticker.FactSet,"P_PRICE_HIGH"&amp;"("&amp;INDEX(MO_SNA_FPStartDate,0,COLUMN())&amp;","&amp;INDEX(MO_Common_QEndDate,0,COLUMN())&amp;",,,,""PRICE"",""CLOSE"")"),"N/A")</f>
        <v>N/A</v>
      </c>
      <c r="W510" s="455" t="str">
        <f ca="1">IFERROR(_xll.FDS(MO.Ticker.FactSet,"P_PRICE_HIGH"&amp;"("&amp;INDEX(MO_SNA_FPStartDate,0,COLUMN())&amp;","&amp;INDEX(MO_Common_QEndDate,0,COLUMN())&amp;",,,,""PRICE"",""CLOSE"")"),"N/A")</f>
        <v>N/A</v>
      </c>
      <c r="X510" s="455" t="str">
        <f ca="1">IFERROR(_xll.FDS(MO.Ticker.FactSet,"P_PRICE_HIGH"&amp;"("&amp;INDEX(MO_SNA_FPStartDate,0,COLUMN())&amp;","&amp;INDEX(MO_Common_QEndDate,0,COLUMN())&amp;",,,,""PRICE"",""CLOSE"")"),"N/A")</f>
        <v>N/A</v>
      </c>
      <c r="Y510" s="455" t="str">
        <f ca="1">IFERROR(_xll.FDS(MO.Ticker.FactSet,"P_PRICE_HIGH"&amp;"("&amp;INDEX(MO_SNA_FPStartDate,0,COLUMN())&amp;","&amp;INDEX(MO_Common_QEndDate,0,COLUMN())&amp;",,,,""PRICE"",""CLOSE"")"),"N/A")</f>
        <v>N/A</v>
      </c>
      <c r="Z510" s="455" t="str">
        <f ca="1">IFERROR(_xll.FDS(MO.Ticker.FactSet,"P_PRICE_HIGH"&amp;"("&amp;INDEX(MO_SNA_FPStartDate,0,COLUMN())&amp;","&amp;INDEX(MO_Common_QEndDate,0,COLUMN())&amp;",,,,""PRICE"",""CLOSE"")"),"N/A")</f>
        <v>N/A</v>
      </c>
      <c r="AA510" s="455" t="str">
        <f ca="1">IFERROR(_xll.FDS(MO.Ticker.FactSet,"P_PRICE_HIGH"&amp;"("&amp;INDEX(MO_SNA_FPStartDate,0,COLUMN())&amp;","&amp;INDEX(MO_Common_QEndDate,0,COLUMN())&amp;",,,,""PRICE"",""CLOSE"")"),"N/A")</f>
        <v>N/A</v>
      </c>
      <c r="AB510" s="455" t="str">
        <f ca="1">IFERROR(_xll.FDS(MO.Ticker.FactSet,"P_PRICE_HIGH"&amp;"("&amp;INDEX(MO_SNA_FPStartDate,0,COLUMN())&amp;","&amp;INDEX(MO_Common_QEndDate,0,COLUMN())&amp;",,,,""PRICE"",""CLOSE"")"),"N/A")</f>
        <v>N/A</v>
      </c>
      <c r="AC510" s="455" t="str">
        <f ca="1">IFERROR(_xll.FDS(MO.Ticker.FactSet,"P_PRICE_HIGH"&amp;"("&amp;INDEX(MO_SNA_FPStartDate,0,COLUMN())&amp;","&amp;INDEX(MO_Common_QEndDate,0,COLUMN())&amp;",,,,""PRICE"",""CLOSE"")"),"N/A")</f>
        <v>N/A</v>
      </c>
      <c r="AD510" s="455" t="str">
        <f ca="1">IFERROR(_xll.FDS(MO.Ticker.FactSet,"P_PRICE_HIGH"&amp;"("&amp;INDEX(MO_SNA_FPStartDate,0,COLUMN())&amp;","&amp;INDEX(MO_Common_QEndDate,0,COLUMN())&amp;",,,,""PRICE"",""CLOSE"")"),"N/A")</f>
        <v>N/A</v>
      </c>
      <c r="AE510" s="455" t="str">
        <f ca="1">IFERROR(_xll.FDS(MO.Ticker.FactSet,"P_PRICE_HIGH"&amp;"("&amp;INDEX(MO_SNA_FPStartDate,0,COLUMN())&amp;","&amp;INDEX(MO_Common_QEndDate,0,COLUMN())&amp;",,,,""PRICE"",""CLOSE"")"),"N/A")</f>
        <v>N/A</v>
      </c>
      <c r="AF510" s="455" t="str">
        <f ca="1">IFERROR(_xll.FDS(MO.Ticker.FactSet,"P_PRICE_HIGH"&amp;"("&amp;INDEX(MO_SNA_FPStartDate,0,COLUMN())&amp;","&amp;INDEX(MO_Common_QEndDate,0,COLUMN())&amp;",,,,""PRICE"",""CLOSE"")"),"N/A")</f>
        <v>N/A</v>
      </c>
      <c r="AG510" s="345" t="str">
        <f ca="1">IFERROR(_xll.FDS(MO.Ticker.FactSet,"P_PRICE_HIGH"&amp;"("&amp;INDEX(MO_SNA_FPStartDate,0,COLUMN())&amp;","&amp;INDEX(MO_Common_QEndDate,0,COLUMN())&amp;",,,,""PRICE"",""CLOSE"")"),"N/A")</f>
        <v>N/A</v>
      </c>
      <c r="AH510" s="345" t="str">
        <f ca="1">IFERROR(_xll.FDS(MO.Ticker.FactSet,"P_PRICE_HIGH"&amp;"("&amp;INDEX(MO_SNA_FPStartDate,0,COLUMN())&amp;","&amp;INDEX(MO_Common_QEndDate,0,COLUMN())&amp;",,,,""PRICE"",""CLOSE"")"),"N/A")</f>
        <v>N/A</v>
      </c>
      <c r="AI510" s="345" t="str">
        <f ca="1">IFERROR(_xll.FDS(MO.Ticker.FactSet,"P_PRICE_HIGH"&amp;"("&amp;INDEX(MO_SNA_FPStartDate,0,COLUMN())&amp;","&amp;INDEX(MO_Common_QEndDate,0,COLUMN())&amp;",,,,""PRICE"",""CLOSE"")"),"N/A")</f>
        <v>N/A</v>
      </c>
      <c r="AJ510" s="345" t="str">
        <f ca="1">IFERROR(_xll.FDS(MO.Ticker.FactSet,"P_PRICE_HIGH"&amp;"("&amp;INDEX(MO_SNA_FPStartDate,0,COLUMN())&amp;","&amp;INDEX(MO_Common_QEndDate,0,COLUMN())&amp;",,,,""PRICE"",""CLOSE"")"),"N/A")</f>
        <v>N/A</v>
      </c>
      <c r="AK510" s="345" t="str">
        <f ca="1">IFERROR(_xll.FDS(MO.Ticker.FactSet,"P_PRICE_HIGH"&amp;"("&amp;INDEX(MO_SNA_FPStartDate,0,COLUMN())&amp;","&amp;INDEX(MO_Common_QEndDate,0,COLUMN())&amp;",,,,""PRICE"",""CLOSE"")"),"N/A")</f>
        <v>N/A</v>
      </c>
      <c r="AL510" s="345" t="str">
        <f ca="1">IFERROR(_xll.FDS(MO.Ticker.FactSet,"P_PRICE_HIGH"&amp;"("&amp;INDEX(MO_SNA_FPStartDate,0,COLUMN())&amp;","&amp;INDEX(MO_Common_QEndDate,0,COLUMN())&amp;",,,,""PRICE"",""CLOSE"")"),"N/A")</f>
        <v>N/A</v>
      </c>
      <c r="AM510" s="345"/>
      <c r="AN510" s="455" t="str">
        <f ca="1">IFERROR(_xll.FDS(MO.Ticker.FactSet,"P_PRICE_HIGH"&amp;"("&amp;INDEX(MO_SNA_FPStartDate,0,COLUMN())&amp;","&amp;INDEX(MO_Common_QEndDate,0,COLUMN())&amp;",,,,""PRICE"",""CLOSE"")"),"N/A")</f>
        <v>N/A</v>
      </c>
      <c r="AO510" s="455" t="str">
        <f ca="1">IFERROR(_xll.FDS(MO.Ticker.FactSet,"P_PRICE_HIGH"&amp;"("&amp;INDEX(MO_SNA_FPStartDate,0,COLUMN())&amp;","&amp;INDEX(MO_Common_QEndDate,0,COLUMN())&amp;",,,,""PRICE"",""CLOSE"")"),"N/A")</f>
        <v>N/A</v>
      </c>
      <c r="AP510" s="455" t="str">
        <f ca="1">IFERROR(_xll.FDS(MO.Ticker.FactSet,"P_PRICE_HIGH"&amp;"("&amp;INDEX(MO_SNA_FPStartDate,0,COLUMN())&amp;","&amp;INDEX(MO_Common_QEndDate,0,COLUMN())&amp;",,,,""PRICE"",""CLOSE"")"),"N/A")</f>
        <v>N/A</v>
      </c>
      <c r="AQ510" s="455" t="str">
        <f ca="1">IFERROR(_xll.FDS(MO.Ticker.FactSet,"P_PRICE_HIGH"&amp;"("&amp;INDEX(MO_SNA_FPStartDate,0,COLUMN())&amp;","&amp;INDEX(MO_Common_QEndDate,0,COLUMN())&amp;",,,,""PRICE"",""CLOSE"")"),"N/A")</f>
        <v>N/A</v>
      </c>
      <c r="AR510" s="455" t="str">
        <f ca="1">IFERROR(_xll.FDS(MO.Ticker.FactSet,"P_PRICE_HIGH"&amp;"("&amp;INDEX(MO_SNA_FPStartDate,0,COLUMN())&amp;","&amp;INDEX(MO_Common_QEndDate,0,COLUMN())&amp;",,,,""PRICE"",""CLOSE"")"),"N/A")</f>
        <v>N/A</v>
      </c>
      <c r="AS510" s="455" t="str">
        <f ca="1">IFERROR(_xll.FDS(MO.Ticker.FactSet,"P_PRICE_HIGH"&amp;"("&amp;INDEX(MO_SNA_FPStartDate,0,COLUMN())&amp;","&amp;INDEX(MO_Common_QEndDate,0,COLUMN())&amp;",,,,""PRICE"",""CLOSE"")"),"N/A")</f>
        <v>N/A</v>
      </c>
      <c r="AT510" s="455" t="str">
        <f ca="1">IFERROR(_xll.FDS(MO.Ticker.FactSet,"P_PRICE_HIGH"&amp;"("&amp;INDEX(MO_SNA_FPStartDate,0,COLUMN())&amp;","&amp;INDEX(MO_Common_QEndDate,0,COLUMN())&amp;",,,,""PRICE"",""CLOSE"")"),"N/A")</f>
        <v>N/A</v>
      </c>
      <c r="AU510" s="455" t="str">
        <f ca="1">IFERROR(_xll.FDS(MO.Ticker.FactSet,"P_PRICE_HIGH"&amp;"("&amp;INDEX(MO_SNA_FPStartDate,0,COLUMN())&amp;","&amp;INDEX(MO_Common_QEndDate,0,COLUMN())&amp;",,,,""PRICE"",""CLOSE"")"),"N/A")</f>
        <v>N/A</v>
      </c>
      <c r="AV510" s="455" t="str">
        <f ca="1">IFERROR(_xll.FDS(MO.Ticker.FactSet,"P_PRICE_HIGH"&amp;"("&amp;INDEX(MO_SNA_FPStartDate,0,COLUMN())&amp;","&amp;INDEX(MO_Common_QEndDate,0,COLUMN())&amp;",,,,""PRICE"",""CLOSE"")"),"N/A")</f>
        <v>N/A</v>
      </c>
      <c r="AW510" s="455" t="str">
        <f ca="1">IFERROR(_xll.FDS(MO.Ticker.FactSet,"P_PRICE_HIGH"&amp;"("&amp;INDEX(MO_SNA_FPStartDate,0,COLUMN())&amp;","&amp;INDEX(MO_Common_QEndDate,0,COLUMN())&amp;",,,,""PRICE"",""CLOSE"")"),"N/A")</f>
        <v>N/A</v>
      </c>
      <c r="AX510" s="455" t="str">
        <f ca="1">IFERROR(_xll.FDS(MO.Ticker.FactSet,"P_PRICE_HIGH"&amp;"("&amp;INDEX(MO_SNA_FPStartDate,0,COLUMN())&amp;","&amp;INDEX(MO_Common_QEndDate,0,COLUMN())&amp;",,,,""PRICE"",""CLOSE"")"),"N/A")</f>
        <v>N/A</v>
      </c>
      <c r="AY510" s="345" t="str">
        <f ca="1">IFERROR(_xll.FDS(MO.Ticker.FactSet,"P_PRICE_HIGH"&amp;"("&amp;INDEX(MO_SNA_FPStartDate,0,COLUMN())&amp;","&amp;INDEX(MO_Common_QEndDate,0,COLUMN())&amp;",,,,""PRICE"",""CLOSE"")"),"N/A")</f>
        <v>N/A</v>
      </c>
      <c r="AZ510" s="345" t="str">
        <f ca="1">IFERROR(_xll.FDS(MO.Ticker.FactSet,"P_PRICE_HIGH"&amp;"("&amp;INDEX(MO_SNA_FPStartDate,0,COLUMN())&amp;","&amp;INDEX(MO_Common_QEndDate,0,COLUMN())&amp;",,,,""PRICE"",""CLOSE"")"),"N/A")</f>
        <v>N/A</v>
      </c>
      <c r="BA510" s="345" t="str">
        <f ca="1">IFERROR(_xll.FDS(MO.Ticker.FactSet,"P_PRICE_HIGH"&amp;"("&amp;INDEX(MO_SNA_FPStartDate,0,COLUMN())&amp;","&amp;INDEX(MO_Common_QEndDate,0,COLUMN())&amp;",,,,""PRICE"",""CLOSE"")"),"N/A")</f>
        <v>N/A</v>
      </c>
      <c r="BB510" s="345" t="str">
        <f ca="1">IFERROR(_xll.FDS(MO.Ticker.FactSet,"P_PRICE_HIGH"&amp;"("&amp;INDEX(MO_SNA_FPStartDate,0,COLUMN())&amp;","&amp;INDEX(MO_Common_QEndDate,0,COLUMN())&amp;",,,,""PRICE"",""CLOSE"")"),"N/A")</f>
        <v>N/A</v>
      </c>
      <c r="BC510" s="346" t="str">
        <f ca="1">IFERROR(_xll.FDS(MO.Ticker.FactSet,"P_PRICE_HIGH"&amp;"("&amp;INDEX(MO_SNA_FPStartDate,0,COLUMN())&amp;","&amp;INDEX(MO_Common_QEndDate,0,COLUMN())&amp;",,,,""PRICE"",""CLOSE"")"),"N/A")</f>
        <v>N/A</v>
      </c>
      <c r="BD510" s="347"/>
    </row>
    <row r="511" spans="1:56" s="348" customFormat="1" hidden="1" outlineLevel="1" x14ac:dyDescent="0.25">
      <c r="A511" s="349" t="s">
        <v>284</v>
      </c>
      <c r="B511" s="345"/>
      <c r="C511" s="455" t="str">
        <f ca="1">IFERROR(_xll.TR(MO.Ticker.Thomson,"MAX(TR.Pricehigh)","sdate:#1 edate:#2",,INDEX(MO_SNA_FPStartDate,0,COLUMN()),INDEX(MO_Common_QEndDate,0,COLUMN())),"N/A")</f>
        <v>N/A</v>
      </c>
      <c r="D511" s="455" t="str">
        <f ca="1">IFERROR(_xll.TR(MO.Ticker.Thomson,"MAX(TR.Pricehigh)","sdate:#1 edate:#2",,INDEX(MO_SNA_FPStartDate,0,COLUMN()),INDEX(MO_Common_QEndDate,0,COLUMN())),"N/A")</f>
        <v>N/A</v>
      </c>
      <c r="E511" s="455" t="str">
        <f ca="1">IFERROR(_xll.TR(MO.Ticker.Thomson,"MAX(TR.Pricehigh)","sdate:#1 edate:#2",,INDEX(MO_SNA_FPStartDate,0,COLUMN()),INDEX(MO_Common_QEndDate,0,COLUMN())),"N/A")</f>
        <v>N/A</v>
      </c>
      <c r="F511" s="455" t="str">
        <f ca="1">IFERROR(_xll.TR(MO.Ticker.Thomson,"MAX(TR.Pricehigh)","sdate:#1 edate:#2",,INDEX(MO_SNA_FPStartDate,0,COLUMN()),INDEX(MO_Common_QEndDate,0,COLUMN())),"N/A")</f>
        <v>N/A</v>
      </c>
      <c r="G511" s="455" t="str">
        <f ca="1">IFERROR(_xll.TR(MO.Ticker.Thomson,"MAX(TR.Pricehigh)","sdate:#1 edate:#2",,INDEX(MO_SNA_FPStartDate,0,COLUMN()),INDEX(MO_Common_QEndDate,0,COLUMN())),"N/A")</f>
        <v>N/A</v>
      </c>
      <c r="H511" s="455" t="str">
        <f ca="1">IFERROR(_xll.TR(MO.Ticker.Thomson,"MAX(TR.Pricehigh)","sdate:#1 edate:#2",,INDEX(MO_SNA_FPStartDate,0,COLUMN()),INDEX(MO_Common_QEndDate,0,COLUMN())),"N/A")</f>
        <v>N/A</v>
      </c>
      <c r="I511" s="455" t="str">
        <f ca="1">IFERROR(_xll.TR(MO.Ticker.Thomson,"MAX(TR.Pricehigh)","sdate:#1 edate:#2",,INDEX(MO_SNA_FPStartDate,0,COLUMN()),INDEX(MO_Common_QEndDate,0,COLUMN())),"N/A")</f>
        <v>N/A</v>
      </c>
      <c r="J511" s="455" t="str">
        <f ca="1">IFERROR(_xll.TR(MO.Ticker.Thomson,"MAX(TR.Pricehigh)","sdate:#1 edate:#2",,INDEX(MO_SNA_FPStartDate,0,COLUMN()),INDEX(MO_Common_QEndDate,0,COLUMN())),"N/A")</f>
        <v>N/A</v>
      </c>
      <c r="K511" s="455" t="str">
        <f ca="1">IFERROR(_xll.TR(MO.Ticker.Thomson,"MAX(TR.Pricehigh)","sdate:#1 edate:#2",,INDEX(MO_SNA_FPStartDate,0,COLUMN()),INDEX(MO_Common_QEndDate,0,COLUMN())),"N/A")</f>
        <v>N/A</v>
      </c>
      <c r="L511" s="455" t="str">
        <f ca="1">IFERROR(_xll.TR(MO.Ticker.Thomson,"MAX(TR.Pricehigh)","sdate:#1 edate:#2",,INDEX(MO_SNA_FPStartDate,0,COLUMN()),INDEX(MO_Common_QEndDate,0,COLUMN())),"N/A")</f>
        <v>N/A</v>
      </c>
      <c r="M511" s="455" t="str">
        <f ca="1">IFERROR(_xll.TR(MO.Ticker.Thomson,"MAX(TR.Pricehigh)","sdate:#1 edate:#2",,INDEX(MO_SNA_FPStartDate,0,COLUMN()),INDEX(MO_Common_QEndDate,0,COLUMN())),"N/A")</f>
        <v>N/A</v>
      </c>
      <c r="N511" s="455" t="str">
        <f ca="1">IFERROR(_xll.TR(MO.Ticker.Thomson,"MAX(TR.Pricehigh)","sdate:#1 edate:#2",,INDEX(MO_SNA_FPStartDate,0,COLUMN()),INDEX(MO_Common_QEndDate,0,COLUMN())),"N/A")</f>
        <v>N/A</v>
      </c>
      <c r="O511" s="455" t="str">
        <f ca="1">IFERROR(_xll.TR(MO.Ticker.Thomson,"MAX(TR.Pricehigh)","sdate:#1 edate:#2",,INDEX(MO_SNA_FPStartDate,0,COLUMN()),INDEX(MO_Common_QEndDate,0,COLUMN())),"N/A")</f>
        <v>N/A</v>
      </c>
      <c r="P511" s="455" t="str">
        <f ca="1">IFERROR(_xll.TR(MO.Ticker.Thomson,"MAX(TR.Pricehigh)","sdate:#1 edate:#2",,INDEX(MO_SNA_FPStartDate,0,COLUMN()),INDEX(MO_Common_QEndDate,0,COLUMN())),"N/A")</f>
        <v>N/A</v>
      </c>
      <c r="Q511" s="455" t="str">
        <f ca="1">IFERROR(_xll.TR(MO.Ticker.Thomson,"MAX(TR.Pricehigh)","sdate:#1 edate:#2",,INDEX(MO_SNA_FPStartDate,0,COLUMN()),INDEX(MO_Common_QEndDate,0,COLUMN())),"N/A")</f>
        <v>N/A</v>
      </c>
      <c r="R511" s="455" t="str">
        <f ca="1">IFERROR(_xll.TR(MO.Ticker.Thomson,"MAX(TR.Pricehigh)","sdate:#1 edate:#2",,INDEX(MO_SNA_FPStartDate,0,COLUMN()),INDEX(MO_Common_QEndDate,0,COLUMN())),"N/A")</f>
        <v>N/A</v>
      </c>
      <c r="S511" s="455" t="str">
        <f ca="1">IFERROR(_xll.TR(MO.Ticker.Thomson,"MAX(TR.Pricehigh)","sdate:#1 edate:#2",,INDEX(MO_SNA_FPStartDate,0,COLUMN()),INDEX(MO_Common_QEndDate,0,COLUMN())),"N/A")</f>
        <v>N/A</v>
      </c>
      <c r="T511" s="455" t="str">
        <f ca="1">IFERROR(_xll.TR(MO.Ticker.Thomson,"MAX(TR.Pricehigh)","sdate:#1 edate:#2",,INDEX(MO_SNA_FPStartDate,0,COLUMN()),INDEX(MO_Common_QEndDate,0,COLUMN())),"N/A")</f>
        <v>N/A</v>
      </c>
      <c r="U511" s="455" t="str">
        <f ca="1">IFERROR(_xll.TR(MO.Ticker.Thomson,"MAX(TR.Pricehigh)","sdate:#1 edate:#2",,INDEX(MO_SNA_FPStartDate,0,COLUMN()),INDEX(MO_Common_QEndDate,0,COLUMN())),"N/A")</f>
        <v>N/A</v>
      </c>
      <c r="V511" s="455" t="str">
        <f ca="1">IFERROR(_xll.TR(MO.Ticker.Thomson,"MAX(TR.Pricehigh)","sdate:#1 edate:#2",,INDEX(MO_SNA_FPStartDate,0,COLUMN()),INDEX(MO_Common_QEndDate,0,COLUMN())),"N/A")</f>
        <v>N/A</v>
      </c>
      <c r="W511" s="455" t="str">
        <f ca="1">IFERROR(_xll.TR(MO.Ticker.Thomson,"MAX(TR.Pricehigh)","sdate:#1 edate:#2",,INDEX(MO_SNA_FPStartDate,0,COLUMN()),INDEX(MO_Common_QEndDate,0,COLUMN())),"N/A")</f>
        <v>N/A</v>
      </c>
      <c r="X511" s="455" t="str">
        <f ca="1">IFERROR(_xll.TR(MO.Ticker.Thomson,"MAX(TR.Pricehigh)","sdate:#1 edate:#2",,INDEX(MO_SNA_FPStartDate,0,COLUMN()),INDEX(MO_Common_QEndDate,0,COLUMN())),"N/A")</f>
        <v>N/A</v>
      </c>
      <c r="Y511" s="455" t="str">
        <f ca="1">IFERROR(_xll.TR(MO.Ticker.Thomson,"MAX(TR.Pricehigh)","sdate:#1 edate:#2",,INDEX(MO_SNA_FPStartDate,0,COLUMN()),INDEX(MO_Common_QEndDate,0,COLUMN())),"N/A")</f>
        <v>N/A</v>
      </c>
      <c r="Z511" s="455" t="str">
        <f ca="1">IFERROR(_xll.TR(MO.Ticker.Thomson,"MAX(TR.Pricehigh)","sdate:#1 edate:#2",,INDEX(MO_SNA_FPStartDate,0,COLUMN()),INDEX(MO_Common_QEndDate,0,COLUMN())),"N/A")</f>
        <v>N/A</v>
      </c>
      <c r="AA511" s="455" t="str">
        <f ca="1">IFERROR(_xll.TR(MO.Ticker.Thomson,"MAX(TR.Pricehigh)","sdate:#1 edate:#2",,INDEX(MO_SNA_FPStartDate,0,COLUMN()),INDEX(MO_Common_QEndDate,0,COLUMN())),"N/A")</f>
        <v>N/A</v>
      </c>
      <c r="AB511" s="455" t="str">
        <f ca="1">IFERROR(_xll.TR(MO.Ticker.Thomson,"MAX(TR.Pricehigh)","sdate:#1 edate:#2",,INDEX(MO_SNA_FPStartDate,0,COLUMN()),INDEX(MO_Common_QEndDate,0,COLUMN())),"N/A")</f>
        <v>N/A</v>
      </c>
      <c r="AC511" s="455" t="str">
        <f ca="1">IFERROR(_xll.TR(MO.Ticker.Thomson,"MAX(TR.Pricehigh)","sdate:#1 edate:#2",,INDEX(MO_SNA_FPStartDate,0,COLUMN()),INDEX(MO_Common_QEndDate,0,COLUMN())),"N/A")</f>
        <v>N/A</v>
      </c>
      <c r="AD511" s="455" t="str">
        <f ca="1">IFERROR(_xll.TR(MO.Ticker.Thomson,"MAX(TR.Pricehigh)","sdate:#1 edate:#2",,INDEX(MO_SNA_FPStartDate,0,COLUMN()),INDEX(MO_Common_QEndDate,0,COLUMN())),"N/A")</f>
        <v>N/A</v>
      </c>
      <c r="AE511" s="455" t="str">
        <f ca="1">IFERROR(_xll.TR(MO.Ticker.Thomson,"MAX(TR.Pricehigh)","sdate:#1 edate:#2",,INDEX(MO_SNA_FPStartDate,0,COLUMN()),INDEX(MO_Common_QEndDate,0,COLUMN())),"N/A")</f>
        <v>N/A</v>
      </c>
      <c r="AF511" s="455" t="str">
        <f ca="1">IFERROR(_xll.TR(MO.Ticker.Thomson,"MAX(TR.Pricehigh)","sdate:#1 edate:#2",,INDEX(MO_SNA_FPStartDate,0,COLUMN()),INDEX(MO_Common_QEndDate,0,COLUMN())),"N/A")</f>
        <v>N/A</v>
      </c>
      <c r="AG511" s="345" t="str">
        <f ca="1">IFERROR(_xll.TR(MO.Ticker.Thomson,"MAX(TR.Pricehigh)","sdate:#1 edate:#2",,INDEX(MO_SNA_FPStartDate,0,COLUMN()),INDEX(MO_Common_QEndDate,0,COLUMN())),"N/A")</f>
        <v>N/A</v>
      </c>
      <c r="AH511" s="345" t="str">
        <f ca="1">IFERROR(_xll.TR(MO.Ticker.Thomson,"MAX(TR.Pricehigh)","sdate:#1 edate:#2",,INDEX(MO_SNA_FPStartDate,0,COLUMN()),INDEX(MO_Common_QEndDate,0,COLUMN())),"N/A")</f>
        <v>N/A</v>
      </c>
      <c r="AI511" s="345" t="str">
        <f ca="1">IFERROR(_xll.TR(MO.Ticker.Thomson,"MAX(TR.Pricehigh)","sdate:#1 edate:#2",,INDEX(MO_SNA_FPStartDate,0,COLUMN()),INDEX(MO_Common_QEndDate,0,COLUMN())),"N/A")</f>
        <v>N/A</v>
      </c>
      <c r="AJ511" s="345" t="str">
        <f ca="1">IFERROR(_xll.TR(MO.Ticker.Thomson,"MAX(TR.Pricehigh)","sdate:#1 edate:#2",,INDEX(MO_SNA_FPStartDate,0,COLUMN()),INDEX(MO_Common_QEndDate,0,COLUMN())),"N/A")</f>
        <v>N/A</v>
      </c>
      <c r="AK511" s="345" t="str">
        <f ca="1">IFERROR(_xll.TR(MO.Ticker.Thomson,"MAX(TR.Pricehigh)","sdate:#1 edate:#2",,INDEX(MO_SNA_FPStartDate,0,COLUMN()),INDEX(MO_Common_QEndDate,0,COLUMN())),"N/A")</f>
        <v>N/A</v>
      </c>
      <c r="AL511" s="345" t="str">
        <f ca="1">IFERROR(_xll.TR(MO.Ticker.Thomson,"MAX(TR.Pricehigh)","sdate:#1 edate:#2",,INDEX(MO_SNA_FPStartDate,0,COLUMN()),INDEX(MO_Common_QEndDate,0,COLUMN())),"N/A")</f>
        <v>N/A</v>
      </c>
      <c r="AM511" s="345"/>
      <c r="AN511" s="455" t="str">
        <f ca="1">IFERROR(_xll.TR(MO.Ticker.Thomson,"MAX(TR.Pricehigh)","sdate:#1 edate:#2",,INDEX(MO_SNA_FPStartDate,0,COLUMN()),INDEX(MO_Common_QEndDate,0,COLUMN())),"N/A")</f>
        <v>N/A</v>
      </c>
      <c r="AO511" s="455" t="str">
        <f ca="1">IFERROR(_xll.TR(MO.Ticker.Thomson,"MAX(TR.Pricehigh)","sdate:#1 edate:#2",,INDEX(MO_SNA_FPStartDate,0,COLUMN()),INDEX(MO_Common_QEndDate,0,COLUMN())),"N/A")</f>
        <v>N/A</v>
      </c>
      <c r="AP511" s="455" t="str">
        <f ca="1">IFERROR(_xll.TR(MO.Ticker.Thomson,"MAX(TR.Pricehigh)","sdate:#1 edate:#2",,INDEX(MO_SNA_FPStartDate,0,COLUMN()),INDEX(MO_Common_QEndDate,0,COLUMN())),"N/A")</f>
        <v>N/A</v>
      </c>
      <c r="AQ511" s="455" t="str">
        <f ca="1">IFERROR(_xll.TR(MO.Ticker.Thomson,"MAX(TR.Pricehigh)","sdate:#1 edate:#2",,INDEX(MO_SNA_FPStartDate,0,COLUMN()),INDEX(MO_Common_QEndDate,0,COLUMN())),"N/A")</f>
        <v>N/A</v>
      </c>
      <c r="AR511" s="455" t="str">
        <f ca="1">IFERROR(_xll.TR(MO.Ticker.Thomson,"MAX(TR.Pricehigh)","sdate:#1 edate:#2",,INDEX(MO_SNA_FPStartDate,0,COLUMN()),INDEX(MO_Common_QEndDate,0,COLUMN())),"N/A")</f>
        <v>N/A</v>
      </c>
      <c r="AS511" s="455" t="str">
        <f ca="1">IFERROR(_xll.TR(MO.Ticker.Thomson,"MAX(TR.Pricehigh)","sdate:#1 edate:#2",,INDEX(MO_SNA_FPStartDate,0,COLUMN()),INDEX(MO_Common_QEndDate,0,COLUMN())),"N/A")</f>
        <v>N/A</v>
      </c>
      <c r="AT511" s="455" t="str">
        <f ca="1">IFERROR(_xll.TR(MO.Ticker.Thomson,"MAX(TR.Pricehigh)","sdate:#1 edate:#2",,INDEX(MO_SNA_FPStartDate,0,COLUMN()),INDEX(MO_Common_QEndDate,0,COLUMN())),"N/A")</f>
        <v>N/A</v>
      </c>
      <c r="AU511" s="455" t="str">
        <f ca="1">IFERROR(_xll.TR(MO.Ticker.Thomson,"MAX(TR.Pricehigh)","sdate:#1 edate:#2",,INDEX(MO_SNA_FPStartDate,0,COLUMN()),INDEX(MO_Common_QEndDate,0,COLUMN())),"N/A")</f>
        <v>N/A</v>
      </c>
      <c r="AV511" s="455" t="str">
        <f ca="1">IFERROR(_xll.TR(MO.Ticker.Thomson,"MAX(TR.Pricehigh)","sdate:#1 edate:#2",,INDEX(MO_SNA_FPStartDate,0,COLUMN()),INDEX(MO_Common_QEndDate,0,COLUMN())),"N/A")</f>
        <v>N/A</v>
      </c>
      <c r="AW511" s="455" t="str">
        <f ca="1">IFERROR(_xll.TR(MO.Ticker.Thomson,"MAX(TR.Pricehigh)","sdate:#1 edate:#2",,INDEX(MO_SNA_FPStartDate,0,COLUMN()),INDEX(MO_Common_QEndDate,0,COLUMN())),"N/A")</f>
        <v>N/A</v>
      </c>
      <c r="AX511" s="455" t="str">
        <f ca="1">IFERROR(_xll.TR(MO.Ticker.Thomson,"MAX(TR.Pricehigh)","sdate:#1 edate:#2",,INDEX(MO_SNA_FPStartDate,0,COLUMN()),INDEX(MO_Common_QEndDate,0,COLUMN())),"N/A")</f>
        <v>N/A</v>
      </c>
      <c r="AY511" s="345" t="str">
        <f ca="1">IFERROR(_xll.TR(MO.Ticker.Thomson,"MAX(TR.Pricehigh)","sdate:#1 edate:#2",,INDEX(MO_SNA_FPStartDate,0,COLUMN()),INDEX(MO_Common_QEndDate,0,COLUMN())),"N/A")</f>
        <v>N/A</v>
      </c>
      <c r="AZ511" s="345" t="str">
        <f ca="1">IFERROR(_xll.TR(MO.Ticker.Thomson,"MAX(TR.Pricehigh)","sdate:#1 edate:#2",,INDEX(MO_SNA_FPStartDate,0,COLUMN()),INDEX(MO_Common_QEndDate,0,COLUMN())),"N/A")</f>
        <v>N/A</v>
      </c>
      <c r="BA511" s="345" t="str">
        <f ca="1">IFERROR(_xll.TR(MO.Ticker.Thomson,"MAX(TR.Pricehigh)","sdate:#1 edate:#2",,INDEX(MO_SNA_FPStartDate,0,COLUMN()),INDEX(MO_Common_QEndDate,0,COLUMN())),"N/A")</f>
        <v>N/A</v>
      </c>
      <c r="BB511" s="345" t="str">
        <f ca="1">IFERROR(_xll.TR(MO.Ticker.Thomson,"MAX(TR.Pricehigh)","sdate:#1 edate:#2",,INDEX(MO_SNA_FPStartDate,0,COLUMN()),INDEX(MO_Common_QEndDate,0,COLUMN())),"N/A")</f>
        <v>N/A</v>
      </c>
      <c r="BC511" s="346" t="str">
        <f ca="1">IFERROR(_xll.TR(MO.Ticker.Thomson,"MAX(TR.Pricehigh)","sdate:#1 edate:#2",,INDEX(MO_SNA_FPStartDate,0,COLUMN()),INDEX(MO_Common_QEndDate,0,COLUMN())),"N/A")</f>
        <v>N/A</v>
      </c>
      <c r="BD511" s="347"/>
    </row>
    <row r="512" spans="1:56" hidden="1" outlineLevel="1" x14ac:dyDescent="0.25">
      <c r="A512" s="336"/>
      <c r="B512" s="335"/>
      <c r="C512" s="453"/>
      <c r="D512" s="453"/>
      <c r="E512" s="453"/>
      <c r="F512" s="453"/>
      <c r="G512" s="453"/>
      <c r="H512" s="453"/>
      <c r="I512" s="453"/>
      <c r="J512" s="453"/>
      <c r="K512" s="453"/>
      <c r="L512" s="453"/>
      <c r="M512" s="453"/>
      <c r="N512" s="453"/>
      <c r="O512" s="453"/>
      <c r="P512" s="453"/>
      <c r="Q512" s="453"/>
      <c r="R512" s="453"/>
      <c r="S512" s="453"/>
      <c r="T512" s="453"/>
      <c r="U512" s="453"/>
      <c r="V512" s="453"/>
      <c r="W512" s="453"/>
      <c r="X512" s="453"/>
      <c r="Y512" s="453"/>
      <c r="Z512" s="453"/>
      <c r="AA512" s="453"/>
      <c r="AB512" s="453"/>
      <c r="AC512" s="453"/>
      <c r="AD512" s="453"/>
      <c r="AE512" s="453"/>
      <c r="AF512" s="453"/>
      <c r="AG512" s="335"/>
      <c r="AH512" s="335"/>
      <c r="AI512" s="335"/>
      <c r="AJ512" s="335"/>
      <c r="AK512" s="335"/>
      <c r="AL512" s="335"/>
      <c r="AM512" s="335"/>
      <c r="AN512" s="453"/>
      <c r="AO512" s="453"/>
      <c r="AP512" s="453"/>
      <c r="AQ512" s="453"/>
      <c r="AR512" s="453"/>
      <c r="AS512" s="453"/>
      <c r="AT512" s="453"/>
      <c r="AU512" s="453"/>
      <c r="AV512" s="453"/>
      <c r="AW512" s="453"/>
      <c r="AX512" s="453"/>
      <c r="AY512" s="335"/>
      <c r="AZ512" s="335"/>
      <c r="BA512" s="335"/>
      <c r="BB512" s="335"/>
      <c r="BC512" s="337"/>
      <c r="BD512" s="285"/>
    </row>
    <row r="513" spans="1:56" s="348" customFormat="1" collapsed="1" x14ac:dyDescent="0.25">
      <c r="A513" s="344" t="str">
        <f ca="1">"Stock Low: "&amp;IF(OR(MO.RealTimeStockPriceToggle=FALSE,VLOOKUP(MO.DataSourceName,MO_SPT_StockLow_Sources,COLUMN()+2,FALSE)="N/A"),"Real-Time Off Source",MO.DataSourceName)</f>
        <v>Stock Low: Real-Time Off Source</v>
      </c>
      <c r="B513" s="345"/>
      <c r="C513" s="455">
        <f t="shared" ref="C513:AL513" ca="1" si="490">IF(OR(MO.RealTimeStockPriceToggle=FALSE,VLOOKUP(MO.DataSourceName,MO_SPT_StockLow_Sources,COLUMN(),FALSE)="N/A"),VLOOKUP("Real-Time Off Source",MO_SPT_StockLow_Sources,COLUMN(),FALSE),VLOOKUP(MO.DataSourceName,MO_SPT_StockLow_Sources,COLUMN(),FALSE))</f>
        <v>19.87</v>
      </c>
      <c r="D513" s="455">
        <f t="shared" ca="1" si="490"/>
        <v>20.28</v>
      </c>
      <c r="E513" s="455">
        <f t="shared" ca="1" si="490"/>
        <v>23.09</v>
      </c>
      <c r="F513" s="455">
        <f t="shared" ca="1" si="490"/>
        <v>24.88</v>
      </c>
      <c r="G513" s="455">
        <f t="shared" ca="1" si="490"/>
        <v>25.26</v>
      </c>
      <c r="H513" s="455">
        <f t="shared" ca="1" si="490"/>
        <v>23.14</v>
      </c>
      <c r="I513" s="455">
        <f t="shared" ca="1" si="490"/>
        <v>23.06</v>
      </c>
      <c r="J513" s="455">
        <f t="shared" ca="1" si="490"/>
        <v>27.4</v>
      </c>
      <c r="K513" s="455">
        <f t="shared" ca="1" si="490"/>
        <v>21.01</v>
      </c>
      <c r="L513" s="455">
        <f t="shared" ca="1" si="490"/>
        <v>29.73</v>
      </c>
      <c r="M513" s="455">
        <f t="shared" ca="1" si="490"/>
        <v>22.07</v>
      </c>
      <c r="N513" s="455">
        <f t="shared" ca="1" si="490"/>
        <v>22.57</v>
      </c>
      <c r="O513" s="455">
        <f t="shared" ca="1" si="490"/>
        <v>21.76</v>
      </c>
      <c r="P513" s="455">
        <f t="shared" ca="1" si="490"/>
        <v>20.059999999999999</v>
      </c>
      <c r="Q513" s="455">
        <f t="shared" ca="1" si="490"/>
        <v>19.59</v>
      </c>
      <c r="R513" s="455">
        <f t="shared" ca="1" si="490"/>
        <v>23.75</v>
      </c>
      <c r="S513" s="455">
        <f t="shared" ca="1" si="490"/>
        <v>22.7</v>
      </c>
      <c r="T513" s="455">
        <f t="shared" ca="1" si="490"/>
        <v>23</v>
      </c>
      <c r="U513" s="455">
        <f t="shared" ca="1" si="490"/>
        <v>25.95</v>
      </c>
      <c r="V513" s="455">
        <f t="shared" ca="1" si="490"/>
        <v>22.3</v>
      </c>
      <c r="W513" s="455">
        <f t="shared" ca="1" si="490"/>
        <v>20.399999999999999</v>
      </c>
      <c r="X513" s="455">
        <f t="shared" ca="1" si="490"/>
        <v>17.600000000000001</v>
      </c>
      <c r="Y513" s="455">
        <f t="shared" ca="1" si="490"/>
        <v>16.7</v>
      </c>
      <c r="Z513" s="455">
        <f t="shared" ca="1" si="490"/>
        <v>12.09</v>
      </c>
      <c r="AA513" s="455">
        <f t="shared" ca="1" si="490"/>
        <v>12.09</v>
      </c>
      <c r="AB513" s="455">
        <f t="shared" ca="1" si="490"/>
        <v>12.07</v>
      </c>
      <c r="AC513" s="455">
        <f t="shared" ca="1" si="490"/>
        <v>12.52</v>
      </c>
      <c r="AD513" s="455">
        <f t="shared" ca="1" si="490"/>
        <v>11.06</v>
      </c>
      <c r="AE513" s="455">
        <f t="shared" ca="1" si="490"/>
        <v>5.87</v>
      </c>
      <c r="AF513" s="455">
        <f t="shared" ca="1" si="490"/>
        <v>5.43</v>
      </c>
      <c r="AG513" s="345">
        <f t="shared" ca="1" si="490"/>
        <v>0</v>
      </c>
      <c r="AH513" s="345">
        <f t="shared" ca="1" si="490"/>
        <v>0</v>
      </c>
      <c r="AI513" s="345">
        <f t="shared" ca="1" si="490"/>
        <v>0</v>
      </c>
      <c r="AJ513" s="345">
        <f t="shared" ca="1" si="490"/>
        <v>0</v>
      </c>
      <c r="AK513" s="345">
        <f t="shared" ca="1" si="490"/>
        <v>0</v>
      </c>
      <c r="AL513" s="345">
        <f t="shared" ca="1" si="490"/>
        <v>0</v>
      </c>
      <c r="AM513" s="345"/>
      <c r="AN513" s="455">
        <f t="shared" ref="AN513:BC513" ca="1" si="491">IF(OR(MO.RealTimeStockPriceToggle=FALSE,VLOOKUP(MO.DataSourceName,MO_SPT_StockLow_Sources,COLUMN(),FALSE)="N/A"),VLOOKUP("Real-Time Off Source",MO_SPT_StockLow_Sources,COLUMN(),FALSE),VLOOKUP(MO.DataSourceName,MO_SPT_StockLow_Sources,COLUMN(),FALSE))</f>
        <v>2.7</v>
      </c>
      <c r="AO513" s="455">
        <f t="shared" ca="1" si="491"/>
        <v>6.72</v>
      </c>
      <c r="AP513" s="455">
        <f t="shared" ca="1" si="491"/>
        <v>9.16</v>
      </c>
      <c r="AQ513" s="455">
        <f t="shared" ca="1" si="491"/>
        <v>12.85</v>
      </c>
      <c r="AR513" s="455">
        <f t="shared" ca="1" si="491"/>
        <v>19.87</v>
      </c>
      <c r="AS513" s="455">
        <f t="shared" ca="1" si="491"/>
        <v>23.06</v>
      </c>
      <c r="AT513" s="455">
        <f t="shared" ca="1" si="491"/>
        <v>21.01</v>
      </c>
      <c r="AU513" s="455">
        <f t="shared" ca="1" si="491"/>
        <v>19.59</v>
      </c>
      <c r="AV513" s="455">
        <f t="shared" ca="1" si="491"/>
        <v>22.3</v>
      </c>
      <c r="AW513" s="455">
        <f t="shared" ca="1" si="491"/>
        <v>12.09</v>
      </c>
      <c r="AX513" s="455">
        <f t="shared" ca="1" si="491"/>
        <v>11.06</v>
      </c>
      <c r="AY513" s="345">
        <f t="shared" ca="1" si="491"/>
        <v>0</v>
      </c>
      <c r="AZ513" s="345">
        <f t="shared" ca="1" si="491"/>
        <v>0</v>
      </c>
      <c r="BA513" s="345">
        <f t="shared" ca="1" si="491"/>
        <v>0</v>
      </c>
      <c r="BB513" s="345">
        <f t="shared" ca="1" si="491"/>
        <v>0</v>
      </c>
      <c r="BC513" s="346">
        <f t="shared" ca="1" si="491"/>
        <v>0</v>
      </c>
      <c r="BD513" s="347"/>
    </row>
    <row r="514" spans="1:56" s="348" customFormat="1" hidden="1" outlineLevel="1" x14ac:dyDescent="0.25">
      <c r="A514" s="349" t="s">
        <v>281</v>
      </c>
      <c r="B514" s="345"/>
      <c r="C514" s="455">
        <v>19.87</v>
      </c>
      <c r="D514" s="455">
        <v>20.28</v>
      </c>
      <c r="E514" s="455">
        <v>23.09</v>
      </c>
      <c r="F514" s="455">
        <v>24.88</v>
      </c>
      <c r="G514" s="455">
        <v>25.26</v>
      </c>
      <c r="H514" s="455">
        <v>23.14</v>
      </c>
      <c r="I514" s="455">
        <v>23.06</v>
      </c>
      <c r="J514" s="455">
        <v>27.4</v>
      </c>
      <c r="K514" s="455">
        <v>21.01</v>
      </c>
      <c r="L514" s="455">
        <v>29.73</v>
      </c>
      <c r="M514" s="455">
        <v>22.07</v>
      </c>
      <c r="N514" s="455">
        <v>22.57</v>
      </c>
      <c r="O514" s="455">
        <v>21.76</v>
      </c>
      <c r="P514" s="455">
        <v>20.059999999999999</v>
      </c>
      <c r="Q514" s="455">
        <v>19.59</v>
      </c>
      <c r="R514" s="455">
        <v>23.75</v>
      </c>
      <c r="S514" s="455">
        <v>22.7</v>
      </c>
      <c r="T514" s="455">
        <v>23</v>
      </c>
      <c r="U514" s="455">
        <v>25.95</v>
      </c>
      <c r="V514" s="455">
        <v>22.3</v>
      </c>
      <c r="W514" s="455">
        <v>20.399999999999999</v>
      </c>
      <c r="X514" s="455">
        <v>17.600000000000001</v>
      </c>
      <c r="Y514" s="455">
        <v>16.7</v>
      </c>
      <c r="Z514" s="455">
        <v>12.09</v>
      </c>
      <c r="AA514" s="455">
        <v>12.09</v>
      </c>
      <c r="AB514" s="455">
        <v>12.07</v>
      </c>
      <c r="AC514" s="455">
        <v>12.52</v>
      </c>
      <c r="AD514" s="455">
        <v>11.06</v>
      </c>
      <c r="AE514" s="455">
        <v>5.87</v>
      </c>
      <c r="AF514" s="455">
        <v>5.43</v>
      </c>
      <c r="AG514" s="345"/>
      <c r="AH514" s="345"/>
      <c r="AI514" s="345"/>
      <c r="AJ514" s="345"/>
      <c r="AK514" s="345"/>
      <c r="AL514" s="345"/>
      <c r="AM514" s="345"/>
      <c r="AN514" s="455">
        <v>2.7</v>
      </c>
      <c r="AO514" s="455">
        <v>6.72</v>
      </c>
      <c r="AP514" s="455">
        <v>9.16</v>
      </c>
      <c r="AQ514" s="455">
        <v>12.85</v>
      </c>
      <c r="AR514" s="455">
        <v>19.87</v>
      </c>
      <c r="AS514" s="455">
        <v>23.06</v>
      </c>
      <c r="AT514" s="455">
        <v>21.01</v>
      </c>
      <c r="AU514" s="455">
        <v>19.59</v>
      </c>
      <c r="AV514" s="455">
        <v>22.3</v>
      </c>
      <c r="AW514" s="455">
        <v>12.09</v>
      </c>
      <c r="AX514" s="455">
        <v>11.06</v>
      </c>
      <c r="AY514" s="345"/>
      <c r="AZ514" s="345"/>
      <c r="BA514" s="345"/>
      <c r="BB514" s="345"/>
      <c r="BC514" s="346"/>
      <c r="BD514" s="347"/>
    </row>
    <row r="515" spans="1:56" s="348" customFormat="1" hidden="1" outlineLevel="1" x14ac:dyDescent="0.25">
      <c r="A515" s="349" t="s">
        <v>7</v>
      </c>
      <c r="B515" s="345"/>
      <c r="C515" s="455" t="str">
        <f ca="1">IFERROR(_xll.BDP(MO.Ticker.Bloomberg&amp;" Equity","INTERVAL_LOW","MARKET_DATA_OVERRIDE=PX_LAST","START_DATE_OVERRIDE",TEXT(INDEX(MO_SNA_FPStartDate,0,COLUMN()),"YYYYMMDD"),"END_DATE_OVERRIDE",TEXT(INDEX(MO_Common_QEndDate,0,COLUMN()),"YYYYMMDD")),"N/A")</f>
        <v>N/A</v>
      </c>
      <c r="D515" s="455" t="str">
        <f ca="1">IFERROR(_xll.BDP(MO.Ticker.Bloomberg&amp;" Equity","INTERVAL_LOW","MARKET_DATA_OVERRIDE=PX_LAST","START_DATE_OVERRIDE",TEXT(INDEX(MO_SNA_FPStartDate,0,COLUMN()),"YYYYMMDD"),"END_DATE_OVERRIDE",TEXT(INDEX(MO_Common_QEndDate,0,COLUMN()),"YYYYMMDD")),"N/A")</f>
        <v>N/A</v>
      </c>
      <c r="E515" s="455" t="str">
        <f ca="1">IFERROR(_xll.BDP(MO.Ticker.Bloomberg&amp;" Equity","INTERVAL_LOW","MARKET_DATA_OVERRIDE=PX_LAST","START_DATE_OVERRIDE",TEXT(INDEX(MO_SNA_FPStartDate,0,COLUMN()),"YYYYMMDD"),"END_DATE_OVERRIDE",TEXT(INDEX(MO_Common_QEndDate,0,COLUMN()),"YYYYMMDD")),"N/A")</f>
        <v>N/A</v>
      </c>
      <c r="F515" s="455" t="str">
        <f ca="1">IFERROR(_xll.BDP(MO.Ticker.Bloomberg&amp;" Equity","INTERVAL_LOW","MARKET_DATA_OVERRIDE=PX_LAST","START_DATE_OVERRIDE",TEXT(INDEX(MO_SNA_FPStartDate,0,COLUMN()),"YYYYMMDD"),"END_DATE_OVERRIDE",TEXT(INDEX(MO_Common_QEndDate,0,COLUMN()),"YYYYMMDD")),"N/A")</f>
        <v>N/A</v>
      </c>
      <c r="G515" s="455" t="str">
        <f ca="1">IFERROR(_xll.BDP(MO.Ticker.Bloomberg&amp;" Equity","INTERVAL_LOW","MARKET_DATA_OVERRIDE=PX_LAST","START_DATE_OVERRIDE",TEXT(INDEX(MO_SNA_FPStartDate,0,COLUMN()),"YYYYMMDD"),"END_DATE_OVERRIDE",TEXT(INDEX(MO_Common_QEndDate,0,COLUMN()),"YYYYMMDD")),"N/A")</f>
        <v>N/A</v>
      </c>
      <c r="H515" s="455" t="str">
        <f ca="1">IFERROR(_xll.BDP(MO.Ticker.Bloomberg&amp;" Equity","INTERVAL_LOW","MARKET_DATA_OVERRIDE=PX_LAST","START_DATE_OVERRIDE",TEXT(INDEX(MO_SNA_FPStartDate,0,COLUMN()),"YYYYMMDD"),"END_DATE_OVERRIDE",TEXT(INDEX(MO_Common_QEndDate,0,COLUMN()),"YYYYMMDD")),"N/A")</f>
        <v>N/A</v>
      </c>
      <c r="I515" s="455" t="str">
        <f ca="1">IFERROR(_xll.BDP(MO.Ticker.Bloomberg&amp;" Equity","INTERVAL_LOW","MARKET_DATA_OVERRIDE=PX_LAST","START_DATE_OVERRIDE",TEXT(INDEX(MO_SNA_FPStartDate,0,COLUMN()),"YYYYMMDD"),"END_DATE_OVERRIDE",TEXT(INDEX(MO_Common_QEndDate,0,COLUMN()),"YYYYMMDD")),"N/A")</f>
        <v>N/A</v>
      </c>
      <c r="J515" s="455" t="str">
        <f ca="1">IFERROR(_xll.BDP(MO.Ticker.Bloomberg&amp;" Equity","INTERVAL_LOW","MARKET_DATA_OVERRIDE=PX_LAST","START_DATE_OVERRIDE",TEXT(INDEX(MO_SNA_FPStartDate,0,COLUMN()),"YYYYMMDD"),"END_DATE_OVERRIDE",TEXT(INDEX(MO_Common_QEndDate,0,COLUMN()),"YYYYMMDD")),"N/A")</f>
        <v>N/A</v>
      </c>
      <c r="K515" s="455" t="str">
        <f ca="1">IFERROR(_xll.BDP(MO.Ticker.Bloomberg&amp;" Equity","INTERVAL_LOW","MARKET_DATA_OVERRIDE=PX_LAST","START_DATE_OVERRIDE",TEXT(INDEX(MO_SNA_FPStartDate,0,COLUMN()),"YYYYMMDD"),"END_DATE_OVERRIDE",TEXT(INDEX(MO_Common_QEndDate,0,COLUMN()),"YYYYMMDD")),"N/A")</f>
        <v>N/A</v>
      </c>
      <c r="L515" s="455" t="str">
        <f ca="1">IFERROR(_xll.BDP(MO.Ticker.Bloomberg&amp;" Equity","INTERVAL_LOW","MARKET_DATA_OVERRIDE=PX_LAST","START_DATE_OVERRIDE",TEXT(INDEX(MO_SNA_FPStartDate,0,COLUMN()),"YYYYMMDD"),"END_DATE_OVERRIDE",TEXT(INDEX(MO_Common_QEndDate,0,COLUMN()),"YYYYMMDD")),"N/A")</f>
        <v>N/A</v>
      </c>
      <c r="M515" s="455" t="str">
        <f ca="1">IFERROR(_xll.BDP(MO.Ticker.Bloomberg&amp;" Equity","INTERVAL_LOW","MARKET_DATA_OVERRIDE=PX_LAST","START_DATE_OVERRIDE",TEXT(INDEX(MO_SNA_FPStartDate,0,COLUMN()),"YYYYMMDD"),"END_DATE_OVERRIDE",TEXT(INDEX(MO_Common_QEndDate,0,COLUMN()),"YYYYMMDD")),"N/A")</f>
        <v>N/A</v>
      </c>
      <c r="N515" s="455" t="str">
        <f ca="1">IFERROR(_xll.BDP(MO.Ticker.Bloomberg&amp;" Equity","INTERVAL_LOW","MARKET_DATA_OVERRIDE=PX_LAST","START_DATE_OVERRIDE",TEXT(INDEX(MO_SNA_FPStartDate,0,COLUMN()),"YYYYMMDD"),"END_DATE_OVERRIDE",TEXT(INDEX(MO_Common_QEndDate,0,COLUMN()),"YYYYMMDD")),"N/A")</f>
        <v>N/A</v>
      </c>
      <c r="O515" s="455" t="str">
        <f ca="1">IFERROR(_xll.BDP(MO.Ticker.Bloomberg&amp;" Equity","INTERVAL_LOW","MARKET_DATA_OVERRIDE=PX_LAST","START_DATE_OVERRIDE",TEXT(INDEX(MO_SNA_FPStartDate,0,COLUMN()),"YYYYMMDD"),"END_DATE_OVERRIDE",TEXT(INDEX(MO_Common_QEndDate,0,COLUMN()),"YYYYMMDD")),"N/A")</f>
        <v>N/A</v>
      </c>
      <c r="P515" s="455" t="str">
        <f ca="1">IFERROR(_xll.BDP(MO.Ticker.Bloomberg&amp;" Equity","INTERVAL_LOW","MARKET_DATA_OVERRIDE=PX_LAST","START_DATE_OVERRIDE",TEXT(INDEX(MO_SNA_FPStartDate,0,COLUMN()),"YYYYMMDD"),"END_DATE_OVERRIDE",TEXT(INDEX(MO_Common_QEndDate,0,COLUMN()),"YYYYMMDD")),"N/A")</f>
        <v>N/A</v>
      </c>
      <c r="Q515" s="455" t="str">
        <f ca="1">IFERROR(_xll.BDP(MO.Ticker.Bloomberg&amp;" Equity","INTERVAL_LOW","MARKET_DATA_OVERRIDE=PX_LAST","START_DATE_OVERRIDE",TEXT(INDEX(MO_SNA_FPStartDate,0,COLUMN()),"YYYYMMDD"),"END_DATE_OVERRIDE",TEXT(INDEX(MO_Common_QEndDate,0,COLUMN()),"YYYYMMDD")),"N/A")</f>
        <v>N/A</v>
      </c>
      <c r="R515" s="455" t="str">
        <f ca="1">IFERROR(_xll.BDP(MO.Ticker.Bloomberg&amp;" Equity","INTERVAL_LOW","MARKET_DATA_OVERRIDE=PX_LAST","START_DATE_OVERRIDE",TEXT(INDEX(MO_SNA_FPStartDate,0,COLUMN()),"YYYYMMDD"),"END_DATE_OVERRIDE",TEXT(INDEX(MO_Common_QEndDate,0,COLUMN()),"YYYYMMDD")),"N/A")</f>
        <v>N/A</v>
      </c>
      <c r="S515" s="455" t="str">
        <f ca="1">IFERROR(_xll.BDP(MO.Ticker.Bloomberg&amp;" Equity","INTERVAL_LOW","MARKET_DATA_OVERRIDE=PX_LAST","START_DATE_OVERRIDE",TEXT(INDEX(MO_SNA_FPStartDate,0,COLUMN()),"YYYYMMDD"),"END_DATE_OVERRIDE",TEXT(INDEX(MO_Common_QEndDate,0,COLUMN()),"YYYYMMDD")),"N/A")</f>
        <v>N/A</v>
      </c>
      <c r="T515" s="455" t="str">
        <f ca="1">IFERROR(_xll.BDP(MO.Ticker.Bloomberg&amp;" Equity","INTERVAL_LOW","MARKET_DATA_OVERRIDE=PX_LAST","START_DATE_OVERRIDE",TEXT(INDEX(MO_SNA_FPStartDate,0,COLUMN()),"YYYYMMDD"),"END_DATE_OVERRIDE",TEXT(INDEX(MO_Common_QEndDate,0,COLUMN()),"YYYYMMDD")),"N/A")</f>
        <v>N/A</v>
      </c>
      <c r="U515" s="455" t="str">
        <f ca="1">IFERROR(_xll.BDP(MO.Ticker.Bloomberg&amp;" Equity","INTERVAL_LOW","MARKET_DATA_OVERRIDE=PX_LAST","START_DATE_OVERRIDE",TEXT(INDEX(MO_SNA_FPStartDate,0,COLUMN()),"YYYYMMDD"),"END_DATE_OVERRIDE",TEXT(INDEX(MO_Common_QEndDate,0,COLUMN()),"YYYYMMDD")),"N/A")</f>
        <v>N/A</v>
      </c>
      <c r="V515" s="455" t="str">
        <f ca="1">IFERROR(_xll.BDP(MO.Ticker.Bloomberg&amp;" Equity","INTERVAL_LOW","MARKET_DATA_OVERRIDE=PX_LAST","START_DATE_OVERRIDE",TEXT(INDEX(MO_SNA_FPStartDate,0,COLUMN()),"YYYYMMDD"),"END_DATE_OVERRIDE",TEXT(INDEX(MO_Common_QEndDate,0,COLUMN()),"YYYYMMDD")),"N/A")</f>
        <v>N/A</v>
      </c>
      <c r="W515" s="455" t="str">
        <f ca="1">IFERROR(_xll.BDP(MO.Ticker.Bloomberg&amp;" Equity","INTERVAL_LOW","MARKET_DATA_OVERRIDE=PX_LAST","START_DATE_OVERRIDE",TEXT(INDEX(MO_SNA_FPStartDate,0,COLUMN()),"YYYYMMDD"),"END_DATE_OVERRIDE",TEXT(INDEX(MO_Common_QEndDate,0,COLUMN()),"YYYYMMDD")),"N/A")</f>
        <v>N/A</v>
      </c>
      <c r="X515" s="455" t="str">
        <f ca="1">IFERROR(_xll.BDP(MO.Ticker.Bloomberg&amp;" Equity","INTERVAL_LOW","MARKET_DATA_OVERRIDE=PX_LAST","START_DATE_OVERRIDE",TEXT(INDEX(MO_SNA_FPStartDate,0,COLUMN()),"YYYYMMDD"),"END_DATE_OVERRIDE",TEXT(INDEX(MO_Common_QEndDate,0,COLUMN()),"YYYYMMDD")),"N/A")</f>
        <v>N/A</v>
      </c>
      <c r="Y515" s="455" t="str">
        <f ca="1">IFERROR(_xll.BDP(MO.Ticker.Bloomberg&amp;" Equity","INTERVAL_LOW","MARKET_DATA_OVERRIDE=PX_LAST","START_DATE_OVERRIDE",TEXT(INDEX(MO_SNA_FPStartDate,0,COLUMN()),"YYYYMMDD"),"END_DATE_OVERRIDE",TEXT(INDEX(MO_Common_QEndDate,0,COLUMN()),"YYYYMMDD")),"N/A")</f>
        <v>N/A</v>
      </c>
      <c r="Z515" s="455" t="str">
        <f ca="1">IFERROR(_xll.BDP(MO.Ticker.Bloomberg&amp;" Equity","INTERVAL_LOW","MARKET_DATA_OVERRIDE=PX_LAST","START_DATE_OVERRIDE",TEXT(INDEX(MO_SNA_FPStartDate,0,COLUMN()),"YYYYMMDD"),"END_DATE_OVERRIDE",TEXT(INDEX(MO_Common_QEndDate,0,COLUMN()),"YYYYMMDD")),"N/A")</f>
        <v>N/A</v>
      </c>
      <c r="AA515" s="455" t="str">
        <f ca="1">IFERROR(_xll.BDP(MO.Ticker.Bloomberg&amp;" Equity","INTERVAL_LOW","MARKET_DATA_OVERRIDE=PX_LAST","START_DATE_OVERRIDE",TEXT(INDEX(MO_SNA_FPStartDate,0,COLUMN()),"YYYYMMDD"),"END_DATE_OVERRIDE",TEXT(INDEX(MO_Common_QEndDate,0,COLUMN()),"YYYYMMDD")),"N/A")</f>
        <v>N/A</v>
      </c>
      <c r="AB515" s="455" t="str">
        <f ca="1">IFERROR(_xll.BDP(MO.Ticker.Bloomberg&amp;" Equity","INTERVAL_LOW","MARKET_DATA_OVERRIDE=PX_LAST","START_DATE_OVERRIDE",TEXT(INDEX(MO_SNA_FPStartDate,0,COLUMN()),"YYYYMMDD"),"END_DATE_OVERRIDE",TEXT(INDEX(MO_Common_QEndDate,0,COLUMN()),"YYYYMMDD")),"N/A")</f>
        <v>N/A</v>
      </c>
      <c r="AC515" s="455" t="str">
        <f ca="1">IFERROR(_xll.BDP(MO.Ticker.Bloomberg&amp;" Equity","INTERVAL_LOW","MARKET_DATA_OVERRIDE=PX_LAST","START_DATE_OVERRIDE",TEXT(INDEX(MO_SNA_FPStartDate,0,COLUMN()),"YYYYMMDD"),"END_DATE_OVERRIDE",TEXT(INDEX(MO_Common_QEndDate,0,COLUMN()),"YYYYMMDD")),"N/A")</f>
        <v>N/A</v>
      </c>
      <c r="AD515" s="455" t="str">
        <f ca="1">IFERROR(_xll.BDP(MO.Ticker.Bloomberg&amp;" Equity","INTERVAL_LOW","MARKET_DATA_OVERRIDE=PX_LAST","START_DATE_OVERRIDE",TEXT(INDEX(MO_SNA_FPStartDate,0,COLUMN()),"YYYYMMDD"),"END_DATE_OVERRIDE",TEXT(INDEX(MO_Common_QEndDate,0,COLUMN()),"YYYYMMDD")),"N/A")</f>
        <v>N/A</v>
      </c>
      <c r="AE515" s="455" t="str">
        <f ca="1">IFERROR(_xll.BDP(MO.Ticker.Bloomberg&amp;" Equity","INTERVAL_LOW","MARKET_DATA_OVERRIDE=PX_LAST","START_DATE_OVERRIDE",TEXT(INDEX(MO_SNA_FPStartDate,0,COLUMN()),"YYYYMMDD"),"END_DATE_OVERRIDE",TEXT(INDEX(MO_Common_QEndDate,0,COLUMN()),"YYYYMMDD")),"N/A")</f>
        <v>N/A</v>
      </c>
      <c r="AF515" s="455" t="str">
        <f ca="1">IFERROR(_xll.BDP(MO.Ticker.Bloomberg&amp;" Equity","INTERVAL_LOW","MARKET_DATA_OVERRIDE=PX_LAST","START_DATE_OVERRIDE",TEXT(INDEX(MO_SNA_FPStartDate,0,COLUMN()),"YYYYMMDD"),"END_DATE_OVERRIDE",TEXT(INDEX(MO_Common_QEndDate,0,COLUMN()),"YYYYMMDD")),"N/A")</f>
        <v>N/A</v>
      </c>
      <c r="AG515" s="345" t="str">
        <f ca="1">IFERROR(_xll.BDP(MO.Ticker.Bloomberg&amp;" Equity","INTERVAL_LOW","MARKET_DATA_OVERRIDE=PX_LAST","START_DATE_OVERRIDE",TEXT(INDEX(MO_SNA_FPStartDate,0,COLUMN()),"YYYYMMDD"),"END_DATE_OVERRIDE",TEXT(INDEX(MO_Common_QEndDate,0,COLUMN()),"YYYYMMDD")),"N/A")</f>
        <v>N/A</v>
      </c>
      <c r="AH515" s="345" t="str">
        <f ca="1">IFERROR(_xll.BDP(MO.Ticker.Bloomberg&amp;" Equity","INTERVAL_LOW","MARKET_DATA_OVERRIDE=PX_LAST","START_DATE_OVERRIDE",TEXT(INDEX(MO_SNA_FPStartDate,0,COLUMN()),"YYYYMMDD"),"END_DATE_OVERRIDE",TEXT(INDEX(MO_Common_QEndDate,0,COLUMN()),"YYYYMMDD")),"N/A")</f>
        <v>N/A</v>
      </c>
      <c r="AI515" s="345" t="str">
        <f ca="1">IFERROR(_xll.BDP(MO.Ticker.Bloomberg&amp;" Equity","INTERVAL_LOW","MARKET_DATA_OVERRIDE=PX_LAST","START_DATE_OVERRIDE",TEXT(INDEX(MO_SNA_FPStartDate,0,COLUMN()),"YYYYMMDD"),"END_DATE_OVERRIDE",TEXT(INDEX(MO_Common_QEndDate,0,COLUMN()),"YYYYMMDD")),"N/A")</f>
        <v>N/A</v>
      </c>
      <c r="AJ515" s="345" t="str">
        <f ca="1">IFERROR(_xll.BDP(MO.Ticker.Bloomberg&amp;" Equity","INTERVAL_LOW","MARKET_DATA_OVERRIDE=PX_LAST","START_DATE_OVERRIDE",TEXT(INDEX(MO_SNA_FPStartDate,0,COLUMN()),"YYYYMMDD"),"END_DATE_OVERRIDE",TEXT(INDEX(MO_Common_QEndDate,0,COLUMN()),"YYYYMMDD")),"N/A")</f>
        <v>N/A</v>
      </c>
      <c r="AK515" s="345" t="str">
        <f ca="1">IFERROR(_xll.BDP(MO.Ticker.Bloomberg&amp;" Equity","INTERVAL_LOW","MARKET_DATA_OVERRIDE=PX_LAST","START_DATE_OVERRIDE",TEXT(INDEX(MO_SNA_FPStartDate,0,COLUMN()),"YYYYMMDD"),"END_DATE_OVERRIDE",TEXT(INDEX(MO_Common_QEndDate,0,COLUMN()),"YYYYMMDD")),"N/A")</f>
        <v>N/A</v>
      </c>
      <c r="AL515" s="345" t="str">
        <f ca="1">IFERROR(_xll.BDP(MO.Ticker.Bloomberg&amp;" Equity","INTERVAL_LOW","MARKET_DATA_OVERRIDE=PX_LAST","START_DATE_OVERRIDE",TEXT(INDEX(MO_SNA_FPStartDate,0,COLUMN()),"YYYYMMDD"),"END_DATE_OVERRIDE",TEXT(INDEX(MO_Common_QEndDate,0,COLUMN()),"YYYYMMDD")),"N/A")</f>
        <v>N/A</v>
      </c>
      <c r="AM515" s="345"/>
      <c r="AN515" s="455" t="str">
        <f ca="1">IFERROR(_xll.BDP(MO.Ticker.Bloomberg&amp;" Equity","INTERVAL_LOW","MARKET_DATA_OVERRIDE=PX_LAST","START_DATE_OVERRIDE",TEXT(INDEX(MO_SNA_FPStartDate,0,COLUMN()),"YYYYMMDD"),"END_DATE_OVERRIDE",TEXT(INDEX(MO_Common_QEndDate,0,COLUMN()),"YYYYMMDD")),"N/A")</f>
        <v>N/A</v>
      </c>
      <c r="AO515" s="455" t="str">
        <f ca="1">IFERROR(_xll.BDP(MO.Ticker.Bloomberg&amp;" Equity","INTERVAL_LOW","MARKET_DATA_OVERRIDE=PX_LAST","START_DATE_OVERRIDE",TEXT(INDEX(MO_SNA_FPStartDate,0,COLUMN()),"YYYYMMDD"),"END_DATE_OVERRIDE",TEXT(INDEX(MO_Common_QEndDate,0,COLUMN()),"YYYYMMDD")),"N/A")</f>
        <v>N/A</v>
      </c>
      <c r="AP515" s="455" t="str">
        <f ca="1">IFERROR(_xll.BDP(MO.Ticker.Bloomberg&amp;" Equity","INTERVAL_LOW","MARKET_DATA_OVERRIDE=PX_LAST","START_DATE_OVERRIDE",TEXT(INDEX(MO_SNA_FPStartDate,0,COLUMN()),"YYYYMMDD"),"END_DATE_OVERRIDE",TEXT(INDEX(MO_Common_QEndDate,0,COLUMN()),"YYYYMMDD")),"N/A")</f>
        <v>N/A</v>
      </c>
      <c r="AQ515" s="455" t="str">
        <f ca="1">IFERROR(_xll.BDP(MO.Ticker.Bloomberg&amp;" Equity","INTERVAL_LOW","MARKET_DATA_OVERRIDE=PX_LAST","START_DATE_OVERRIDE",TEXT(INDEX(MO_SNA_FPStartDate,0,COLUMN()),"YYYYMMDD"),"END_DATE_OVERRIDE",TEXT(INDEX(MO_Common_QEndDate,0,COLUMN()),"YYYYMMDD")),"N/A")</f>
        <v>N/A</v>
      </c>
      <c r="AR515" s="455" t="str">
        <f ca="1">IFERROR(_xll.BDP(MO.Ticker.Bloomberg&amp;" Equity","INTERVAL_LOW","MARKET_DATA_OVERRIDE=PX_LAST","START_DATE_OVERRIDE",TEXT(INDEX(MO_SNA_FPStartDate,0,COLUMN()),"YYYYMMDD"),"END_DATE_OVERRIDE",TEXT(INDEX(MO_Common_QEndDate,0,COLUMN()),"YYYYMMDD")),"N/A")</f>
        <v>N/A</v>
      </c>
      <c r="AS515" s="455" t="str">
        <f ca="1">IFERROR(_xll.BDP(MO.Ticker.Bloomberg&amp;" Equity","INTERVAL_LOW","MARKET_DATA_OVERRIDE=PX_LAST","START_DATE_OVERRIDE",TEXT(INDEX(MO_SNA_FPStartDate,0,COLUMN()),"YYYYMMDD"),"END_DATE_OVERRIDE",TEXT(INDEX(MO_Common_QEndDate,0,COLUMN()),"YYYYMMDD")),"N/A")</f>
        <v>N/A</v>
      </c>
      <c r="AT515" s="455" t="str">
        <f ca="1">IFERROR(_xll.BDP(MO.Ticker.Bloomberg&amp;" Equity","INTERVAL_LOW","MARKET_DATA_OVERRIDE=PX_LAST","START_DATE_OVERRIDE",TEXT(INDEX(MO_SNA_FPStartDate,0,COLUMN()),"YYYYMMDD"),"END_DATE_OVERRIDE",TEXT(INDEX(MO_Common_QEndDate,0,COLUMN()),"YYYYMMDD")),"N/A")</f>
        <v>N/A</v>
      </c>
      <c r="AU515" s="455" t="str">
        <f ca="1">IFERROR(_xll.BDP(MO.Ticker.Bloomberg&amp;" Equity","INTERVAL_LOW","MARKET_DATA_OVERRIDE=PX_LAST","START_DATE_OVERRIDE",TEXT(INDEX(MO_SNA_FPStartDate,0,COLUMN()),"YYYYMMDD"),"END_DATE_OVERRIDE",TEXT(INDEX(MO_Common_QEndDate,0,COLUMN()),"YYYYMMDD")),"N/A")</f>
        <v>N/A</v>
      </c>
      <c r="AV515" s="455" t="str">
        <f ca="1">IFERROR(_xll.BDP(MO.Ticker.Bloomberg&amp;" Equity","INTERVAL_LOW","MARKET_DATA_OVERRIDE=PX_LAST","START_DATE_OVERRIDE",TEXT(INDEX(MO_SNA_FPStartDate,0,COLUMN()),"YYYYMMDD"),"END_DATE_OVERRIDE",TEXT(INDEX(MO_Common_QEndDate,0,COLUMN()),"YYYYMMDD")),"N/A")</f>
        <v>N/A</v>
      </c>
      <c r="AW515" s="455" t="str">
        <f ca="1">IFERROR(_xll.BDP(MO.Ticker.Bloomberg&amp;" Equity","INTERVAL_LOW","MARKET_DATA_OVERRIDE=PX_LAST","START_DATE_OVERRIDE",TEXT(INDEX(MO_SNA_FPStartDate,0,COLUMN()),"YYYYMMDD"),"END_DATE_OVERRIDE",TEXT(INDEX(MO_Common_QEndDate,0,COLUMN()),"YYYYMMDD")),"N/A")</f>
        <v>N/A</v>
      </c>
      <c r="AX515" s="455" t="str">
        <f ca="1">IFERROR(_xll.BDP(MO.Ticker.Bloomberg&amp;" Equity","INTERVAL_LOW","MARKET_DATA_OVERRIDE=PX_LAST","START_DATE_OVERRIDE",TEXT(INDEX(MO_SNA_FPStartDate,0,COLUMN()),"YYYYMMDD"),"END_DATE_OVERRIDE",TEXT(INDEX(MO_Common_QEndDate,0,COLUMN()),"YYYYMMDD")),"N/A")</f>
        <v>N/A</v>
      </c>
      <c r="AY515" s="345" t="str">
        <f ca="1">IFERROR(_xll.BDP(MO.Ticker.Bloomberg&amp;" Equity","INTERVAL_LOW","MARKET_DATA_OVERRIDE=PX_LAST","START_DATE_OVERRIDE",TEXT(INDEX(MO_SNA_FPStartDate,0,COLUMN()),"YYYYMMDD"),"END_DATE_OVERRIDE",TEXT(INDEX(MO_Common_QEndDate,0,COLUMN()),"YYYYMMDD")),"N/A")</f>
        <v>N/A</v>
      </c>
      <c r="AZ515" s="345" t="str">
        <f ca="1">IFERROR(_xll.BDP(MO.Ticker.Bloomberg&amp;" Equity","INTERVAL_LOW","MARKET_DATA_OVERRIDE=PX_LAST","START_DATE_OVERRIDE",TEXT(INDEX(MO_SNA_FPStartDate,0,COLUMN()),"YYYYMMDD"),"END_DATE_OVERRIDE",TEXT(INDEX(MO_Common_QEndDate,0,COLUMN()),"YYYYMMDD")),"N/A")</f>
        <v>N/A</v>
      </c>
      <c r="BA515" s="345" t="str">
        <f ca="1">IFERROR(_xll.BDP(MO.Ticker.Bloomberg&amp;" Equity","INTERVAL_LOW","MARKET_DATA_OVERRIDE=PX_LAST","START_DATE_OVERRIDE",TEXT(INDEX(MO_SNA_FPStartDate,0,COLUMN()),"YYYYMMDD"),"END_DATE_OVERRIDE",TEXT(INDEX(MO_Common_QEndDate,0,COLUMN()),"YYYYMMDD")),"N/A")</f>
        <v>N/A</v>
      </c>
      <c r="BB515" s="345" t="str">
        <f ca="1">IFERROR(_xll.BDP(MO.Ticker.Bloomberg&amp;" Equity","INTERVAL_LOW","MARKET_DATA_OVERRIDE=PX_LAST","START_DATE_OVERRIDE",TEXT(INDEX(MO_SNA_FPStartDate,0,COLUMN()),"YYYYMMDD"),"END_DATE_OVERRIDE",TEXT(INDEX(MO_Common_QEndDate,0,COLUMN()),"YYYYMMDD")),"N/A")</f>
        <v>N/A</v>
      </c>
      <c r="BC515" s="346" t="str">
        <f ca="1">IFERROR(_xll.BDP(MO.Ticker.Bloomberg&amp;" Equity","INTERVAL_LOW","MARKET_DATA_OVERRIDE=PX_LAST","START_DATE_OVERRIDE",TEXT(INDEX(MO_SNA_FPStartDate,0,COLUMN()),"YYYYMMDD"),"END_DATE_OVERRIDE",TEXT(INDEX(MO_Common_QEndDate,0,COLUMN()),"YYYYMMDD")),"N/A")</f>
        <v>N/A</v>
      </c>
      <c r="BD515" s="347"/>
    </row>
    <row r="516" spans="1:56" s="348" customFormat="1" hidden="1" outlineLevel="1" x14ac:dyDescent="0.25">
      <c r="A516" s="349" t="s">
        <v>282</v>
      </c>
      <c r="B516" s="345"/>
      <c r="C516" s="455" t="str">
        <f ca="1">IFERROR(_xll.CIQHI(MO.Ticker.CapIQ,"IQ_LASTSALEPRICE",INDEX(MO_SNA_FPStartDate,0,COLUMN()),INDEX(MO_Common_QEndDate,0,COLUMN())),"N/A")</f>
        <v>N/A</v>
      </c>
      <c r="D516" s="455" t="str">
        <f ca="1">IFERROR(_xll.CIQHI(MO.Ticker.CapIQ,"IQ_LASTSALEPRICE",INDEX(MO_SNA_FPStartDate,0,COLUMN()),INDEX(MO_Common_QEndDate,0,COLUMN())),"N/A")</f>
        <v>N/A</v>
      </c>
      <c r="E516" s="455" t="str">
        <f ca="1">IFERROR(_xll.CIQHI(MO.Ticker.CapIQ,"IQ_LASTSALEPRICE",INDEX(MO_SNA_FPStartDate,0,COLUMN()),INDEX(MO_Common_QEndDate,0,COLUMN())),"N/A")</f>
        <v>N/A</v>
      </c>
      <c r="F516" s="455" t="str">
        <f ca="1">IFERROR(_xll.CIQHI(MO.Ticker.CapIQ,"IQ_LASTSALEPRICE",INDEX(MO_SNA_FPStartDate,0,COLUMN()),INDEX(MO_Common_QEndDate,0,COLUMN())),"N/A")</f>
        <v>N/A</v>
      </c>
      <c r="G516" s="455" t="str">
        <f ca="1">IFERROR(_xll.CIQHI(MO.Ticker.CapIQ,"IQ_LASTSALEPRICE",INDEX(MO_SNA_FPStartDate,0,COLUMN()),INDEX(MO_Common_QEndDate,0,COLUMN())),"N/A")</f>
        <v>N/A</v>
      </c>
      <c r="H516" s="455" t="str">
        <f ca="1">IFERROR(_xll.CIQHI(MO.Ticker.CapIQ,"IQ_LASTSALEPRICE",INDEX(MO_SNA_FPStartDate,0,COLUMN()),INDEX(MO_Common_QEndDate,0,COLUMN())),"N/A")</f>
        <v>N/A</v>
      </c>
      <c r="I516" s="455" t="str">
        <f ca="1">IFERROR(_xll.CIQHI(MO.Ticker.CapIQ,"IQ_LASTSALEPRICE",INDEX(MO_SNA_FPStartDate,0,COLUMN()),INDEX(MO_Common_QEndDate,0,COLUMN())),"N/A")</f>
        <v>N/A</v>
      </c>
      <c r="J516" s="455" t="str">
        <f ca="1">IFERROR(_xll.CIQHI(MO.Ticker.CapIQ,"IQ_LASTSALEPRICE",INDEX(MO_SNA_FPStartDate,0,COLUMN()),INDEX(MO_Common_QEndDate,0,COLUMN())),"N/A")</f>
        <v>N/A</v>
      </c>
      <c r="K516" s="455" t="str">
        <f ca="1">IFERROR(_xll.CIQHI(MO.Ticker.CapIQ,"IQ_LASTSALEPRICE",INDEX(MO_SNA_FPStartDate,0,COLUMN()),INDEX(MO_Common_QEndDate,0,COLUMN())),"N/A")</f>
        <v>N/A</v>
      </c>
      <c r="L516" s="455" t="str">
        <f ca="1">IFERROR(_xll.CIQHI(MO.Ticker.CapIQ,"IQ_LASTSALEPRICE",INDEX(MO_SNA_FPStartDate,0,COLUMN()),INDEX(MO_Common_QEndDate,0,COLUMN())),"N/A")</f>
        <v>N/A</v>
      </c>
      <c r="M516" s="455" t="str">
        <f ca="1">IFERROR(_xll.CIQHI(MO.Ticker.CapIQ,"IQ_LASTSALEPRICE",INDEX(MO_SNA_FPStartDate,0,COLUMN()),INDEX(MO_Common_QEndDate,0,COLUMN())),"N/A")</f>
        <v>N/A</v>
      </c>
      <c r="N516" s="455" t="str">
        <f ca="1">IFERROR(_xll.CIQHI(MO.Ticker.CapIQ,"IQ_LASTSALEPRICE",INDEX(MO_SNA_FPStartDate,0,COLUMN()),INDEX(MO_Common_QEndDate,0,COLUMN())),"N/A")</f>
        <v>N/A</v>
      </c>
      <c r="O516" s="455" t="str">
        <f ca="1">IFERROR(_xll.CIQHI(MO.Ticker.CapIQ,"IQ_LASTSALEPRICE",INDEX(MO_SNA_FPStartDate,0,COLUMN()),INDEX(MO_Common_QEndDate,0,COLUMN())),"N/A")</f>
        <v>N/A</v>
      </c>
      <c r="P516" s="455" t="str">
        <f ca="1">IFERROR(_xll.CIQHI(MO.Ticker.CapIQ,"IQ_LASTSALEPRICE",INDEX(MO_SNA_FPStartDate,0,COLUMN()),INDEX(MO_Common_QEndDate,0,COLUMN())),"N/A")</f>
        <v>N/A</v>
      </c>
      <c r="Q516" s="455" t="str">
        <f ca="1">IFERROR(_xll.CIQHI(MO.Ticker.CapIQ,"IQ_LASTSALEPRICE",INDEX(MO_SNA_FPStartDate,0,COLUMN()),INDEX(MO_Common_QEndDate,0,COLUMN())),"N/A")</f>
        <v>N/A</v>
      </c>
      <c r="R516" s="455" t="str">
        <f ca="1">IFERROR(_xll.CIQHI(MO.Ticker.CapIQ,"IQ_LASTSALEPRICE",INDEX(MO_SNA_FPStartDate,0,COLUMN()),INDEX(MO_Common_QEndDate,0,COLUMN())),"N/A")</f>
        <v>N/A</v>
      </c>
      <c r="S516" s="455" t="str">
        <f ca="1">IFERROR(_xll.CIQHI(MO.Ticker.CapIQ,"IQ_LASTSALEPRICE",INDEX(MO_SNA_FPStartDate,0,COLUMN()),INDEX(MO_Common_QEndDate,0,COLUMN())),"N/A")</f>
        <v>N/A</v>
      </c>
      <c r="T516" s="455" t="str">
        <f ca="1">IFERROR(_xll.CIQHI(MO.Ticker.CapIQ,"IQ_LASTSALEPRICE",INDEX(MO_SNA_FPStartDate,0,COLUMN()),INDEX(MO_Common_QEndDate,0,COLUMN())),"N/A")</f>
        <v>N/A</v>
      </c>
      <c r="U516" s="455" t="str">
        <f ca="1">IFERROR(_xll.CIQHI(MO.Ticker.CapIQ,"IQ_LASTSALEPRICE",INDEX(MO_SNA_FPStartDate,0,COLUMN()),INDEX(MO_Common_QEndDate,0,COLUMN())),"N/A")</f>
        <v>N/A</v>
      </c>
      <c r="V516" s="455" t="str">
        <f ca="1">IFERROR(_xll.CIQHI(MO.Ticker.CapIQ,"IQ_LASTSALEPRICE",INDEX(MO_SNA_FPStartDate,0,COLUMN()),INDEX(MO_Common_QEndDate,0,COLUMN())),"N/A")</f>
        <v>N/A</v>
      </c>
      <c r="W516" s="455" t="str">
        <f ca="1">IFERROR(_xll.CIQHI(MO.Ticker.CapIQ,"IQ_LASTSALEPRICE",INDEX(MO_SNA_FPStartDate,0,COLUMN()),INDEX(MO_Common_QEndDate,0,COLUMN())),"N/A")</f>
        <v>N/A</v>
      </c>
      <c r="X516" s="455" t="str">
        <f ca="1">IFERROR(_xll.CIQHI(MO.Ticker.CapIQ,"IQ_LASTSALEPRICE",INDEX(MO_SNA_FPStartDate,0,COLUMN()),INDEX(MO_Common_QEndDate,0,COLUMN())),"N/A")</f>
        <v>N/A</v>
      </c>
      <c r="Y516" s="455" t="str">
        <f ca="1">IFERROR(_xll.CIQHI(MO.Ticker.CapIQ,"IQ_LASTSALEPRICE",INDEX(MO_SNA_FPStartDate,0,COLUMN()),INDEX(MO_Common_QEndDate,0,COLUMN())),"N/A")</f>
        <v>N/A</v>
      </c>
      <c r="Z516" s="455" t="str">
        <f ca="1">IFERROR(_xll.CIQHI(MO.Ticker.CapIQ,"IQ_LASTSALEPRICE",INDEX(MO_SNA_FPStartDate,0,COLUMN()),INDEX(MO_Common_QEndDate,0,COLUMN())),"N/A")</f>
        <v>N/A</v>
      </c>
      <c r="AA516" s="455" t="str">
        <f ca="1">IFERROR(_xll.CIQHI(MO.Ticker.CapIQ,"IQ_LASTSALEPRICE",INDEX(MO_SNA_FPStartDate,0,COLUMN()),INDEX(MO_Common_QEndDate,0,COLUMN())),"N/A")</f>
        <v>N/A</v>
      </c>
      <c r="AB516" s="455" t="str">
        <f ca="1">IFERROR(_xll.CIQHI(MO.Ticker.CapIQ,"IQ_LASTSALEPRICE",INDEX(MO_SNA_FPStartDate,0,COLUMN()),INDEX(MO_Common_QEndDate,0,COLUMN())),"N/A")</f>
        <v>N/A</v>
      </c>
      <c r="AC516" s="455" t="str">
        <f ca="1">IFERROR(_xll.CIQHI(MO.Ticker.CapIQ,"IQ_LASTSALEPRICE",INDEX(MO_SNA_FPStartDate,0,COLUMN()),INDEX(MO_Common_QEndDate,0,COLUMN())),"N/A")</f>
        <v>N/A</v>
      </c>
      <c r="AD516" s="455" t="str">
        <f ca="1">IFERROR(_xll.CIQHI(MO.Ticker.CapIQ,"IQ_LASTSALEPRICE",INDEX(MO_SNA_FPStartDate,0,COLUMN()),INDEX(MO_Common_QEndDate,0,COLUMN())),"N/A")</f>
        <v>N/A</v>
      </c>
      <c r="AE516" s="455" t="str">
        <f ca="1">IFERROR(_xll.CIQHI(MO.Ticker.CapIQ,"IQ_LASTSALEPRICE",INDEX(MO_SNA_FPStartDate,0,COLUMN()),INDEX(MO_Common_QEndDate,0,COLUMN())),"N/A")</f>
        <v>N/A</v>
      </c>
      <c r="AF516" s="455" t="str">
        <f ca="1">IFERROR(_xll.CIQHI(MO.Ticker.CapIQ,"IQ_LASTSALEPRICE",INDEX(MO_SNA_FPStartDate,0,COLUMN()),INDEX(MO_Common_QEndDate,0,COLUMN())),"N/A")</f>
        <v>N/A</v>
      </c>
      <c r="AG516" s="345" t="str">
        <f ca="1">IFERROR(_xll.CIQHI(MO.Ticker.CapIQ,"IQ_LASTSALEPRICE",INDEX(MO_SNA_FPStartDate,0,COLUMN()),INDEX(MO_Common_QEndDate,0,COLUMN())),"N/A")</f>
        <v>N/A</v>
      </c>
      <c r="AH516" s="345" t="str">
        <f ca="1">IFERROR(_xll.CIQHI(MO.Ticker.CapIQ,"IQ_LASTSALEPRICE",INDEX(MO_SNA_FPStartDate,0,COLUMN()),INDEX(MO_Common_QEndDate,0,COLUMN())),"N/A")</f>
        <v>N/A</v>
      </c>
      <c r="AI516" s="345" t="str">
        <f ca="1">IFERROR(_xll.CIQHI(MO.Ticker.CapIQ,"IQ_LASTSALEPRICE",INDEX(MO_SNA_FPStartDate,0,COLUMN()),INDEX(MO_Common_QEndDate,0,COLUMN())),"N/A")</f>
        <v>N/A</v>
      </c>
      <c r="AJ516" s="345" t="str">
        <f ca="1">IFERROR(_xll.CIQHI(MO.Ticker.CapIQ,"IQ_LASTSALEPRICE",INDEX(MO_SNA_FPStartDate,0,COLUMN()),INDEX(MO_Common_QEndDate,0,COLUMN())),"N/A")</f>
        <v>N/A</v>
      </c>
      <c r="AK516" s="345" t="str">
        <f ca="1">IFERROR(_xll.CIQHI(MO.Ticker.CapIQ,"IQ_LASTSALEPRICE",INDEX(MO_SNA_FPStartDate,0,COLUMN()),INDEX(MO_Common_QEndDate,0,COLUMN())),"N/A")</f>
        <v>N/A</v>
      </c>
      <c r="AL516" s="345" t="str">
        <f ca="1">IFERROR(_xll.CIQHI(MO.Ticker.CapIQ,"IQ_LASTSALEPRICE",INDEX(MO_SNA_FPStartDate,0,COLUMN()),INDEX(MO_Common_QEndDate,0,COLUMN())),"N/A")</f>
        <v>N/A</v>
      </c>
      <c r="AM516" s="345"/>
      <c r="AN516" s="455" t="str">
        <f ca="1">IFERROR(_xll.CIQHI(MO.Ticker.CapIQ,"IQ_LASTSALEPRICE",INDEX(MO_SNA_FPStartDate,0,COLUMN()),INDEX(MO_Common_QEndDate,0,COLUMN())),"N/A")</f>
        <v>N/A</v>
      </c>
      <c r="AO516" s="455" t="str">
        <f ca="1">IFERROR(_xll.CIQHI(MO.Ticker.CapIQ,"IQ_LASTSALEPRICE",INDEX(MO_SNA_FPStartDate,0,COLUMN()),INDEX(MO_Common_QEndDate,0,COLUMN())),"N/A")</f>
        <v>N/A</v>
      </c>
      <c r="AP516" s="455" t="str">
        <f ca="1">IFERROR(_xll.CIQHI(MO.Ticker.CapIQ,"IQ_LASTSALEPRICE",INDEX(MO_SNA_FPStartDate,0,COLUMN()),INDEX(MO_Common_QEndDate,0,COLUMN())),"N/A")</f>
        <v>N/A</v>
      </c>
      <c r="AQ516" s="455" t="str">
        <f ca="1">IFERROR(_xll.CIQHI(MO.Ticker.CapIQ,"IQ_LASTSALEPRICE",INDEX(MO_SNA_FPStartDate,0,COLUMN()),INDEX(MO_Common_QEndDate,0,COLUMN())),"N/A")</f>
        <v>N/A</v>
      </c>
      <c r="AR516" s="455" t="str">
        <f ca="1">IFERROR(_xll.CIQHI(MO.Ticker.CapIQ,"IQ_LASTSALEPRICE",INDEX(MO_SNA_FPStartDate,0,COLUMN()),INDEX(MO_Common_QEndDate,0,COLUMN())),"N/A")</f>
        <v>N/A</v>
      </c>
      <c r="AS516" s="455" t="str">
        <f ca="1">IFERROR(_xll.CIQHI(MO.Ticker.CapIQ,"IQ_LASTSALEPRICE",INDEX(MO_SNA_FPStartDate,0,COLUMN()),INDEX(MO_Common_QEndDate,0,COLUMN())),"N/A")</f>
        <v>N/A</v>
      </c>
      <c r="AT516" s="455" t="str">
        <f ca="1">IFERROR(_xll.CIQHI(MO.Ticker.CapIQ,"IQ_LASTSALEPRICE",INDEX(MO_SNA_FPStartDate,0,COLUMN()),INDEX(MO_Common_QEndDate,0,COLUMN())),"N/A")</f>
        <v>N/A</v>
      </c>
      <c r="AU516" s="455" t="str">
        <f ca="1">IFERROR(_xll.CIQHI(MO.Ticker.CapIQ,"IQ_LASTSALEPRICE",INDEX(MO_SNA_FPStartDate,0,COLUMN()),INDEX(MO_Common_QEndDate,0,COLUMN())),"N/A")</f>
        <v>N/A</v>
      </c>
      <c r="AV516" s="455" t="str">
        <f ca="1">IFERROR(_xll.CIQHI(MO.Ticker.CapIQ,"IQ_LASTSALEPRICE",INDEX(MO_SNA_FPStartDate,0,COLUMN()),INDEX(MO_Common_QEndDate,0,COLUMN())),"N/A")</f>
        <v>N/A</v>
      </c>
      <c r="AW516" s="455" t="str">
        <f ca="1">IFERROR(_xll.CIQHI(MO.Ticker.CapIQ,"IQ_LASTSALEPRICE",INDEX(MO_SNA_FPStartDate,0,COLUMN()),INDEX(MO_Common_QEndDate,0,COLUMN())),"N/A")</f>
        <v>N/A</v>
      </c>
      <c r="AX516" s="455" t="str">
        <f ca="1">IFERROR(_xll.CIQHI(MO.Ticker.CapIQ,"IQ_LASTSALEPRICE",INDEX(MO_SNA_FPStartDate,0,COLUMN()),INDEX(MO_Common_QEndDate,0,COLUMN())),"N/A")</f>
        <v>N/A</v>
      </c>
      <c r="AY516" s="345" t="str">
        <f ca="1">IFERROR(_xll.CIQHI(MO.Ticker.CapIQ,"IQ_LASTSALEPRICE",INDEX(MO_SNA_FPStartDate,0,COLUMN()),INDEX(MO_Common_QEndDate,0,COLUMN())),"N/A")</f>
        <v>N/A</v>
      </c>
      <c r="AZ516" s="345" t="str">
        <f ca="1">IFERROR(_xll.CIQHI(MO.Ticker.CapIQ,"IQ_LASTSALEPRICE",INDEX(MO_SNA_FPStartDate,0,COLUMN()),INDEX(MO_Common_QEndDate,0,COLUMN())),"N/A")</f>
        <v>N/A</v>
      </c>
      <c r="BA516" s="345" t="str">
        <f ca="1">IFERROR(_xll.CIQHI(MO.Ticker.CapIQ,"IQ_LASTSALEPRICE",INDEX(MO_SNA_FPStartDate,0,COLUMN()),INDEX(MO_Common_QEndDate,0,COLUMN())),"N/A")</f>
        <v>N/A</v>
      </c>
      <c r="BB516" s="345" t="str">
        <f ca="1">IFERROR(_xll.CIQHI(MO.Ticker.CapIQ,"IQ_LASTSALEPRICE",INDEX(MO_SNA_FPStartDate,0,COLUMN()),INDEX(MO_Common_QEndDate,0,COLUMN())),"N/A")</f>
        <v>N/A</v>
      </c>
      <c r="BC516" s="346" t="str">
        <f ca="1">IFERROR(_xll.CIQHI(MO.Ticker.CapIQ,"IQ_LASTSALEPRICE",INDEX(MO_SNA_FPStartDate,0,COLUMN()),INDEX(MO_Common_QEndDate,0,COLUMN())),"N/A")</f>
        <v>N/A</v>
      </c>
      <c r="BD516" s="347"/>
    </row>
    <row r="517" spans="1:56" s="348" customFormat="1" hidden="1" outlineLevel="1" x14ac:dyDescent="0.25">
      <c r="A517" s="349" t="s">
        <v>283</v>
      </c>
      <c r="B517" s="345"/>
      <c r="C517" s="455" t="str">
        <f ca="1">IFERROR(_xll.FDS(MO.Ticker.FactSet,"P_PRICE_LOW"&amp;"("&amp;INDEX(MO_SNA_FPStartDate,0,COLUMN())&amp;","&amp;INDEX(MO_Common_QEndDate,0,COLUMN())&amp;",,,,""PRICE"",""CLOSE"")"),"N/A")</f>
        <v>N/A</v>
      </c>
      <c r="D517" s="455" t="str">
        <f ca="1">IFERROR(_xll.FDS(MO.Ticker.FactSet,"P_PRICE_LOW"&amp;"("&amp;INDEX(MO_SNA_FPStartDate,0,COLUMN())&amp;","&amp;INDEX(MO_Common_QEndDate,0,COLUMN())&amp;",,,,""PRICE"",""CLOSE"")"),"N/A")</f>
        <v>N/A</v>
      </c>
      <c r="E517" s="455" t="str">
        <f ca="1">IFERROR(_xll.FDS(MO.Ticker.FactSet,"P_PRICE_LOW"&amp;"("&amp;INDEX(MO_SNA_FPStartDate,0,COLUMN())&amp;","&amp;INDEX(MO_Common_QEndDate,0,COLUMN())&amp;",,,,""PRICE"",""CLOSE"")"),"N/A")</f>
        <v>N/A</v>
      </c>
      <c r="F517" s="455" t="str">
        <f ca="1">IFERROR(_xll.FDS(MO.Ticker.FactSet,"P_PRICE_LOW"&amp;"("&amp;INDEX(MO_SNA_FPStartDate,0,COLUMN())&amp;","&amp;INDEX(MO_Common_QEndDate,0,COLUMN())&amp;",,,,""PRICE"",""CLOSE"")"),"N/A")</f>
        <v>N/A</v>
      </c>
      <c r="G517" s="455" t="str">
        <f ca="1">IFERROR(_xll.FDS(MO.Ticker.FactSet,"P_PRICE_LOW"&amp;"("&amp;INDEX(MO_SNA_FPStartDate,0,COLUMN())&amp;","&amp;INDEX(MO_Common_QEndDate,0,COLUMN())&amp;",,,,""PRICE"",""CLOSE"")"),"N/A")</f>
        <v>N/A</v>
      </c>
      <c r="H517" s="455" t="str">
        <f ca="1">IFERROR(_xll.FDS(MO.Ticker.FactSet,"P_PRICE_LOW"&amp;"("&amp;INDEX(MO_SNA_FPStartDate,0,COLUMN())&amp;","&amp;INDEX(MO_Common_QEndDate,0,COLUMN())&amp;",,,,""PRICE"",""CLOSE"")"),"N/A")</f>
        <v>N/A</v>
      </c>
      <c r="I517" s="455" t="str">
        <f ca="1">IFERROR(_xll.FDS(MO.Ticker.FactSet,"P_PRICE_LOW"&amp;"("&amp;INDEX(MO_SNA_FPStartDate,0,COLUMN())&amp;","&amp;INDEX(MO_Common_QEndDate,0,COLUMN())&amp;",,,,""PRICE"",""CLOSE"")"),"N/A")</f>
        <v>N/A</v>
      </c>
      <c r="J517" s="455" t="str">
        <f ca="1">IFERROR(_xll.FDS(MO.Ticker.FactSet,"P_PRICE_LOW"&amp;"("&amp;INDEX(MO_SNA_FPStartDate,0,COLUMN())&amp;","&amp;INDEX(MO_Common_QEndDate,0,COLUMN())&amp;",,,,""PRICE"",""CLOSE"")"),"N/A")</f>
        <v>N/A</v>
      </c>
      <c r="K517" s="455" t="str">
        <f ca="1">IFERROR(_xll.FDS(MO.Ticker.FactSet,"P_PRICE_LOW"&amp;"("&amp;INDEX(MO_SNA_FPStartDate,0,COLUMN())&amp;","&amp;INDEX(MO_Common_QEndDate,0,COLUMN())&amp;",,,,""PRICE"",""CLOSE"")"),"N/A")</f>
        <v>N/A</v>
      </c>
      <c r="L517" s="455" t="str">
        <f ca="1">IFERROR(_xll.FDS(MO.Ticker.FactSet,"P_PRICE_LOW"&amp;"("&amp;INDEX(MO_SNA_FPStartDate,0,COLUMN())&amp;","&amp;INDEX(MO_Common_QEndDate,0,COLUMN())&amp;",,,,""PRICE"",""CLOSE"")"),"N/A")</f>
        <v>N/A</v>
      </c>
      <c r="M517" s="455" t="str">
        <f ca="1">IFERROR(_xll.FDS(MO.Ticker.FactSet,"P_PRICE_LOW"&amp;"("&amp;INDEX(MO_SNA_FPStartDate,0,COLUMN())&amp;","&amp;INDEX(MO_Common_QEndDate,0,COLUMN())&amp;",,,,""PRICE"",""CLOSE"")"),"N/A")</f>
        <v>N/A</v>
      </c>
      <c r="N517" s="455" t="str">
        <f ca="1">IFERROR(_xll.FDS(MO.Ticker.FactSet,"P_PRICE_LOW"&amp;"("&amp;INDEX(MO_SNA_FPStartDate,0,COLUMN())&amp;","&amp;INDEX(MO_Common_QEndDate,0,COLUMN())&amp;",,,,""PRICE"",""CLOSE"")"),"N/A")</f>
        <v>N/A</v>
      </c>
      <c r="O517" s="455" t="str">
        <f ca="1">IFERROR(_xll.FDS(MO.Ticker.FactSet,"P_PRICE_LOW"&amp;"("&amp;INDEX(MO_SNA_FPStartDate,0,COLUMN())&amp;","&amp;INDEX(MO_Common_QEndDate,0,COLUMN())&amp;",,,,""PRICE"",""CLOSE"")"),"N/A")</f>
        <v>N/A</v>
      </c>
      <c r="P517" s="455" t="str">
        <f ca="1">IFERROR(_xll.FDS(MO.Ticker.FactSet,"P_PRICE_LOW"&amp;"("&amp;INDEX(MO_SNA_FPStartDate,0,COLUMN())&amp;","&amp;INDEX(MO_Common_QEndDate,0,COLUMN())&amp;",,,,""PRICE"",""CLOSE"")"),"N/A")</f>
        <v>N/A</v>
      </c>
      <c r="Q517" s="455" t="str">
        <f ca="1">IFERROR(_xll.FDS(MO.Ticker.FactSet,"P_PRICE_LOW"&amp;"("&amp;INDEX(MO_SNA_FPStartDate,0,COLUMN())&amp;","&amp;INDEX(MO_Common_QEndDate,0,COLUMN())&amp;",,,,""PRICE"",""CLOSE"")"),"N/A")</f>
        <v>N/A</v>
      </c>
      <c r="R517" s="455" t="str">
        <f ca="1">IFERROR(_xll.FDS(MO.Ticker.FactSet,"P_PRICE_LOW"&amp;"("&amp;INDEX(MO_SNA_FPStartDate,0,COLUMN())&amp;","&amp;INDEX(MO_Common_QEndDate,0,COLUMN())&amp;",,,,""PRICE"",""CLOSE"")"),"N/A")</f>
        <v>N/A</v>
      </c>
      <c r="S517" s="455" t="str">
        <f ca="1">IFERROR(_xll.FDS(MO.Ticker.FactSet,"P_PRICE_LOW"&amp;"("&amp;INDEX(MO_SNA_FPStartDate,0,COLUMN())&amp;","&amp;INDEX(MO_Common_QEndDate,0,COLUMN())&amp;",,,,""PRICE"",""CLOSE"")"),"N/A")</f>
        <v>N/A</v>
      </c>
      <c r="T517" s="455" t="str">
        <f ca="1">IFERROR(_xll.FDS(MO.Ticker.FactSet,"P_PRICE_LOW"&amp;"("&amp;INDEX(MO_SNA_FPStartDate,0,COLUMN())&amp;","&amp;INDEX(MO_Common_QEndDate,0,COLUMN())&amp;",,,,""PRICE"",""CLOSE"")"),"N/A")</f>
        <v>N/A</v>
      </c>
      <c r="U517" s="455" t="str">
        <f ca="1">IFERROR(_xll.FDS(MO.Ticker.FactSet,"P_PRICE_LOW"&amp;"("&amp;INDEX(MO_SNA_FPStartDate,0,COLUMN())&amp;","&amp;INDEX(MO_Common_QEndDate,0,COLUMN())&amp;",,,,""PRICE"",""CLOSE"")"),"N/A")</f>
        <v>N/A</v>
      </c>
      <c r="V517" s="455" t="str">
        <f ca="1">IFERROR(_xll.FDS(MO.Ticker.FactSet,"P_PRICE_LOW"&amp;"("&amp;INDEX(MO_SNA_FPStartDate,0,COLUMN())&amp;","&amp;INDEX(MO_Common_QEndDate,0,COLUMN())&amp;",,,,""PRICE"",""CLOSE"")"),"N/A")</f>
        <v>N/A</v>
      </c>
      <c r="W517" s="455" t="str">
        <f ca="1">IFERROR(_xll.FDS(MO.Ticker.FactSet,"P_PRICE_LOW"&amp;"("&amp;INDEX(MO_SNA_FPStartDate,0,COLUMN())&amp;","&amp;INDEX(MO_Common_QEndDate,0,COLUMN())&amp;",,,,""PRICE"",""CLOSE"")"),"N/A")</f>
        <v>N/A</v>
      </c>
      <c r="X517" s="455" t="str">
        <f ca="1">IFERROR(_xll.FDS(MO.Ticker.FactSet,"P_PRICE_LOW"&amp;"("&amp;INDEX(MO_SNA_FPStartDate,0,COLUMN())&amp;","&amp;INDEX(MO_Common_QEndDate,0,COLUMN())&amp;",,,,""PRICE"",""CLOSE"")"),"N/A")</f>
        <v>N/A</v>
      </c>
      <c r="Y517" s="455" t="str">
        <f ca="1">IFERROR(_xll.FDS(MO.Ticker.FactSet,"P_PRICE_LOW"&amp;"("&amp;INDEX(MO_SNA_FPStartDate,0,COLUMN())&amp;","&amp;INDEX(MO_Common_QEndDate,0,COLUMN())&amp;",,,,""PRICE"",""CLOSE"")"),"N/A")</f>
        <v>N/A</v>
      </c>
      <c r="Z517" s="455" t="str">
        <f ca="1">IFERROR(_xll.FDS(MO.Ticker.FactSet,"P_PRICE_LOW"&amp;"("&amp;INDEX(MO_SNA_FPStartDate,0,COLUMN())&amp;","&amp;INDEX(MO_Common_QEndDate,0,COLUMN())&amp;",,,,""PRICE"",""CLOSE"")"),"N/A")</f>
        <v>N/A</v>
      </c>
      <c r="AA517" s="455" t="str">
        <f ca="1">IFERROR(_xll.FDS(MO.Ticker.FactSet,"P_PRICE_LOW"&amp;"("&amp;INDEX(MO_SNA_FPStartDate,0,COLUMN())&amp;","&amp;INDEX(MO_Common_QEndDate,0,COLUMN())&amp;",,,,""PRICE"",""CLOSE"")"),"N/A")</f>
        <v>N/A</v>
      </c>
      <c r="AB517" s="455" t="str">
        <f ca="1">IFERROR(_xll.FDS(MO.Ticker.FactSet,"P_PRICE_LOW"&amp;"("&amp;INDEX(MO_SNA_FPStartDate,0,COLUMN())&amp;","&amp;INDEX(MO_Common_QEndDate,0,COLUMN())&amp;",,,,""PRICE"",""CLOSE"")"),"N/A")</f>
        <v>N/A</v>
      </c>
      <c r="AC517" s="455" t="str">
        <f ca="1">IFERROR(_xll.FDS(MO.Ticker.FactSet,"P_PRICE_LOW"&amp;"("&amp;INDEX(MO_SNA_FPStartDate,0,COLUMN())&amp;","&amp;INDEX(MO_Common_QEndDate,0,COLUMN())&amp;",,,,""PRICE"",""CLOSE"")"),"N/A")</f>
        <v>N/A</v>
      </c>
      <c r="AD517" s="455" t="str">
        <f ca="1">IFERROR(_xll.FDS(MO.Ticker.FactSet,"P_PRICE_LOW"&amp;"("&amp;INDEX(MO_SNA_FPStartDate,0,COLUMN())&amp;","&amp;INDEX(MO_Common_QEndDate,0,COLUMN())&amp;",,,,""PRICE"",""CLOSE"")"),"N/A")</f>
        <v>N/A</v>
      </c>
      <c r="AE517" s="455" t="str">
        <f ca="1">IFERROR(_xll.FDS(MO.Ticker.FactSet,"P_PRICE_LOW"&amp;"("&amp;INDEX(MO_SNA_FPStartDate,0,COLUMN())&amp;","&amp;INDEX(MO_Common_QEndDate,0,COLUMN())&amp;",,,,""PRICE"",""CLOSE"")"),"N/A")</f>
        <v>N/A</v>
      </c>
      <c r="AF517" s="455" t="str">
        <f ca="1">IFERROR(_xll.FDS(MO.Ticker.FactSet,"P_PRICE_LOW"&amp;"("&amp;INDEX(MO_SNA_FPStartDate,0,COLUMN())&amp;","&amp;INDEX(MO_Common_QEndDate,0,COLUMN())&amp;",,,,""PRICE"",""CLOSE"")"),"N/A")</f>
        <v>N/A</v>
      </c>
      <c r="AG517" s="345" t="str">
        <f ca="1">IFERROR(_xll.FDS(MO.Ticker.FactSet,"P_PRICE_LOW"&amp;"("&amp;INDEX(MO_SNA_FPStartDate,0,COLUMN())&amp;","&amp;INDEX(MO_Common_QEndDate,0,COLUMN())&amp;",,,,""PRICE"",""CLOSE"")"),"N/A")</f>
        <v>N/A</v>
      </c>
      <c r="AH517" s="345" t="str">
        <f ca="1">IFERROR(_xll.FDS(MO.Ticker.FactSet,"P_PRICE_LOW"&amp;"("&amp;INDEX(MO_SNA_FPStartDate,0,COLUMN())&amp;","&amp;INDEX(MO_Common_QEndDate,0,COLUMN())&amp;",,,,""PRICE"",""CLOSE"")"),"N/A")</f>
        <v>N/A</v>
      </c>
      <c r="AI517" s="345" t="str">
        <f ca="1">IFERROR(_xll.FDS(MO.Ticker.FactSet,"P_PRICE_LOW"&amp;"("&amp;INDEX(MO_SNA_FPStartDate,0,COLUMN())&amp;","&amp;INDEX(MO_Common_QEndDate,0,COLUMN())&amp;",,,,""PRICE"",""CLOSE"")"),"N/A")</f>
        <v>N/A</v>
      </c>
      <c r="AJ517" s="345" t="str">
        <f ca="1">IFERROR(_xll.FDS(MO.Ticker.FactSet,"P_PRICE_LOW"&amp;"("&amp;INDEX(MO_SNA_FPStartDate,0,COLUMN())&amp;","&amp;INDEX(MO_Common_QEndDate,0,COLUMN())&amp;",,,,""PRICE"",""CLOSE"")"),"N/A")</f>
        <v>N/A</v>
      </c>
      <c r="AK517" s="345" t="str">
        <f ca="1">IFERROR(_xll.FDS(MO.Ticker.FactSet,"P_PRICE_LOW"&amp;"("&amp;INDEX(MO_SNA_FPStartDate,0,COLUMN())&amp;","&amp;INDEX(MO_Common_QEndDate,0,COLUMN())&amp;",,,,""PRICE"",""CLOSE"")"),"N/A")</f>
        <v>N/A</v>
      </c>
      <c r="AL517" s="345" t="str">
        <f ca="1">IFERROR(_xll.FDS(MO.Ticker.FactSet,"P_PRICE_LOW"&amp;"("&amp;INDEX(MO_SNA_FPStartDate,0,COLUMN())&amp;","&amp;INDEX(MO_Common_QEndDate,0,COLUMN())&amp;",,,,""PRICE"",""CLOSE"")"),"N/A")</f>
        <v>N/A</v>
      </c>
      <c r="AM517" s="345"/>
      <c r="AN517" s="455" t="str">
        <f ca="1">IFERROR(_xll.FDS(MO.Ticker.FactSet,"P_PRICE_LOW"&amp;"("&amp;INDEX(MO_SNA_FPStartDate,0,COLUMN())&amp;","&amp;INDEX(MO_Common_QEndDate,0,COLUMN())&amp;",,,,""PRICE"",""CLOSE"")"),"N/A")</f>
        <v>N/A</v>
      </c>
      <c r="AO517" s="455" t="str">
        <f ca="1">IFERROR(_xll.FDS(MO.Ticker.FactSet,"P_PRICE_LOW"&amp;"("&amp;INDEX(MO_SNA_FPStartDate,0,COLUMN())&amp;","&amp;INDEX(MO_Common_QEndDate,0,COLUMN())&amp;",,,,""PRICE"",""CLOSE"")"),"N/A")</f>
        <v>N/A</v>
      </c>
      <c r="AP517" s="455" t="str">
        <f ca="1">IFERROR(_xll.FDS(MO.Ticker.FactSet,"P_PRICE_LOW"&amp;"("&amp;INDEX(MO_SNA_FPStartDate,0,COLUMN())&amp;","&amp;INDEX(MO_Common_QEndDate,0,COLUMN())&amp;",,,,""PRICE"",""CLOSE"")"),"N/A")</f>
        <v>N/A</v>
      </c>
      <c r="AQ517" s="455" t="str">
        <f ca="1">IFERROR(_xll.FDS(MO.Ticker.FactSet,"P_PRICE_LOW"&amp;"("&amp;INDEX(MO_SNA_FPStartDate,0,COLUMN())&amp;","&amp;INDEX(MO_Common_QEndDate,0,COLUMN())&amp;",,,,""PRICE"",""CLOSE"")"),"N/A")</f>
        <v>N/A</v>
      </c>
      <c r="AR517" s="455" t="str">
        <f ca="1">IFERROR(_xll.FDS(MO.Ticker.FactSet,"P_PRICE_LOW"&amp;"("&amp;INDEX(MO_SNA_FPStartDate,0,COLUMN())&amp;","&amp;INDEX(MO_Common_QEndDate,0,COLUMN())&amp;",,,,""PRICE"",""CLOSE"")"),"N/A")</f>
        <v>N/A</v>
      </c>
      <c r="AS517" s="455" t="str">
        <f ca="1">IFERROR(_xll.FDS(MO.Ticker.FactSet,"P_PRICE_LOW"&amp;"("&amp;INDEX(MO_SNA_FPStartDate,0,COLUMN())&amp;","&amp;INDEX(MO_Common_QEndDate,0,COLUMN())&amp;",,,,""PRICE"",""CLOSE"")"),"N/A")</f>
        <v>N/A</v>
      </c>
      <c r="AT517" s="455" t="str">
        <f ca="1">IFERROR(_xll.FDS(MO.Ticker.FactSet,"P_PRICE_LOW"&amp;"("&amp;INDEX(MO_SNA_FPStartDate,0,COLUMN())&amp;","&amp;INDEX(MO_Common_QEndDate,0,COLUMN())&amp;",,,,""PRICE"",""CLOSE"")"),"N/A")</f>
        <v>N/A</v>
      </c>
      <c r="AU517" s="455" t="str">
        <f ca="1">IFERROR(_xll.FDS(MO.Ticker.FactSet,"P_PRICE_LOW"&amp;"("&amp;INDEX(MO_SNA_FPStartDate,0,COLUMN())&amp;","&amp;INDEX(MO_Common_QEndDate,0,COLUMN())&amp;",,,,""PRICE"",""CLOSE"")"),"N/A")</f>
        <v>N/A</v>
      </c>
      <c r="AV517" s="455" t="str">
        <f ca="1">IFERROR(_xll.FDS(MO.Ticker.FactSet,"P_PRICE_LOW"&amp;"("&amp;INDEX(MO_SNA_FPStartDate,0,COLUMN())&amp;","&amp;INDEX(MO_Common_QEndDate,0,COLUMN())&amp;",,,,""PRICE"",""CLOSE"")"),"N/A")</f>
        <v>N/A</v>
      </c>
      <c r="AW517" s="455" t="str">
        <f ca="1">IFERROR(_xll.FDS(MO.Ticker.FactSet,"P_PRICE_LOW"&amp;"("&amp;INDEX(MO_SNA_FPStartDate,0,COLUMN())&amp;","&amp;INDEX(MO_Common_QEndDate,0,COLUMN())&amp;",,,,""PRICE"",""CLOSE"")"),"N/A")</f>
        <v>N/A</v>
      </c>
      <c r="AX517" s="455" t="str">
        <f ca="1">IFERROR(_xll.FDS(MO.Ticker.FactSet,"P_PRICE_LOW"&amp;"("&amp;INDEX(MO_SNA_FPStartDate,0,COLUMN())&amp;","&amp;INDEX(MO_Common_QEndDate,0,COLUMN())&amp;",,,,""PRICE"",""CLOSE"")"),"N/A")</f>
        <v>N/A</v>
      </c>
      <c r="AY517" s="345" t="str">
        <f ca="1">IFERROR(_xll.FDS(MO.Ticker.FactSet,"P_PRICE_LOW"&amp;"("&amp;INDEX(MO_SNA_FPStartDate,0,COLUMN())&amp;","&amp;INDEX(MO_Common_QEndDate,0,COLUMN())&amp;",,,,""PRICE"",""CLOSE"")"),"N/A")</f>
        <v>N/A</v>
      </c>
      <c r="AZ517" s="345" t="str">
        <f ca="1">IFERROR(_xll.FDS(MO.Ticker.FactSet,"P_PRICE_LOW"&amp;"("&amp;INDEX(MO_SNA_FPStartDate,0,COLUMN())&amp;","&amp;INDEX(MO_Common_QEndDate,0,COLUMN())&amp;",,,,""PRICE"",""CLOSE"")"),"N/A")</f>
        <v>N/A</v>
      </c>
      <c r="BA517" s="345" t="str">
        <f ca="1">IFERROR(_xll.FDS(MO.Ticker.FactSet,"P_PRICE_LOW"&amp;"("&amp;INDEX(MO_SNA_FPStartDate,0,COLUMN())&amp;","&amp;INDEX(MO_Common_QEndDate,0,COLUMN())&amp;",,,,""PRICE"",""CLOSE"")"),"N/A")</f>
        <v>N/A</v>
      </c>
      <c r="BB517" s="345" t="str">
        <f ca="1">IFERROR(_xll.FDS(MO.Ticker.FactSet,"P_PRICE_LOW"&amp;"("&amp;INDEX(MO_SNA_FPStartDate,0,COLUMN())&amp;","&amp;INDEX(MO_Common_QEndDate,0,COLUMN())&amp;",,,,""PRICE"",""CLOSE"")"),"N/A")</f>
        <v>N/A</v>
      </c>
      <c r="BC517" s="346" t="str">
        <f ca="1">IFERROR(_xll.FDS(MO.Ticker.FactSet,"P_PRICE_LOW"&amp;"("&amp;INDEX(MO_SNA_FPStartDate,0,COLUMN())&amp;","&amp;INDEX(MO_Common_QEndDate,0,COLUMN())&amp;",,,,""PRICE"",""CLOSE"")"),"N/A")</f>
        <v>N/A</v>
      </c>
      <c r="BD517" s="347"/>
    </row>
    <row r="518" spans="1:56" s="348" customFormat="1" hidden="1" outlineLevel="1" x14ac:dyDescent="0.25">
      <c r="A518" s="349" t="s">
        <v>284</v>
      </c>
      <c r="B518" s="345"/>
      <c r="C518" s="455" t="str">
        <f ca="1">IFERROR(_xll.TR(MO.Ticker.Thomson,"Min(TR.PriceLow)","sdate:#1 edate:#2",,INDEX(MO_SNA_FPStartDate,0,COLUMN()),INDEX(MO_Common_QEndDate,0,COLUMN())),"N/A")</f>
        <v>N/A</v>
      </c>
      <c r="D518" s="455" t="str">
        <f ca="1">IFERROR(_xll.TR(MO.Ticker.Thomson,"Min(TR.PriceLow)","sdate:#1 edate:#2",,INDEX(MO_SNA_FPStartDate,0,COLUMN()),INDEX(MO_Common_QEndDate,0,COLUMN())),"N/A")</f>
        <v>N/A</v>
      </c>
      <c r="E518" s="455" t="str">
        <f ca="1">IFERROR(_xll.TR(MO.Ticker.Thomson,"Min(TR.PriceLow)","sdate:#1 edate:#2",,INDEX(MO_SNA_FPStartDate,0,COLUMN()),INDEX(MO_Common_QEndDate,0,COLUMN())),"N/A")</f>
        <v>N/A</v>
      </c>
      <c r="F518" s="455" t="str">
        <f ca="1">IFERROR(_xll.TR(MO.Ticker.Thomson,"Min(TR.PriceLow)","sdate:#1 edate:#2",,INDEX(MO_SNA_FPStartDate,0,COLUMN()),INDEX(MO_Common_QEndDate,0,COLUMN())),"N/A")</f>
        <v>N/A</v>
      </c>
      <c r="G518" s="455" t="str">
        <f ca="1">IFERROR(_xll.TR(MO.Ticker.Thomson,"Min(TR.PriceLow)","sdate:#1 edate:#2",,INDEX(MO_SNA_FPStartDate,0,COLUMN()),INDEX(MO_Common_QEndDate,0,COLUMN())),"N/A")</f>
        <v>N/A</v>
      </c>
      <c r="H518" s="455" t="str">
        <f ca="1">IFERROR(_xll.TR(MO.Ticker.Thomson,"Min(TR.PriceLow)","sdate:#1 edate:#2",,INDEX(MO_SNA_FPStartDate,0,COLUMN()),INDEX(MO_Common_QEndDate,0,COLUMN())),"N/A")</f>
        <v>N/A</v>
      </c>
      <c r="I518" s="455" t="str">
        <f ca="1">IFERROR(_xll.TR(MO.Ticker.Thomson,"Min(TR.PriceLow)","sdate:#1 edate:#2",,INDEX(MO_SNA_FPStartDate,0,COLUMN()),INDEX(MO_Common_QEndDate,0,COLUMN())),"N/A")</f>
        <v>N/A</v>
      </c>
      <c r="J518" s="455" t="str">
        <f ca="1">IFERROR(_xll.TR(MO.Ticker.Thomson,"Min(TR.PriceLow)","sdate:#1 edate:#2",,INDEX(MO_SNA_FPStartDate,0,COLUMN()),INDEX(MO_Common_QEndDate,0,COLUMN())),"N/A")</f>
        <v>N/A</v>
      </c>
      <c r="K518" s="455" t="str">
        <f ca="1">IFERROR(_xll.TR(MO.Ticker.Thomson,"Min(TR.PriceLow)","sdate:#1 edate:#2",,INDEX(MO_SNA_FPStartDate,0,COLUMN()),INDEX(MO_Common_QEndDate,0,COLUMN())),"N/A")</f>
        <v>N/A</v>
      </c>
      <c r="L518" s="455" t="str">
        <f ca="1">IFERROR(_xll.TR(MO.Ticker.Thomson,"Min(TR.PriceLow)","sdate:#1 edate:#2",,INDEX(MO_SNA_FPStartDate,0,COLUMN()),INDEX(MO_Common_QEndDate,0,COLUMN())),"N/A")</f>
        <v>N/A</v>
      </c>
      <c r="M518" s="455" t="str">
        <f ca="1">IFERROR(_xll.TR(MO.Ticker.Thomson,"Min(TR.PriceLow)","sdate:#1 edate:#2",,INDEX(MO_SNA_FPStartDate,0,COLUMN()),INDEX(MO_Common_QEndDate,0,COLUMN())),"N/A")</f>
        <v>N/A</v>
      </c>
      <c r="N518" s="455" t="str">
        <f ca="1">IFERROR(_xll.TR(MO.Ticker.Thomson,"Min(TR.PriceLow)","sdate:#1 edate:#2",,INDEX(MO_SNA_FPStartDate,0,COLUMN()),INDEX(MO_Common_QEndDate,0,COLUMN())),"N/A")</f>
        <v>N/A</v>
      </c>
      <c r="O518" s="455" t="str">
        <f ca="1">IFERROR(_xll.TR(MO.Ticker.Thomson,"Min(TR.PriceLow)","sdate:#1 edate:#2",,INDEX(MO_SNA_FPStartDate,0,COLUMN()),INDEX(MO_Common_QEndDate,0,COLUMN())),"N/A")</f>
        <v>N/A</v>
      </c>
      <c r="P518" s="455" t="str">
        <f ca="1">IFERROR(_xll.TR(MO.Ticker.Thomson,"Min(TR.PriceLow)","sdate:#1 edate:#2",,INDEX(MO_SNA_FPStartDate,0,COLUMN()),INDEX(MO_Common_QEndDate,0,COLUMN())),"N/A")</f>
        <v>N/A</v>
      </c>
      <c r="Q518" s="455" t="str">
        <f ca="1">IFERROR(_xll.TR(MO.Ticker.Thomson,"Min(TR.PriceLow)","sdate:#1 edate:#2",,INDEX(MO_SNA_FPStartDate,0,COLUMN()),INDEX(MO_Common_QEndDate,0,COLUMN())),"N/A")</f>
        <v>N/A</v>
      </c>
      <c r="R518" s="455" t="str">
        <f ca="1">IFERROR(_xll.TR(MO.Ticker.Thomson,"Min(TR.PriceLow)","sdate:#1 edate:#2",,INDEX(MO_SNA_FPStartDate,0,COLUMN()),INDEX(MO_Common_QEndDate,0,COLUMN())),"N/A")</f>
        <v>N/A</v>
      </c>
      <c r="S518" s="455" t="str">
        <f ca="1">IFERROR(_xll.TR(MO.Ticker.Thomson,"Min(TR.PriceLow)","sdate:#1 edate:#2",,INDEX(MO_SNA_FPStartDate,0,COLUMN()),INDEX(MO_Common_QEndDate,0,COLUMN())),"N/A")</f>
        <v>N/A</v>
      </c>
      <c r="T518" s="455" t="str">
        <f ca="1">IFERROR(_xll.TR(MO.Ticker.Thomson,"Min(TR.PriceLow)","sdate:#1 edate:#2",,INDEX(MO_SNA_FPStartDate,0,COLUMN()),INDEX(MO_Common_QEndDate,0,COLUMN())),"N/A")</f>
        <v>N/A</v>
      </c>
      <c r="U518" s="455" t="str">
        <f ca="1">IFERROR(_xll.TR(MO.Ticker.Thomson,"Min(TR.PriceLow)","sdate:#1 edate:#2",,INDEX(MO_SNA_FPStartDate,0,COLUMN()),INDEX(MO_Common_QEndDate,0,COLUMN())),"N/A")</f>
        <v>N/A</v>
      </c>
      <c r="V518" s="455" t="str">
        <f ca="1">IFERROR(_xll.TR(MO.Ticker.Thomson,"Min(TR.PriceLow)","sdate:#1 edate:#2",,INDEX(MO_SNA_FPStartDate,0,COLUMN()),INDEX(MO_Common_QEndDate,0,COLUMN())),"N/A")</f>
        <v>N/A</v>
      </c>
      <c r="W518" s="455" t="str">
        <f ca="1">IFERROR(_xll.TR(MO.Ticker.Thomson,"Min(TR.PriceLow)","sdate:#1 edate:#2",,INDEX(MO_SNA_FPStartDate,0,COLUMN()),INDEX(MO_Common_QEndDate,0,COLUMN())),"N/A")</f>
        <v>N/A</v>
      </c>
      <c r="X518" s="455" t="str">
        <f ca="1">IFERROR(_xll.TR(MO.Ticker.Thomson,"Min(TR.PriceLow)","sdate:#1 edate:#2",,INDEX(MO_SNA_FPStartDate,0,COLUMN()),INDEX(MO_Common_QEndDate,0,COLUMN())),"N/A")</f>
        <v>N/A</v>
      </c>
      <c r="Y518" s="455" t="str">
        <f ca="1">IFERROR(_xll.TR(MO.Ticker.Thomson,"Min(TR.PriceLow)","sdate:#1 edate:#2",,INDEX(MO_SNA_FPStartDate,0,COLUMN()),INDEX(MO_Common_QEndDate,0,COLUMN())),"N/A")</f>
        <v>N/A</v>
      </c>
      <c r="Z518" s="455" t="str">
        <f ca="1">IFERROR(_xll.TR(MO.Ticker.Thomson,"Min(TR.PriceLow)","sdate:#1 edate:#2",,INDEX(MO_SNA_FPStartDate,0,COLUMN()),INDEX(MO_Common_QEndDate,0,COLUMN())),"N/A")</f>
        <v>N/A</v>
      </c>
      <c r="AA518" s="455" t="str">
        <f ca="1">IFERROR(_xll.TR(MO.Ticker.Thomson,"Min(TR.PriceLow)","sdate:#1 edate:#2",,INDEX(MO_SNA_FPStartDate,0,COLUMN()),INDEX(MO_Common_QEndDate,0,COLUMN())),"N/A")</f>
        <v>N/A</v>
      </c>
      <c r="AB518" s="455" t="str">
        <f ca="1">IFERROR(_xll.TR(MO.Ticker.Thomson,"Min(TR.PriceLow)","sdate:#1 edate:#2",,INDEX(MO_SNA_FPStartDate,0,COLUMN()),INDEX(MO_Common_QEndDate,0,COLUMN())),"N/A")</f>
        <v>N/A</v>
      </c>
      <c r="AC518" s="455" t="str">
        <f ca="1">IFERROR(_xll.TR(MO.Ticker.Thomson,"Min(TR.PriceLow)","sdate:#1 edate:#2",,INDEX(MO_SNA_FPStartDate,0,COLUMN()),INDEX(MO_Common_QEndDate,0,COLUMN())),"N/A")</f>
        <v>N/A</v>
      </c>
      <c r="AD518" s="455" t="str">
        <f ca="1">IFERROR(_xll.TR(MO.Ticker.Thomson,"Min(TR.PriceLow)","sdate:#1 edate:#2",,INDEX(MO_SNA_FPStartDate,0,COLUMN()),INDEX(MO_Common_QEndDate,0,COLUMN())),"N/A")</f>
        <v>N/A</v>
      </c>
      <c r="AE518" s="455" t="str">
        <f ca="1">IFERROR(_xll.TR(MO.Ticker.Thomson,"Min(TR.PriceLow)","sdate:#1 edate:#2",,INDEX(MO_SNA_FPStartDate,0,COLUMN()),INDEX(MO_Common_QEndDate,0,COLUMN())),"N/A")</f>
        <v>N/A</v>
      </c>
      <c r="AF518" s="455" t="str">
        <f ca="1">IFERROR(_xll.TR(MO.Ticker.Thomson,"Min(TR.PriceLow)","sdate:#1 edate:#2",,INDEX(MO_SNA_FPStartDate,0,COLUMN()),INDEX(MO_Common_QEndDate,0,COLUMN())),"N/A")</f>
        <v>N/A</v>
      </c>
      <c r="AG518" s="345" t="str">
        <f ca="1">IFERROR(_xll.TR(MO.Ticker.Thomson,"Min(TR.PriceLow)","sdate:#1 edate:#2",,INDEX(MO_SNA_FPStartDate,0,COLUMN()),INDEX(MO_Common_QEndDate,0,COLUMN())),"N/A")</f>
        <v>N/A</v>
      </c>
      <c r="AH518" s="345" t="str">
        <f ca="1">IFERROR(_xll.TR(MO.Ticker.Thomson,"Min(TR.PriceLow)","sdate:#1 edate:#2",,INDEX(MO_SNA_FPStartDate,0,COLUMN()),INDEX(MO_Common_QEndDate,0,COLUMN())),"N/A")</f>
        <v>N/A</v>
      </c>
      <c r="AI518" s="345" t="str">
        <f ca="1">IFERROR(_xll.TR(MO.Ticker.Thomson,"Min(TR.PriceLow)","sdate:#1 edate:#2",,INDEX(MO_SNA_FPStartDate,0,COLUMN()),INDEX(MO_Common_QEndDate,0,COLUMN())),"N/A")</f>
        <v>N/A</v>
      </c>
      <c r="AJ518" s="345" t="str">
        <f ca="1">IFERROR(_xll.TR(MO.Ticker.Thomson,"Min(TR.PriceLow)","sdate:#1 edate:#2",,INDEX(MO_SNA_FPStartDate,0,COLUMN()),INDEX(MO_Common_QEndDate,0,COLUMN())),"N/A")</f>
        <v>N/A</v>
      </c>
      <c r="AK518" s="345" t="str">
        <f ca="1">IFERROR(_xll.TR(MO.Ticker.Thomson,"Min(TR.PriceLow)","sdate:#1 edate:#2",,INDEX(MO_SNA_FPStartDate,0,COLUMN()),INDEX(MO_Common_QEndDate,0,COLUMN())),"N/A")</f>
        <v>N/A</v>
      </c>
      <c r="AL518" s="345" t="str">
        <f ca="1">IFERROR(_xll.TR(MO.Ticker.Thomson,"Min(TR.PriceLow)","sdate:#1 edate:#2",,INDEX(MO_SNA_FPStartDate,0,COLUMN()),INDEX(MO_Common_QEndDate,0,COLUMN())),"N/A")</f>
        <v>N/A</v>
      </c>
      <c r="AM518" s="345"/>
      <c r="AN518" s="455" t="str">
        <f ca="1">IFERROR(_xll.TR(MO.Ticker.Thomson,"Min(TR.PriceLow)","sdate:#1 edate:#2",,INDEX(MO_SNA_FPStartDate,0,COLUMN()),INDEX(MO_Common_QEndDate,0,COLUMN())),"N/A")</f>
        <v>N/A</v>
      </c>
      <c r="AO518" s="455" t="str">
        <f ca="1">IFERROR(_xll.TR(MO.Ticker.Thomson,"Min(TR.PriceLow)","sdate:#1 edate:#2",,INDEX(MO_SNA_FPStartDate,0,COLUMN()),INDEX(MO_Common_QEndDate,0,COLUMN())),"N/A")</f>
        <v>N/A</v>
      </c>
      <c r="AP518" s="455" t="str">
        <f ca="1">IFERROR(_xll.TR(MO.Ticker.Thomson,"Min(TR.PriceLow)","sdate:#1 edate:#2",,INDEX(MO_SNA_FPStartDate,0,COLUMN()),INDEX(MO_Common_QEndDate,0,COLUMN())),"N/A")</f>
        <v>N/A</v>
      </c>
      <c r="AQ518" s="455" t="str">
        <f ca="1">IFERROR(_xll.TR(MO.Ticker.Thomson,"Min(TR.PriceLow)","sdate:#1 edate:#2",,INDEX(MO_SNA_FPStartDate,0,COLUMN()),INDEX(MO_Common_QEndDate,0,COLUMN())),"N/A")</f>
        <v>N/A</v>
      </c>
      <c r="AR518" s="455" t="str">
        <f ca="1">IFERROR(_xll.TR(MO.Ticker.Thomson,"Min(TR.PriceLow)","sdate:#1 edate:#2",,INDEX(MO_SNA_FPStartDate,0,COLUMN()),INDEX(MO_Common_QEndDate,0,COLUMN())),"N/A")</f>
        <v>N/A</v>
      </c>
      <c r="AS518" s="455" t="str">
        <f ca="1">IFERROR(_xll.TR(MO.Ticker.Thomson,"Min(TR.PriceLow)","sdate:#1 edate:#2",,INDEX(MO_SNA_FPStartDate,0,COLUMN()),INDEX(MO_Common_QEndDate,0,COLUMN())),"N/A")</f>
        <v>N/A</v>
      </c>
      <c r="AT518" s="455" t="str">
        <f ca="1">IFERROR(_xll.TR(MO.Ticker.Thomson,"Min(TR.PriceLow)","sdate:#1 edate:#2",,INDEX(MO_SNA_FPStartDate,0,COLUMN()),INDEX(MO_Common_QEndDate,0,COLUMN())),"N/A")</f>
        <v>N/A</v>
      </c>
      <c r="AU518" s="455" t="str">
        <f ca="1">IFERROR(_xll.TR(MO.Ticker.Thomson,"Min(TR.PriceLow)","sdate:#1 edate:#2",,INDEX(MO_SNA_FPStartDate,0,COLUMN()),INDEX(MO_Common_QEndDate,0,COLUMN())),"N/A")</f>
        <v>N/A</v>
      </c>
      <c r="AV518" s="455" t="str">
        <f ca="1">IFERROR(_xll.TR(MO.Ticker.Thomson,"Min(TR.PriceLow)","sdate:#1 edate:#2",,INDEX(MO_SNA_FPStartDate,0,COLUMN()),INDEX(MO_Common_QEndDate,0,COLUMN())),"N/A")</f>
        <v>N/A</v>
      </c>
      <c r="AW518" s="455" t="str">
        <f ca="1">IFERROR(_xll.TR(MO.Ticker.Thomson,"Min(TR.PriceLow)","sdate:#1 edate:#2",,INDEX(MO_SNA_FPStartDate,0,COLUMN()),INDEX(MO_Common_QEndDate,0,COLUMN())),"N/A")</f>
        <v>N/A</v>
      </c>
      <c r="AX518" s="455" t="str">
        <f ca="1">IFERROR(_xll.TR(MO.Ticker.Thomson,"Min(TR.PriceLow)","sdate:#1 edate:#2",,INDEX(MO_SNA_FPStartDate,0,COLUMN()),INDEX(MO_Common_QEndDate,0,COLUMN())),"N/A")</f>
        <v>N/A</v>
      </c>
      <c r="AY518" s="345" t="str">
        <f ca="1">IFERROR(_xll.TR(MO.Ticker.Thomson,"Min(TR.PriceLow)","sdate:#1 edate:#2",,INDEX(MO_SNA_FPStartDate,0,COLUMN()),INDEX(MO_Common_QEndDate,0,COLUMN())),"N/A")</f>
        <v>N/A</v>
      </c>
      <c r="AZ518" s="345" t="str">
        <f ca="1">IFERROR(_xll.TR(MO.Ticker.Thomson,"Min(TR.PriceLow)","sdate:#1 edate:#2",,INDEX(MO_SNA_FPStartDate,0,COLUMN()),INDEX(MO_Common_QEndDate,0,COLUMN())),"N/A")</f>
        <v>N/A</v>
      </c>
      <c r="BA518" s="345" t="str">
        <f ca="1">IFERROR(_xll.TR(MO.Ticker.Thomson,"Min(TR.PriceLow)","sdate:#1 edate:#2",,INDEX(MO_SNA_FPStartDate,0,COLUMN()),INDEX(MO_Common_QEndDate,0,COLUMN())),"N/A")</f>
        <v>N/A</v>
      </c>
      <c r="BB518" s="345" t="str">
        <f ca="1">IFERROR(_xll.TR(MO.Ticker.Thomson,"Min(TR.PriceLow)","sdate:#1 edate:#2",,INDEX(MO_SNA_FPStartDate,0,COLUMN()),INDEX(MO_Common_QEndDate,0,COLUMN())),"N/A")</f>
        <v>N/A</v>
      </c>
      <c r="BC518" s="346" t="str">
        <f ca="1">IFERROR(_xll.TR(MO.Ticker.Thomson,"Min(TR.PriceLow)","sdate:#1 edate:#2",,INDEX(MO_SNA_FPStartDate,0,COLUMN()),INDEX(MO_Common_QEndDate,0,COLUMN())),"N/A")</f>
        <v>N/A</v>
      </c>
      <c r="BD518" s="347"/>
    </row>
    <row r="519" spans="1:56" hidden="1" outlineLevel="1" x14ac:dyDescent="0.25">
      <c r="A519" s="336"/>
      <c r="B519" s="335"/>
      <c r="C519" s="453"/>
      <c r="D519" s="453"/>
      <c r="E519" s="453"/>
      <c r="F519" s="453"/>
      <c r="G519" s="453"/>
      <c r="H519" s="453"/>
      <c r="I519" s="453"/>
      <c r="J519" s="453"/>
      <c r="K519" s="453"/>
      <c r="L519" s="453"/>
      <c r="M519" s="453"/>
      <c r="N519" s="453"/>
      <c r="O519" s="453"/>
      <c r="P519" s="453"/>
      <c r="Q519" s="453"/>
      <c r="R519" s="453"/>
      <c r="S519" s="453"/>
      <c r="T519" s="453"/>
      <c r="U519" s="453"/>
      <c r="V519" s="453"/>
      <c r="W519" s="453"/>
      <c r="X519" s="453"/>
      <c r="Y519" s="453"/>
      <c r="Z519" s="453"/>
      <c r="AA519" s="453"/>
      <c r="AB519" s="453"/>
      <c r="AC519" s="453"/>
      <c r="AD519" s="453"/>
      <c r="AE519" s="453"/>
      <c r="AF519" s="453"/>
      <c r="AG519" s="335"/>
      <c r="AH519" s="335"/>
      <c r="AI519" s="335"/>
      <c r="AJ519" s="335"/>
      <c r="AK519" s="335"/>
      <c r="AL519" s="335"/>
      <c r="AM519" s="335"/>
      <c r="AN519" s="453"/>
      <c r="AO519" s="453"/>
      <c r="AP519" s="453"/>
      <c r="AQ519" s="453"/>
      <c r="AR519" s="453"/>
      <c r="AS519" s="453"/>
      <c r="AT519" s="453"/>
      <c r="AU519" s="453"/>
      <c r="AV519" s="453"/>
      <c r="AW519" s="453"/>
      <c r="AX519" s="453"/>
      <c r="AY519" s="335"/>
      <c r="AZ519" s="335"/>
      <c r="BA519" s="335"/>
      <c r="BB519" s="335"/>
      <c r="BC519" s="337"/>
      <c r="BD519" s="285"/>
    </row>
    <row r="520" spans="1:56" s="348" customFormat="1" collapsed="1" x14ac:dyDescent="0.25">
      <c r="A520" s="344" t="str">
        <f ca="1">"Stock Average: "&amp;IF(OR(MO.RealTimeStockPriceToggle=FALSE,VLOOKUP(MO.DataSourceName,MO_SPT_StockAverage_Sources,COLUMN()+2,FALSE)="N/A"),"Real-Time Off Source",MO.DataSourceName)</f>
        <v>Stock Average: Real-Time Off Source</v>
      </c>
      <c r="B520" s="345"/>
      <c r="C520" s="455">
        <f t="shared" ref="C520:AL520" ca="1" si="492">IF(OR(MO.RealTimeStockPriceToggle=FALSE,VLOOKUP(MO.DataSourceName,MO_SPT_StockAverage_Sources,COLUMN(),FALSE)="N/A"),VLOOKUP("Real-Time Off Source",MO_SPT_StockAverage_Sources,COLUMN(),FALSE),VLOOKUP(MO.DataSourceName,MO_SPT_StockAverage_Sources,COLUMN(),FALSE))</f>
        <v>22.085000000000001</v>
      </c>
      <c r="D520" s="455">
        <f t="shared" ca="1" si="492"/>
        <v>23.125</v>
      </c>
      <c r="E520" s="455">
        <f t="shared" ca="1" si="492"/>
        <v>25.465</v>
      </c>
      <c r="F520" s="455">
        <f t="shared" ca="1" si="492"/>
        <v>27.745000000000001</v>
      </c>
      <c r="G520" s="455">
        <f t="shared" ca="1" si="492"/>
        <v>28.07</v>
      </c>
      <c r="H520" s="455">
        <f t="shared" ca="1" si="492"/>
        <v>25.83</v>
      </c>
      <c r="I520" s="455">
        <f t="shared" ca="1" si="492"/>
        <v>26.21</v>
      </c>
      <c r="J520" s="455">
        <f t="shared" ca="1" si="492"/>
        <v>30.87</v>
      </c>
      <c r="K520" s="455">
        <f t="shared" ca="1" si="492"/>
        <v>29.43</v>
      </c>
      <c r="L520" s="455">
        <f t="shared" ca="1" si="492"/>
        <v>33.615000000000002</v>
      </c>
      <c r="M520" s="455">
        <f t="shared" ca="1" si="492"/>
        <v>28.73</v>
      </c>
      <c r="N520" s="455">
        <f t="shared" ca="1" si="492"/>
        <v>25.58</v>
      </c>
      <c r="O520" s="455">
        <f t="shared" ca="1" si="492"/>
        <v>24.875</v>
      </c>
      <c r="P520" s="455">
        <f t="shared" ca="1" si="492"/>
        <v>23.71</v>
      </c>
      <c r="Q520" s="455">
        <f t="shared" ca="1" si="492"/>
        <v>22.545000000000002</v>
      </c>
      <c r="R520" s="455">
        <f t="shared" ca="1" si="492"/>
        <v>26.875</v>
      </c>
      <c r="S520" s="455">
        <f t="shared" ca="1" si="492"/>
        <v>26.175000000000001</v>
      </c>
      <c r="T520" s="455">
        <f t="shared" ca="1" si="492"/>
        <v>25.675000000000001</v>
      </c>
      <c r="U520" s="455">
        <f t="shared" ca="1" si="492"/>
        <v>28.5</v>
      </c>
      <c r="V520" s="455">
        <f t="shared" ca="1" si="492"/>
        <v>26.774999999999999</v>
      </c>
      <c r="W520" s="455">
        <f t="shared" ca="1" si="492"/>
        <v>23.4155737704918</v>
      </c>
      <c r="X520" s="455">
        <f t="shared" ca="1" si="492"/>
        <v>20.366250000000001</v>
      </c>
      <c r="Y520" s="455">
        <f t="shared" ca="1" si="492"/>
        <v>18.4206349206349</v>
      </c>
      <c r="Z520" s="455">
        <f t="shared" ca="1" si="492"/>
        <v>14.2795238095238</v>
      </c>
      <c r="AA520" s="455">
        <f t="shared" ca="1" si="492"/>
        <v>14.5911475409836</v>
      </c>
      <c r="AB520" s="455">
        <f t="shared" ca="1" si="492"/>
        <v>13.7668253968254</v>
      </c>
      <c r="AC520" s="455">
        <f t="shared" ca="1" si="492"/>
        <v>14.08984375</v>
      </c>
      <c r="AD520" s="455">
        <f t="shared" ca="1" si="492"/>
        <v>12.4028125</v>
      </c>
      <c r="AE520" s="455">
        <f t="shared" ca="1" si="492"/>
        <v>11.657096774193599</v>
      </c>
      <c r="AF520" s="455">
        <f t="shared" ca="1" si="492"/>
        <v>7.1984126984127004</v>
      </c>
      <c r="AG520" s="345">
        <f t="shared" ca="1" si="492"/>
        <v>0</v>
      </c>
      <c r="AH520" s="345">
        <f t="shared" ca="1" si="492"/>
        <v>0</v>
      </c>
      <c r="AI520" s="345">
        <f t="shared" ca="1" si="492"/>
        <v>0</v>
      </c>
      <c r="AJ520" s="345">
        <f t="shared" ca="1" si="492"/>
        <v>0</v>
      </c>
      <c r="AK520" s="345">
        <f t="shared" ca="1" si="492"/>
        <v>0</v>
      </c>
      <c r="AL520" s="345">
        <f t="shared" ca="1" si="492"/>
        <v>0</v>
      </c>
      <c r="AM520" s="345"/>
      <c r="AN520" s="455">
        <f t="shared" ref="AN520:BC520" ca="1" si="493">IF(OR(MO.RealTimeStockPriceToggle=FALSE,VLOOKUP(MO.DataSourceName,MO_SPT_StockAverage_Sources,COLUMN(),FALSE)="N/A"),VLOOKUP("Real-Time Off Source",MO_SPT_StockAverage_Sources,COLUMN(),FALSE),VLOOKUP(MO.DataSourceName,MO_SPT_StockAverage_Sources,COLUMN(),FALSE))</f>
        <v>5.65625</v>
      </c>
      <c r="AO520" s="455">
        <f t="shared" ca="1" si="493"/>
        <v>8.2650000000000006</v>
      </c>
      <c r="AP520" s="455">
        <f t="shared" ca="1" si="493"/>
        <v>12.03</v>
      </c>
      <c r="AQ520" s="455">
        <f t="shared" ca="1" si="493"/>
        <v>17.61375</v>
      </c>
      <c r="AR520" s="455">
        <f t="shared" ca="1" si="493"/>
        <v>24.605</v>
      </c>
      <c r="AS520" s="455">
        <f t="shared" ca="1" si="493"/>
        <v>27.745000000000001</v>
      </c>
      <c r="AT520" s="455">
        <f t="shared" ca="1" si="493"/>
        <v>29.338750000000001</v>
      </c>
      <c r="AU520" s="455">
        <f t="shared" ca="1" si="493"/>
        <v>24.501249999999999</v>
      </c>
      <c r="AV520" s="455">
        <f t="shared" ca="1" si="493"/>
        <v>26.78125</v>
      </c>
      <c r="AW520" s="455">
        <f t="shared" ca="1" si="493"/>
        <v>19.091235059761001</v>
      </c>
      <c r="AX520" s="455">
        <f t="shared" ca="1" si="493"/>
        <v>13.701984126984099</v>
      </c>
      <c r="AY520" s="345">
        <f t="shared" ca="1" si="493"/>
        <v>0</v>
      </c>
      <c r="AZ520" s="345">
        <f t="shared" ca="1" si="493"/>
        <v>0</v>
      </c>
      <c r="BA520" s="345">
        <f t="shared" ca="1" si="493"/>
        <v>0</v>
      </c>
      <c r="BB520" s="345">
        <f t="shared" ca="1" si="493"/>
        <v>0</v>
      </c>
      <c r="BC520" s="346">
        <f t="shared" ca="1" si="493"/>
        <v>0</v>
      </c>
      <c r="BD520" s="347"/>
    </row>
    <row r="521" spans="1:56" s="348" customFormat="1" hidden="1" outlineLevel="1" x14ac:dyDescent="0.25">
      <c r="A521" s="349" t="s">
        <v>281</v>
      </c>
      <c r="B521" s="345"/>
      <c r="C521" s="455">
        <v>22.085000000000001</v>
      </c>
      <c r="D521" s="455">
        <v>23.125</v>
      </c>
      <c r="E521" s="455">
        <v>25.465</v>
      </c>
      <c r="F521" s="455">
        <v>27.745000000000001</v>
      </c>
      <c r="G521" s="455">
        <v>28.07</v>
      </c>
      <c r="H521" s="455">
        <v>25.83</v>
      </c>
      <c r="I521" s="455">
        <v>26.21</v>
      </c>
      <c r="J521" s="455">
        <v>30.87</v>
      </c>
      <c r="K521" s="455">
        <v>29.43</v>
      </c>
      <c r="L521" s="455">
        <v>33.615000000000002</v>
      </c>
      <c r="M521" s="455">
        <v>28.73</v>
      </c>
      <c r="N521" s="455">
        <v>25.58</v>
      </c>
      <c r="O521" s="455">
        <v>24.875</v>
      </c>
      <c r="P521" s="455">
        <v>23.71</v>
      </c>
      <c r="Q521" s="455">
        <v>22.545000000000002</v>
      </c>
      <c r="R521" s="455">
        <v>26.875</v>
      </c>
      <c r="S521" s="455">
        <v>26.175000000000001</v>
      </c>
      <c r="T521" s="455">
        <v>25.675000000000001</v>
      </c>
      <c r="U521" s="455">
        <v>28.5</v>
      </c>
      <c r="V521" s="455">
        <v>26.774999999999999</v>
      </c>
      <c r="W521" s="455">
        <v>23.4155737704918</v>
      </c>
      <c r="X521" s="455">
        <v>20.366250000000001</v>
      </c>
      <c r="Y521" s="455">
        <v>18.4206349206349</v>
      </c>
      <c r="Z521" s="455">
        <v>14.2795238095238</v>
      </c>
      <c r="AA521" s="455">
        <v>14.5911475409836</v>
      </c>
      <c r="AB521" s="455">
        <v>13.7668253968254</v>
      </c>
      <c r="AC521" s="455">
        <v>14.08984375</v>
      </c>
      <c r="AD521" s="455">
        <v>12.4028125</v>
      </c>
      <c r="AE521" s="455">
        <v>11.657096774193599</v>
      </c>
      <c r="AF521" s="455">
        <v>7.1984126984127004</v>
      </c>
      <c r="AG521" s="345"/>
      <c r="AH521" s="345"/>
      <c r="AI521" s="345"/>
      <c r="AJ521" s="345"/>
      <c r="AK521" s="345"/>
      <c r="AL521" s="345"/>
      <c r="AM521" s="345"/>
      <c r="AN521" s="455">
        <v>5.65625</v>
      </c>
      <c r="AO521" s="455">
        <v>8.2650000000000006</v>
      </c>
      <c r="AP521" s="455">
        <v>12.03</v>
      </c>
      <c r="AQ521" s="455">
        <v>17.61375</v>
      </c>
      <c r="AR521" s="455">
        <v>24.605</v>
      </c>
      <c r="AS521" s="455">
        <v>27.745000000000001</v>
      </c>
      <c r="AT521" s="455">
        <v>29.338750000000001</v>
      </c>
      <c r="AU521" s="455">
        <v>24.501249999999999</v>
      </c>
      <c r="AV521" s="455">
        <v>26.78125</v>
      </c>
      <c r="AW521" s="455">
        <v>19.091235059761001</v>
      </c>
      <c r="AX521" s="455">
        <v>13.701984126984099</v>
      </c>
      <c r="AY521" s="345"/>
      <c r="AZ521" s="345"/>
      <c r="BA521" s="345"/>
      <c r="BB521" s="345"/>
      <c r="BC521" s="346"/>
      <c r="BD521" s="347"/>
    </row>
    <row r="522" spans="1:56" s="348" customFormat="1" hidden="1" outlineLevel="1" x14ac:dyDescent="0.25">
      <c r="A522" s="349" t="s">
        <v>7</v>
      </c>
      <c r="B522" s="345"/>
      <c r="C522" s="455" t="str">
        <f ca="1">IFERROR(_xll.BDP(MO.Ticker.Bloomberg&amp;" Equity","INTERVAL_AVG","MARKET_DATA_OVERRIDE=PX_LAST","START_DATE_OVERRIDE",TEXT(INDEX(MO_SNA_FPStartDate,0,COLUMN()),"YYYYMMDD"),"END_DATE_OVERRIDE",TEXT(INDEX(MO_Common_QEndDate,0,COLUMN()),"YYYYMMDD")),"N/A")</f>
        <v>N/A</v>
      </c>
      <c r="D522" s="455" t="str">
        <f ca="1">IFERROR(_xll.BDP(MO.Ticker.Bloomberg&amp;" Equity","INTERVAL_AVG","MARKET_DATA_OVERRIDE=PX_LAST","START_DATE_OVERRIDE",TEXT(INDEX(MO_SNA_FPStartDate,0,COLUMN()),"YYYYMMDD"),"END_DATE_OVERRIDE",TEXT(INDEX(MO_Common_QEndDate,0,COLUMN()),"YYYYMMDD")),"N/A")</f>
        <v>N/A</v>
      </c>
      <c r="E522" s="455" t="str">
        <f ca="1">IFERROR(_xll.BDP(MO.Ticker.Bloomberg&amp;" Equity","INTERVAL_AVG","MARKET_DATA_OVERRIDE=PX_LAST","START_DATE_OVERRIDE",TEXT(INDEX(MO_SNA_FPStartDate,0,COLUMN()),"YYYYMMDD"),"END_DATE_OVERRIDE",TEXT(INDEX(MO_Common_QEndDate,0,COLUMN()),"YYYYMMDD")),"N/A")</f>
        <v>N/A</v>
      </c>
      <c r="F522" s="455" t="str">
        <f ca="1">IFERROR(_xll.BDP(MO.Ticker.Bloomberg&amp;" Equity","INTERVAL_AVG","MARKET_DATA_OVERRIDE=PX_LAST","START_DATE_OVERRIDE",TEXT(INDEX(MO_SNA_FPStartDate,0,COLUMN()),"YYYYMMDD"),"END_DATE_OVERRIDE",TEXT(INDEX(MO_Common_QEndDate,0,COLUMN()),"YYYYMMDD")),"N/A")</f>
        <v>N/A</v>
      </c>
      <c r="G522" s="455" t="str">
        <f ca="1">IFERROR(_xll.BDP(MO.Ticker.Bloomberg&amp;" Equity","INTERVAL_AVG","MARKET_DATA_OVERRIDE=PX_LAST","START_DATE_OVERRIDE",TEXT(INDEX(MO_SNA_FPStartDate,0,COLUMN()),"YYYYMMDD"),"END_DATE_OVERRIDE",TEXT(INDEX(MO_Common_QEndDate,0,COLUMN()),"YYYYMMDD")),"N/A")</f>
        <v>N/A</v>
      </c>
      <c r="H522" s="455" t="str">
        <f ca="1">IFERROR(_xll.BDP(MO.Ticker.Bloomberg&amp;" Equity","INTERVAL_AVG","MARKET_DATA_OVERRIDE=PX_LAST","START_DATE_OVERRIDE",TEXT(INDEX(MO_SNA_FPStartDate,0,COLUMN()),"YYYYMMDD"),"END_DATE_OVERRIDE",TEXT(INDEX(MO_Common_QEndDate,0,COLUMN()),"YYYYMMDD")),"N/A")</f>
        <v>N/A</v>
      </c>
      <c r="I522" s="455" t="str">
        <f ca="1">IFERROR(_xll.BDP(MO.Ticker.Bloomberg&amp;" Equity","INTERVAL_AVG","MARKET_DATA_OVERRIDE=PX_LAST","START_DATE_OVERRIDE",TEXT(INDEX(MO_SNA_FPStartDate,0,COLUMN()),"YYYYMMDD"),"END_DATE_OVERRIDE",TEXT(INDEX(MO_Common_QEndDate,0,COLUMN()),"YYYYMMDD")),"N/A")</f>
        <v>N/A</v>
      </c>
      <c r="J522" s="455" t="str">
        <f ca="1">IFERROR(_xll.BDP(MO.Ticker.Bloomberg&amp;" Equity","INTERVAL_AVG","MARKET_DATA_OVERRIDE=PX_LAST","START_DATE_OVERRIDE",TEXT(INDEX(MO_SNA_FPStartDate,0,COLUMN()),"YYYYMMDD"),"END_DATE_OVERRIDE",TEXT(INDEX(MO_Common_QEndDate,0,COLUMN()),"YYYYMMDD")),"N/A")</f>
        <v>N/A</v>
      </c>
      <c r="K522" s="455" t="str">
        <f ca="1">IFERROR(_xll.BDP(MO.Ticker.Bloomberg&amp;" Equity","INTERVAL_AVG","MARKET_DATA_OVERRIDE=PX_LAST","START_DATE_OVERRIDE",TEXT(INDEX(MO_SNA_FPStartDate,0,COLUMN()),"YYYYMMDD"),"END_DATE_OVERRIDE",TEXT(INDEX(MO_Common_QEndDate,0,COLUMN()),"YYYYMMDD")),"N/A")</f>
        <v>N/A</v>
      </c>
      <c r="L522" s="455" t="str">
        <f ca="1">IFERROR(_xll.BDP(MO.Ticker.Bloomberg&amp;" Equity","INTERVAL_AVG","MARKET_DATA_OVERRIDE=PX_LAST","START_DATE_OVERRIDE",TEXT(INDEX(MO_SNA_FPStartDate,0,COLUMN()),"YYYYMMDD"),"END_DATE_OVERRIDE",TEXT(INDEX(MO_Common_QEndDate,0,COLUMN()),"YYYYMMDD")),"N/A")</f>
        <v>N/A</v>
      </c>
      <c r="M522" s="455" t="str">
        <f ca="1">IFERROR(_xll.BDP(MO.Ticker.Bloomberg&amp;" Equity","INTERVAL_AVG","MARKET_DATA_OVERRIDE=PX_LAST","START_DATE_OVERRIDE",TEXT(INDEX(MO_SNA_FPStartDate,0,COLUMN()),"YYYYMMDD"),"END_DATE_OVERRIDE",TEXT(INDEX(MO_Common_QEndDate,0,COLUMN()),"YYYYMMDD")),"N/A")</f>
        <v>N/A</v>
      </c>
      <c r="N522" s="455" t="str">
        <f ca="1">IFERROR(_xll.BDP(MO.Ticker.Bloomberg&amp;" Equity","INTERVAL_AVG","MARKET_DATA_OVERRIDE=PX_LAST","START_DATE_OVERRIDE",TEXT(INDEX(MO_SNA_FPStartDate,0,COLUMN()),"YYYYMMDD"),"END_DATE_OVERRIDE",TEXT(INDEX(MO_Common_QEndDate,0,COLUMN()),"YYYYMMDD")),"N/A")</f>
        <v>N/A</v>
      </c>
      <c r="O522" s="455" t="str">
        <f ca="1">IFERROR(_xll.BDP(MO.Ticker.Bloomberg&amp;" Equity","INTERVAL_AVG","MARKET_DATA_OVERRIDE=PX_LAST","START_DATE_OVERRIDE",TEXT(INDEX(MO_SNA_FPStartDate,0,COLUMN()),"YYYYMMDD"),"END_DATE_OVERRIDE",TEXT(INDEX(MO_Common_QEndDate,0,COLUMN()),"YYYYMMDD")),"N/A")</f>
        <v>N/A</v>
      </c>
      <c r="P522" s="455" t="str">
        <f ca="1">IFERROR(_xll.BDP(MO.Ticker.Bloomberg&amp;" Equity","INTERVAL_AVG","MARKET_DATA_OVERRIDE=PX_LAST","START_DATE_OVERRIDE",TEXT(INDEX(MO_SNA_FPStartDate,0,COLUMN()),"YYYYMMDD"),"END_DATE_OVERRIDE",TEXT(INDEX(MO_Common_QEndDate,0,COLUMN()),"YYYYMMDD")),"N/A")</f>
        <v>N/A</v>
      </c>
      <c r="Q522" s="455" t="str">
        <f ca="1">IFERROR(_xll.BDP(MO.Ticker.Bloomberg&amp;" Equity","INTERVAL_AVG","MARKET_DATA_OVERRIDE=PX_LAST","START_DATE_OVERRIDE",TEXT(INDEX(MO_SNA_FPStartDate,0,COLUMN()),"YYYYMMDD"),"END_DATE_OVERRIDE",TEXT(INDEX(MO_Common_QEndDate,0,COLUMN()),"YYYYMMDD")),"N/A")</f>
        <v>N/A</v>
      </c>
      <c r="R522" s="455" t="str">
        <f ca="1">IFERROR(_xll.BDP(MO.Ticker.Bloomberg&amp;" Equity","INTERVAL_AVG","MARKET_DATA_OVERRIDE=PX_LAST","START_DATE_OVERRIDE",TEXT(INDEX(MO_SNA_FPStartDate,0,COLUMN()),"YYYYMMDD"),"END_DATE_OVERRIDE",TEXT(INDEX(MO_Common_QEndDate,0,COLUMN()),"YYYYMMDD")),"N/A")</f>
        <v>N/A</v>
      </c>
      <c r="S522" s="455" t="str">
        <f ca="1">IFERROR(_xll.BDP(MO.Ticker.Bloomberg&amp;" Equity","INTERVAL_AVG","MARKET_DATA_OVERRIDE=PX_LAST","START_DATE_OVERRIDE",TEXT(INDEX(MO_SNA_FPStartDate,0,COLUMN()),"YYYYMMDD"),"END_DATE_OVERRIDE",TEXT(INDEX(MO_Common_QEndDate,0,COLUMN()),"YYYYMMDD")),"N/A")</f>
        <v>N/A</v>
      </c>
      <c r="T522" s="455" t="str">
        <f ca="1">IFERROR(_xll.BDP(MO.Ticker.Bloomberg&amp;" Equity","INTERVAL_AVG","MARKET_DATA_OVERRIDE=PX_LAST","START_DATE_OVERRIDE",TEXT(INDEX(MO_SNA_FPStartDate,0,COLUMN()),"YYYYMMDD"),"END_DATE_OVERRIDE",TEXT(INDEX(MO_Common_QEndDate,0,COLUMN()),"YYYYMMDD")),"N/A")</f>
        <v>N/A</v>
      </c>
      <c r="U522" s="455" t="str">
        <f ca="1">IFERROR(_xll.BDP(MO.Ticker.Bloomberg&amp;" Equity","INTERVAL_AVG","MARKET_DATA_OVERRIDE=PX_LAST","START_DATE_OVERRIDE",TEXT(INDEX(MO_SNA_FPStartDate,0,COLUMN()),"YYYYMMDD"),"END_DATE_OVERRIDE",TEXT(INDEX(MO_Common_QEndDate,0,COLUMN()),"YYYYMMDD")),"N/A")</f>
        <v>N/A</v>
      </c>
      <c r="V522" s="455" t="str">
        <f ca="1">IFERROR(_xll.BDP(MO.Ticker.Bloomberg&amp;" Equity","INTERVAL_AVG","MARKET_DATA_OVERRIDE=PX_LAST","START_DATE_OVERRIDE",TEXT(INDEX(MO_SNA_FPStartDate,0,COLUMN()),"YYYYMMDD"),"END_DATE_OVERRIDE",TEXT(INDEX(MO_Common_QEndDate,0,COLUMN()),"YYYYMMDD")),"N/A")</f>
        <v>N/A</v>
      </c>
      <c r="W522" s="455" t="str">
        <f ca="1">IFERROR(_xll.BDP(MO.Ticker.Bloomberg&amp;" Equity","INTERVAL_AVG","MARKET_DATA_OVERRIDE=PX_LAST","START_DATE_OVERRIDE",TEXT(INDEX(MO_SNA_FPStartDate,0,COLUMN()),"YYYYMMDD"),"END_DATE_OVERRIDE",TEXT(INDEX(MO_Common_QEndDate,0,COLUMN()),"YYYYMMDD")),"N/A")</f>
        <v>N/A</v>
      </c>
      <c r="X522" s="455" t="str">
        <f ca="1">IFERROR(_xll.BDP(MO.Ticker.Bloomberg&amp;" Equity","INTERVAL_AVG","MARKET_DATA_OVERRIDE=PX_LAST","START_DATE_OVERRIDE",TEXT(INDEX(MO_SNA_FPStartDate,0,COLUMN()),"YYYYMMDD"),"END_DATE_OVERRIDE",TEXT(INDEX(MO_Common_QEndDate,0,COLUMN()),"YYYYMMDD")),"N/A")</f>
        <v>N/A</v>
      </c>
      <c r="Y522" s="455" t="str">
        <f ca="1">IFERROR(_xll.BDP(MO.Ticker.Bloomberg&amp;" Equity","INTERVAL_AVG","MARKET_DATA_OVERRIDE=PX_LAST","START_DATE_OVERRIDE",TEXT(INDEX(MO_SNA_FPStartDate,0,COLUMN()),"YYYYMMDD"),"END_DATE_OVERRIDE",TEXT(INDEX(MO_Common_QEndDate,0,COLUMN()),"YYYYMMDD")),"N/A")</f>
        <v>N/A</v>
      </c>
      <c r="Z522" s="455" t="str">
        <f ca="1">IFERROR(_xll.BDP(MO.Ticker.Bloomberg&amp;" Equity","INTERVAL_AVG","MARKET_DATA_OVERRIDE=PX_LAST","START_DATE_OVERRIDE",TEXT(INDEX(MO_SNA_FPStartDate,0,COLUMN()),"YYYYMMDD"),"END_DATE_OVERRIDE",TEXT(INDEX(MO_Common_QEndDate,0,COLUMN()),"YYYYMMDD")),"N/A")</f>
        <v>N/A</v>
      </c>
      <c r="AA522" s="455" t="str">
        <f ca="1">IFERROR(_xll.BDP(MO.Ticker.Bloomberg&amp;" Equity","INTERVAL_AVG","MARKET_DATA_OVERRIDE=PX_LAST","START_DATE_OVERRIDE",TEXT(INDEX(MO_SNA_FPStartDate,0,COLUMN()),"YYYYMMDD"),"END_DATE_OVERRIDE",TEXT(INDEX(MO_Common_QEndDate,0,COLUMN()),"YYYYMMDD")),"N/A")</f>
        <v>N/A</v>
      </c>
      <c r="AB522" s="455" t="str">
        <f ca="1">IFERROR(_xll.BDP(MO.Ticker.Bloomberg&amp;" Equity","INTERVAL_AVG","MARKET_DATA_OVERRIDE=PX_LAST","START_DATE_OVERRIDE",TEXT(INDEX(MO_SNA_FPStartDate,0,COLUMN()),"YYYYMMDD"),"END_DATE_OVERRIDE",TEXT(INDEX(MO_Common_QEndDate,0,COLUMN()),"YYYYMMDD")),"N/A")</f>
        <v>N/A</v>
      </c>
      <c r="AC522" s="455" t="str">
        <f ca="1">IFERROR(_xll.BDP(MO.Ticker.Bloomberg&amp;" Equity","INTERVAL_AVG","MARKET_DATA_OVERRIDE=PX_LAST","START_DATE_OVERRIDE",TEXT(INDEX(MO_SNA_FPStartDate,0,COLUMN()),"YYYYMMDD"),"END_DATE_OVERRIDE",TEXT(INDEX(MO_Common_QEndDate,0,COLUMN()),"YYYYMMDD")),"N/A")</f>
        <v>N/A</v>
      </c>
      <c r="AD522" s="455" t="str">
        <f ca="1">IFERROR(_xll.BDP(MO.Ticker.Bloomberg&amp;" Equity","INTERVAL_AVG","MARKET_DATA_OVERRIDE=PX_LAST","START_DATE_OVERRIDE",TEXT(INDEX(MO_SNA_FPStartDate,0,COLUMN()),"YYYYMMDD"),"END_DATE_OVERRIDE",TEXT(INDEX(MO_Common_QEndDate,0,COLUMN()),"YYYYMMDD")),"N/A")</f>
        <v>N/A</v>
      </c>
      <c r="AE522" s="455" t="str">
        <f ca="1">IFERROR(_xll.BDP(MO.Ticker.Bloomberg&amp;" Equity","INTERVAL_AVG","MARKET_DATA_OVERRIDE=PX_LAST","START_DATE_OVERRIDE",TEXT(INDEX(MO_SNA_FPStartDate,0,COLUMN()),"YYYYMMDD"),"END_DATE_OVERRIDE",TEXT(INDEX(MO_Common_QEndDate,0,COLUMN()),"YYYYMMDD")),"N/A")</f>
        <v>N/A</v>
      </c>
      <c r="AF522" s="455" t="str">
        <f ca="1">IFERROR(_xll.BDP(MO.Ticker.Bloomberg&amp;" Equity","INTERVAL_AVG","MARKET_DATA_OVERRIDE=PX_LAST","START_DATE_OVERRIDE",TEXT(INDEX(MO_SNA_FPStartDate,0,COLUMN()),"YYYYMMDD"),"END_DATE_OVERRIDE",TEXT(INDEX(MO_Common_QEndDate,0,COLUMN()),"YYYYMMDD")),"N/A")</f>
        <v>N/A</v>
      </c>
      <c r="AG522" s="345" t="str">
        <f ca="1">IFERROR(_xll.BDP(MO.Ticker.Bloomberg&amp;" Equity","INTERVAL_AVG","MARKET_DATA_OVERRIDE=PX_LAST","START_DATE_OVERRIDE",TEXT(INDEX(MO_SNA_FPStartDate,0,COLUMN()),"YYYYMMDD"),"END_DATE_OVERRIDE",TEXT(INDEX(MO_Common_QEndDate,0,COLUMN()),"YYYYMMDD")),"N/A")</f>
        <v>N/A</v>
      </c>
      <c r="AH522" s="345" t="str">
        <f ca="1">IFERROR(_xll.BDP(MO.Ticker.Bloomberg&amp;" Equity","INTERVAL_AVG","MARKET_DATA_OVERRIDE=PX_LAST","START_DATE_OVERRIDE",TEXT(INDEX(MO_SNA_FPStartDate,0,COLUMN()),"YYYYMMDD"),"END_DATE_OVERRIDE",TEXT(INDEX(MO_Common_QEndDate,0,COLUMN()),"YYYYMMDD")),"N/A")</f>
        <v>N/A</v>
      </c>
      <c r="AI522" s="345" t="str">
        <f ca="1">IFERROR(_xll.BDP(MO.Ticker.Bloomberg&amp;" Equity","INTERVAL_AVG","MARKET_DATA_OVERRIDE=PX_LAST","START_DATE_OVERRIDE",TEXT(INDEX(MO_SNA_FPStartDate,0,COLUMN()),"YYYYMMDD"),"END_DATE_OVERRIDE",TEXT(INDEX(MO_Common_QEndDate,0,COLUMN()),"YYYYMMDD")),"N/A")</f>
        <v>N/A</v>
      </c>
      <c r="AJ522" s="345" t="str">
        <f ca="1">IFERROR(_xll.BDP(MO.Ticker.Bloomberg&amp;" Equity","INTERVAL_AVG","MARKET_DATA_OVERRIDE=PX_LAST","START_DATE_OVERRIDE",TEXT(INDEX(MO_SNA_FPStartDate,0,COLUMN()),"YYYYMMDD"),"END_DATE_OVERRIDE",TEXT(INDEX(MO_Common_QEndDate,0,COLUMN()),"YYYYMMDD")),"N/A")</f>
        <v>N/A</v>
      </c>
      <c r="AK522" s="345" t="str">
        <f ca="1">IFERROR(_xll.BDP(MO.Ticker.Bloomberg&amp;" Equity","INTERVAL_AVG","MARKET_DATA_OVERRIDE=PX_LAST","START_DATE_OVERRIDE",TEXT(INDEX(MO_SNA_FPStartDate,0,COLUMN()),"YYYYMMDD"),"END_DATE_OVERRIDE",TEXT(INDEX(MO_Common_QEndDate,0,COLUMN()),"YYYYMMDD")),"N/A")</f>
        <v>N/A</v>
      </c>
      <c r="AL522" s="345" t="str">
        <f ca="1">IFERROR(_xll.BDP(MO.Ticker.Bloomberg&amp;" Equity","INTERVAL_AVG","MARKET_DATA_OVERRIDE=PX_LAST","START_DATE_OVERRIDE",TEXT(INDEX(MO_SNA_FPStartDate,0,COLUMN()),"YYYYMMDD"),"END_DATE_OVERRIDE",TEXT(INDEX(MO_Common_QEndDate,0,COLUMN()),"YYYYMMDD")),"N/A")</f>
        <v>N/A</v>
      </c>
      <c r="AM522" s="345"/>
      <c r="AN522" s="455" t="str">
        <f ca="1">IFERROR(_xll.BDP(MO.Ticker.Bloomberg&amp;" Equity","INTERVAL_AVG","MARKET_DATA_OVERRIDE=PX_LAST","START_DATE_OVERRIDE",TEXT(INDEX(MO_SNA_FPStartDate,0,COLUMN()),"YYYYMMDD"),"END_DATE_OVERRIDE",TEXT(INDEX(MO_Common_QEndDate,0,COLUMN()),"YYYYMMDD")),"N/A")</f>
        <v>N/A</v>
      </c>
      <c r="AO522" s="455" t="str">
        <f ca="1">IFERROR(_xll.BDP(MO.Ticker.Bloomberg&amp;" Equity","INTERVAL_AVG","MARKET_DATA_OVERRIDE=PX_LAST","START_DATE_OVERRIDE",TEXT(INDEX(MO_SNA_FPStartDate,0,COLUMN()),"YYYYMMDD"),"END_DATE_OVERRIDE",TEXT(INDEX(MO_Common_QEndDate,0,COLUMN()),"YYYYMMDD")),"N/A")</f>
        <v>N/A</v>
      </c>
      <c r="AP522" s="455" t="str">
        <f ca="1">IFERROR(_xll.BDP(MO.Ticker.Bloomberg&amp;" Equity","INTERVAL_AVG","MARKET_DATA_OVERRIDE=PX_LAST","START_DATE_OVERRIDE",TEXT(INDEX(MO_SNA_FPStartDate,0,COLUMN()),"YYYYMMDD"),"END_DATE_OVERRIDE",TEXT(INDEX(MO_Common_QEndDate,0,COLUMN()),"YYYYMMDD")),"N/A")</f>
        <v>N/A</v>
      </c>
      <c r="AQ522" s="455" t="str">
        <f ca="1">IFERROR(_xll.BDP(MO.Ticker.Bloomberg&amp;" Equity","INTERVAL_AVG","MARKET_DATA_OVERRIDE=PX_LAST","START_DATE_OVERRIDE",TEXT(INDEX(MO_SNA_FPStartDate,0,COLUMN()),"YYYYMMDD"),"END_DATE_OVERRIDE",TEXT(INDEX(MO_Common_QEndDate,0,COLUMN()),"YYYYMMDD")),"N/A")</f>
        <v>N/A</v>
      </c>
      <c r="AR522" s="455" t="str">
        <f ca="1">IFERROR(_xll.BDP(MO.Ticker.Bloomberg&amp;" Equity","INTERVAL_AVG","MARKET_DATA_OVERRIDE=PX_LAST","START_DATE_OVERRIDE",TEXT(INDEX(MO_SNA_FPStartDate,0,COLUMN()),"YYYYMMDD"),"END_DATE_OVERRIDE",TEXT(INDEX(MO_Common_QEndDate,0,COLUMN()),"YYYYMMDD")),"N/A")</f>
        <v>N/A</v>
      </c>
      <c r="AS522" s="455" t="str">
        <f ca="1">IFERROR(_xll.BDP(MO.Ticker.Bloomberg&amp;" Equity","INTERVAL_AVG","MARKET_DATA_OVERRIDE=PX_LAST","START_DATE_OVERRIDE",TEXT(INDEX(MO_SNA_FPStartDate,0,COLUMN()),"YYYYMMDD"),"END_DATE_OVERRIDE",TEXT(INDEX(MO_Common_QEndDate,0,COLUMN()),"YYYYMMDD")),"N/A")</f>
        <v>N/A</v>
      </c>
      <c r="AT522" s="455" t="str">
        <f ca="1">IFERROR(_xll.BDP(MO.Ticker.Bloomberg&amp;" Equity","INTERVAL_AVG","MARKET_DATA_OVERRIDE=PX_LAST","START_DATE_OVERRIDE",TEXT(INDEX(MO_SNA_FPStartDate,0,COLUMN()),"YYYYMMDD"),"END_DATE_OVERRIDE",TEXT(INDEX(MO_Common_QEndDate,0,COLUMN()),"YYYYMMDD")),"N/A")</f>
        <v>N/A</v>
      </c>
      <c r="AU522" s="455" t="str">
        <f ca="1">IFERROR(_xll.BDP(MO.Ticker.Bloomberg&amp;" Equity","INTERVAL_AVG","MARKET_DATA_OVERRIDE=PX_LAST","START_DATE_OVERRIDE",TEXT(INDEX(MO_SNA_FPStartDate,0,COLUMN()),"YYYYMMDD"),"END_DATE_OVERRIDE",TEXT(INDEX(MO_Common_QEndDate,0,COLUMN()),"YYYYMMDD")),"N/A")</f>
        <v>N/A</v>
      </c>
      <c r="AV522" s="455" t="str">
        <f ca="1">IFERROR(_xll.BDP(MO.Ticker.Bloomberg&amp;" Equity","INTERVAL_AVG","MARKET_DATA_OVERRIDE=PX_LAST","START_DATE_OVERRIDE",TEXT(INDEX(MO_SNA_FPStartDate,0,COLUMN()),"YYYYMMDD"),"END_DATE_OVERRIDE",TEXT(INDEX(MO_Common_QEndDate,0,COLUMN()),"YYYYMMDD")),"N/A")</f>
        <v>N/A</v>
      </c>
      <c r="AW522" s="455" t="str">
        <f ca="1">IFERROR(_xll.BDP(MO.Ticker.Bloomberg&amp;" Equity","INTERVAL_AVG","MARKET_DATA_OVERRIDE=PX_LAST","START_DATE_OVERRIDE",TEXT(INDEX(MO_SNA_FPStartDate,0,COLUMN()),"YYYYMMDD"),"END_DATE_OVERRIDE",TEXT(INDEX(MO_Common_QEndDate,0,COLUMN()),"YYYYMMDD")),"N/A")</f>
        <v>N/A</v>
      </c>
      <c r="AX522" s="455" t="str">
        <f ca="1">IFERROR(_xll.BDP(MO.Ticker.Bloomberg&amp;" Equity","INTERVAL_AVG","MARKET_DATA_OVERRIDE=PX_LAST","START_DATE_OVERRIDE",TEXT(INDEX(MO_SNA_FPStartDate,0,COLUMN()),"YYYYMMDD"),"END_DATE_OVERRIDE",TEXT(INDEX(MO_Common_QEndDate,0,COLUMN()),"YYYYMMDD")),"N/A")</f>
        <v>N/A</v>
      </c>
      <c r="AY522" s="345" t="str">
        <f ca="1">IFERROR(_xll.BDP(MO.Ticker.Bloomberg&amp;" Equity","INTERVAL_AVG","MARKET_DATA_OVERRIDE=PX_LAST","START_DATE_OVERRIDE",TEXT(INDEX(MO_SNA_FPStartDate,0,COLUMN()),"YYYYMMDD"),"END_DATE_OVERRIDE",TEXT(INDEX(MO_Common_QEndDate,0,COLUMN()),"YYYYMMDD")),"N/A")</f>
        <v>N/A</v>
      </c>
      <c r="AZ522" s="345" t="str">
        <f ca="1">IFERROR(_xll.BDP(MO.Ticker.Bloomberg&amp;" Equity","INTERVAL_AVG","MARKET_DATA_OVERRIDE=PX_LAST","START_DATE_OVERRIDE",TEXT(INDEX(MO_SNA_FPStartDate,0,COLUMN()),"YYYYMMDD"),"END_DATE_OVERRIDE",TEXT(INDEX(MO_Common_QEndDate,0,COLUMN()),"YYYYMMDD")),"N/A")</f>
        <v>N/A</v>
      </c>
      <c r="BA522" s="345" t="str">
        <f ca="1">IFERROR(_xll.BDP(MO.Ticker.Bloomberg&amp;" Equity","INTERVAL_AVG","MARKET_DATA_OVERRIDE=PX_LAST","START_DATE_OVERRIDE",TEXT(INDEX(MO_SNA_FPStartDate,0,COLUMN()),"YYYYMMDD"),"END_DATE_OVERRIDE",TEXT(INDEX(MO_Common_QEndDate,0,COLUMN()),"YYYYMMDD")),"N/A")</f>
        <v>N/A</v>
      </c>
      <c r="BB522" s="345" t="str">
        <f ca="1">IFERROR(_xll.BDP(MO.Ticker.Bloomberg&amp;" Equity","INTERVAL_AVG","MARKET_DATA_OVERRIDE=PX_LAST","START_DATE_OVERRIDE",TEXT(INDEX(MO_SNA_FPStartDate,0,COLUMN()),"YYYYMMDD"),"END_DATE_OVERRIDE",TEXT(INDEX(MO_Common_QEndDate,0,COLUMN()),"YYYYMMDD")),"N/A")</f>
        <v>N/A</v>
      </c>
      <c r="BC522" s="346" t="str">
        <f ca="1">IFERROR(_xll.BDP(MO.Ticker.Bloomberg&amp;" Equity","INTERVAL_AVG","MARKET_DATA_OVERRIDE=PX_LAST","START_DATE_OVERRIDE",TEXT(INDEX(MO_SNA_FPStartDate,0,COLUMN()),"YYYYMMDD"),"END_DATE_OVERRIDE",TEXT(INDEX(MO_Common_QEndDate,0,COLUMN()),"YYYYMMDD")),"N/A")</f>
        <v>N/A</v>
      </c>
      <c r="BD522" s="347"/>
    </row>
    <row r="523" spans="1:56" s="348" customFormat="1" hidden="1" outlineLevel="1" x14ac:dyDescent="0.25">
      <c r="A523" s="349" t="s">
        <v>282</v>
      </c>
      <c r="B523" s="345"/>
      <c r="C523" s="455" t="str">
        <f ca="1">IFERROR(_xll.CIQHI(MO.Ticker.CapIQ,"IQ_LASTSALEPRICE",INDEX(MO_SNA_FPStartDate,0,COLUMN()),INDEX(MO_Common_QEndDate,0,COLUMN())),"N/A")</f>
        <v>N/A</v>
      </c>
      <c r="D523" s="455" t="str">
        <f ca="1">IFERROR(_xll.CIQHI(MO.Ticker.CapIQ,"IQ_LASTSALEPRICE",INDEX(MO_SNA_FPStartDate,0,COLUMN()),INDEX(MO_Common_QEndDate,0,COLUMN())),"N/A")</f>
        <v>N/A</v>
      </c>
      <c r="E523" s="455" t="str">
        <f ca="1">IFERROR(_xll.CIQHI(MO.Ticker.CapIQ,"IQ_LASTSALEPRICE",INDEX(MO_SNA_FPStartDate,0,COLUMN()),INDEX(MO_Common_QEndDate,0,COLUMN())),"N/A")</f>
        <v>N/A</v>
      </c>
      <c r="F523" s="455" t="str">
        <f ca="1">IFERROR(_xll.CIQHI(MO.Ticker.CapIQ,"IQ_LASTSALEPRICE",INDEX(MO_SNA_FPStartDate,0,COLUMN()),INDEX(MO_Common_QEndDate,0,COLUMN())),"N/A")</f>
        <v>N/A</v>
      </c>
      <c r="G523" s="455" t="str">
        <f ca="1">IFERROR(_xll.CIQHI(MO.Ticker.CapIQ,"IQ_LASTSALEPRICE",INDEX(MO_SNA_FPStartDate,0,COLUMN()),INDEX(MO_Common_QEndDate,0,COLUMN())),"N/A")</f>
        <v>N/A</v>
      </c>
      <c r="H523" s="455" t="str">
        <f ca="1">IFERROR(_xll.CIQHI(MO.Ticker.CapIQ,"IQ_LASTSALEPRICE",INDEX(MO_SNA_FPStartDate,0,COLUMN()),INDEX(MO_Common_QEndDate,0,COLUMN())),"N/A")</f>
        <v>N/A</v>
      </c>
      <c r="I523" s="455" t="str">
        <f ca="1">IFERROR(_xll.CIQHI(MO.Ticker.CapIQ,"IQ_LASTSALEPRICE",INDEX(MO_SNA_FPStartDate,0,COLUMN()),INDEX(MO_Common_QEndDate,0,COLUMN())),"N/A")</f>
        <v>N/A</v>
      </c>
      <c r="J523" s="455" t="str">
        <f ca="1">IFERROR(_xll.CIQHI(MO.Ticker.CapIQ,"IQ_LASTSALEPRICE",INDEX(MO_SNA_FPStartDate,0,COLUMN()),INDEX(MO_Common_QEndDate,0,COLUMN())),"N/A")</f>
        <v>N/A</v>
      </c>
      <c r="K523" s="455" t="str">
        <f ca="1">IFERROR(_xll.CIQHI(MO.Ticker.CapIQ,"IQ_LASTSALEPRICE",INDEX(MO_SNA_FPStartDate,0,COLUMN()),INDEX(MO_Common_QEndDate,0,COLUMN())),"N/A")</f>
        <v>N/A</v>
      </c>
      <c r="L523" s="455" t="str">
        <f ca="1">IFERROR(_xll.CIQHI(MO.Ticker.CapIQ,"IQ_LASTSALEPRICE",INDEX(MO_SNA_FPStartDate,0,COLUMN()),INDEX(MO_Common_QEndDate,0,COLUMN())),"N/A")</f>
        <v>N/A</v>
      </c>
      <c r="M523" s="455" t="str">
        <f ca="1">IFERROR(_xll.CIQHI(MO.Ticker.CapIQ,"IQ_LASTSALEPRICE",INDEX(MO_SNA_FPStartDate,0,COLUMN()),INDEX(MO_Common_QEndDate,0,COLUMN())),"N/A")</f>
        <v>N/A</v>
      </c>
      <c r="N523" s="455" t="str">
        <f ca="1">IFERROR(_xll.CIQHI(MO.Ticker.CapIQ,"IQ_LASTSALEPRICE",INDEX(MO_SNA_FPStartDate,0,COLUMN()),INDEX(MO_Common_QEndDate,0,COLUMN())),"N/A")</f>
        <v>N/A</v>
      </c>
      <c r="O523" s="455" t="str">
        <f ca="1">IFERROR(_xll.CIQHI(MO.Ticker.CapIQ,"IQ_LASTSALEPRICE",INDEX(MO_SNA_FPStartDate,0,COLUMN()),INDEX(MO_Common_QEndDate,0,COLUMN())),"N/A")</f>
        <v>N/A</v>
      </c>
      <c r="P523" s="455" t="str">
        <f ca="1">IFERROR(_xll.CIQHI(MO.Ticker.CapIQ,"IQ_LASTSALEPRICE",INDEX(MO_SNA_FPStartDate,0,COLUMN()),INDEX(MO_Common_QEndDate,0,COLUMN())),"N/A")</f>
        <v>N/A</v>
      </c>
      <c r="Q523" s="455" t="str">
        <f ca="1">IFERROR(_xll.CIQHI(MO.Ticker.CapIQ,"IQ_LASTSALEPRICE",INDEX(MO_SNA_FPStartDate,0,COLUMN()),INDEX(MO_Common_QEndDate,0,COLUMN())),"N/A")</f>
        <v>N/A</v>
      </c>
      <c r="R523" s="455" t="str">
        <f ca="1">IFERROR(_xll.CIQHI(MO.Ticker.CapIQ,"IQ_LASTSALEPRICE",INDEX(MO_SNA_FPStartDate,0,COLUMN()),INDEX(MO_Common_QEndDate,0,COLUMN())),"N/A")</f>
        <v>N/A</v>
      </c>
      <c r="S523" s="455" t="str">
        <f ca="1">IFERROR(_xll.CIQHI(MO.Ticker.CapIQ,"IQ_LASTSALEPRICE",INDEX(MO_SNA_FPStartDate,0,COLUMN()),INDEX(MO_Common_QEndDate,0,COLUMN())),"N/A")</f>
        <v>N/A</v>
      </c>
      <c r="T523" s="455" t="str">
        <f ca="1">IFERROR(_xll.CIQHI(MO.Ticker.CapIQ,"IQ_LASTSALEPRICE",INDEX(MO_SNA_FPStartDate,0,COLUMN()),INDEX(MO_Common_QEndDate,0,COLUMN())),"N/A")</f>
        <v>N/A</v>
      </c>
      <c r="U523" s="455" t="str">
        <f ca="1">IFERROR(_xll.CIQHI(MO.Ticker.CapIQ,"IQ_LASTSALEPRICE",INDEX(MO_SNA_FPStartDate,0,COLUMN()),INDEX(MO_Common_QEndDate,0,COLUMN())),"N/A")</f>
        <v>N/A</v>
      </c>
      <c r="V523" s="455" t="str">
        <f ca="1">IFERROR(_xll.CIQHI(MO.Ticker.CapIQ,"IQ_LASTSALEPRICE",INDEX(MO_SNA_FPStartDate,0,COLUMN()),INDEX(MO_Common_QEndDate,0,COLUMN())),"N/A")</f>
        <v>N/A</v>
      </c>
      <c r="W523" s="455" t="str">
        <f ca="1">IFERROR(_xll.CIQHI(MO.Ticker.CapIQ,"IQ_LASTSALEPRICE",INDEX(MO_SNA_FPStartDate,0,COLUMN()),INDEX(MO_Common_QEndDate,0,COLUMN())),"N/A")</f>
        <v>N/A</v>
      </c>
      <c r="X523" s="455" t="str">
        <f ca="1">IFERROR(_xll.CIQHI(MO.Ticker.CapIQ,"IQ_LASTSALEPRICE",INDEX(MO_SNA_FPStartDate,0,COLUMN()),INDEX(MO_Common_QEndDate,0,COLUMN())),"N/A")</f>
        <v>N/A</v>
      </c>
      <c r="Y523" s="455" t="str">
        <f ca="1">IFERROR(_xll.CIQHI(MO.Ticker.CapIQ,"IQ_LASTSALEPRICE",INDEX(MO_SNA_FPStartDate,0,COLUMN()),INDEX(MO_Common_QEndDate,0,COLUMN())),"N/A")</f>
        <v>N/A</v>
      </c>
      <c r="Z523" s="455" t="str">
        <f ca="1">IFERROR(_xll.CIQHI(MO.Ticker.CapIQ,"IQ_LASTSALEPRICE",INDEX(MO_SNA_FPStartDate,0,COLUMN()),INDEX(MO_Common_QEndDate,0,COLUMN())),"N/A")</f>
        <v>N/A</v>
      </c>
      <c r="AA523" s="455" t="str">
        <f ca="1">IFERROR(_xll.CIQHI(MO.Ticker.CapIQ,"IQ_LASTSALEPRICE",INDEX(MO_SNA_FPStartDate,0,COLUMN()),INDEX(MO_Common_QEndDate,0,COLUMN())),"N/A")</f>
        <v>N/A</v>
      </c>
      <c r="AB523" s="455" t="str">
        <f ca="1">IFERROR(_xll.CIQHI(MO.Ticker.CapIQ,"IQ_LASTSALEPRICE",INDEX(MO_SNA_FPStartDate,0,COLUMN()),INDEX(MO_Common_QEndDate,0,COLUMN())),"N/A")</f>
        <v>N/A</v>
      </c>
      <c r="AC523" s="455" t="str">
        <f ca="1">IFERROR(_xll.CIQHI(MO.Ticker.CapIQ,"IQ_LASTSALEPRICE",INDEX(MO_SNA_FPStartDate,0,COLUMN()),INDEX(MO_Common_QEndDate,0,COLUMN())),"N/A")</f>
        <v>N/A</v>
      </c>
      <c r="AD523" s="455" t="str">
        <f ca="1">IFERROR(_xll.CIQHI(MO.Ticker.CapIQ,"IQ_LASTSALEPRICE",INDEX(MO_SNA_FPStartDate,0,COLUMN()),INDEX(MO_Common_QEndDate,0,COLUMN())),"N/A")</f>
        <v>N/A</v>
      </c>
      <c r="AE523" s="455" t="str">
        <f ca="1">IFERROR(_xll.CIQHI(MO.Ticker.CapIQ,"IQ_LASTSALEPRICE",INDEX(MO_SNA_FPStartDate,0,COLUMN()),INDEX(MO_Common_QEndDate,0,COLUMN())),"N/A")</f>
        <v>N/A</v>
      </c>
      <c r="AF523" s="455" t="str">
        <f ca="1">IFERROR(_xll.CIQHI(MO.Ticker.CapIQ,"IQ_LASTSALEPRICE",INDEX(MO_SNA_FPStartDate,0,COLUMN()),INDEX(MO_Common_QEndDate,0,COLUMN())),"N/A")</f>
        <v>N/A</v>
      </c>
      <c r="AG523" s="345" t="str">
        <f ca="1">IFERROR(_xll.CIQHI(MO.Ticker.CapIQ,"IQ_LASTSALEPRICE",INDEX(MO_SNA_FPStartDate,0,COLUMN()),INDEX(MO_Common_QEndDate,0,COLUMN())),"N/A")</f>
        <v>N/A</v>
      </c>
      <c r="AH523" s="345" t="str">
        <f ca="1">IFERROR(_xll.CIQHI(MO.Ticker.CapIQ,"IQ_LASTSALEPRICE",INDEX(MO_SNA_FPStartDate,0,COLUMN()),INDEX(MO_Common_QEndDate,0,COLUMN())),"N/A")</f>
        <v>N/A</v>
      </c>
      <c r="AI523" s="345" t="str">
        <f ca="1">IFERROR(_xll.CIQHI(MO.Ticker.CapIQ,"IQ_LASTSALEPRICE",INDEX(MO_SNA_FPStartDate,0,COLUMN()),INDEX(MO_Common_QEndDate,0,COLUMN())),"N/A")</f>
        <v>N/A</v>
      </c>
      <c r="AJ523" s="345" t="str">
        <f ca="1">IFERROR(_xll.CIQHI(MO.Ticker.CapIQ,"IQ_LASTSALEPRICE",INDEX(MO_SNA_FPStartDate,0,COLUMN()),INDEX(MO_Common_QEndDate,0,COLUMN())),"N/A")</f>
        <v>N/A</v>
      </c>
      <c r="AK523" s="345" t="str">
        <f ca="1">IFERROR(_xll.CIQHI(MO.Ticker.CapIQ,"IQ_LASTSALEPRICE",INDEX(MO_SNA_FPStartDate,0,COLUMN()),INDEX(MO_Common_QEndDate,0,COLUMN())),"N/A")</f>
        <v>N/A</v>
      </c>
      <c r="AL523" s="345" t="str">
        <f ca="1">IFERROR(_xll.CIQHI(MO.Ticker.CapIQ,"IQ_LASTSALEPRICE",INDEX(MO_SNA_FPStartDate,0,COLUMN()),INDEX(MO_Common_QEndDate,0,COLUMN())),"N/A")</f>
        <v>N/A</v>
      </c>
      <c r="AM523" s="345"/>
      <c r="AN523" s="455" t="str">
        <f ca="1">IFERROR(_xll.CIQHI(MO.Ticker.CapIQ,"IQ_LASTSALEPRICE",INDEX(MO_SNA_FPStartDate,0,COLUMN()),INDEX(MO_Common_QEndDate,0,COLUMN())),"N/A")</f>
        <v>N/A</v>
      </c>
      <c r="AO523" s="455" t="str">
        <f ca="1">IFERROR(_xll.CIQHI(MO.Ticker.CapIQ,"IQ_LASTSALEPRICE",INDEX(MO_SNA_FPStartDate,0,COLUMN()),INDEX(MO_Common_QEndDate,0,COLUMN())),"N/A")</f>
        <v>N/A</v>
      </c>
      <c r="AP523" s="455" t="str">
        <f ca="1">IFERROR(_xll.CIQHI(MO.Ticker.CapIQ,"IQ_LASTSALEPRICE",INDEX(MO_SNA_FPStartDate,0,COLUMN()),INDEX(MO_Common_QEndDate,0,COLUMN())),"N/A")</f>
        <v>N/A</v>
      </c>
      <c r="AQ523" s="455" t="str">
        <f ca="1">IFERROR(_xll.CIQHI(MO.Ticker.CapIQ,"IQ_LASTSALEPRICE",INDEX(MO_SNA_FPStartDate,0,COLUMN()),INDEX(MO_Common_QEndDate,0,COLUMN())),"N/A")</f>
        <v>N/A</v>
      </c>
      <c r="AR523" s="455" t="str">
        <f ca="1">IFERROR(_xll.CIQHI(MO.Ticker.CapIQ,"IQ_LASTSALEPRICE",INDEX(MO_SNA_FPStartDate,0,COLUMN()),INDEX(MO_Common_QEndDate,0,COLUMN())),"N/A")</f>
        <v>N/A</v>
      </c>
      <c r="AS523" s="455" t="str">
        <f ca="1">IFERROR(_xll.CIQHI(MO.Ticker.CapIQ,"IQ_LASTSALEPRICE",INDEX(MO_SNA_FPStartDate,0,COLUMN()),INDEX(MO_Common_QEndDate,0,COLUMN())),"N/A")</f>
        <v>N/A</v>
      </c>
      <c r="AT523" s="455" t="str">
        <f ca="1">IFERROR(_xll.CIQHI(MO.Ticker.CapIQ,"IQ_LASTSALEPRICE",INDEX(MO_SNA_FPStartDate,0,COLUMN()),INDEX(MO_Common_QEndDate,0,COLUMN())),"N/A")</f>
        <v>N/A</v>
      </c>
      <c r="AU523" s="455" t="str">
        <f ca="1">IFERROR(_xll.CIQHI(MO.Ticker.CapIQ,"IQ_LASTSALEPRICE",INDEX(MO_SNA_FPStartDate,0,COLUMN()),INDEX(MO_Common_QEndDate,0,COLUMN())),"N/A")</f>
        <v>N/A</v>
      </c>
      <c r="AV523" s="455" t="str">
        <f ca="1">IFERROR(_xll.CIQHI(MO.Ticker.CapIQ,"IQ_LASTSALEPRICE",INDEX(MO_SNA_FPStartDate,0,COLUMN()),INDEX(MO_Common_QEndDate,0,COLUMN())),"N/A")</f>
        <v>N/A</v>
      </c>
      <c r="AW523" s="455" t="str">
        <f ca="1">IFERROR(_xll.CIQHI(MO.Ticker.CapIQ,"IQ_LASTSALEPRICE",INDEX(MO_SNA_FPStartDate,0,COLUMN()),INDEX(MO_Common_QEndDate,0,COLUMN())),"N/A")</f>
        <v>N/A</v>
      </c>
      <c r="AX523" s="455" t="str">
        <f ca="1">IFERROR(_xll.CIQHI(MO.Ticker.CapIQ,"IQ_LASTSALEPRICE",INDEX(MO_SNA_FPStartDate,0,COLUMN()),INDEX(MO_Common_QEndDate,0,COLUMN())),"N/A")</f>
        <v>N/A</v>
      </c>
      <c r="AY523" s="345" t="str">
        <f ca="1">IFERROR(_xll.CIQHI(MO.Ticker.CapIQ,"IQ_LASTSALEPRICE",INDEX(MO_SNA_FPStartDate,0,COLUMN()),INDEX(MO_Common_QEndDate,0,COLUMN())),"N/A")</f>
        <v>N/A</v>
      </c>
      <c r="AZ523" s="345" t="str">
        <f ca="1">IFERROR(_xll.CIQHI(MO.Ticker.CapIQ,"IQ_LASTSALEPRICE",INDEX(MO_SNA_FPStartDate,0,COLUMN()),INDEX(MO_Common_QEndDate,0,COLUMN())),"N/A")</f>
        <v>N/A</v>
      </c>
      <c r="BA523" s="345" t="str">
        <f ca="1">IFERROR(_xll.CIQHI(MO.Ticker.CapIQ,"IQ_LASTSALEPRICE",INDEX(MO_SNA_FPStartDate,0,COLUMN()),INDEX(MO_Common_QEndDate,0,COLUMN())),"N/A")</f>
        <v>N/A</v>
      </c>
      <c r="BB523" s="345" t="str">
        <f ca="1">IFERROR(_xll.CIQHI(MO.Ticker.CapIQ,"IQ_LASTSALEPRICE",INDEX(MO_SNA_FPStartDate,0,COLUMN()),INDEX(MO_Common_QEndDate,0,COLUMN())),"N/A")</f>
        <v>N/A</v>
      </c>
      <c r="BC523" s="346" t="str">
        <f ca="1">IFERROR(_xll.CIQHI(MO.Ticker.CapIQ,"IQ_LASTSALEPRICE",INDEX(MO_SNA_FPStartDate,0,COLUMN()),INDEX(MO_Common_QEndDate,0,COLUMN())),"N/A")</f>
        <v>N/A</v>
      </c>
      <c r="BD523" s="347"/>
    </row>
    <row r="524" spans="1:56" s="348" customFormat="1" hidden="1" outlineLevel="1" x14ac:dyDescent="0.25">
      <c r="A524" s="349" t="s">
        <v>283</v>
      </c>
      <c r="B524" s="345"/>
      <c r="C524" s="455" t="str">
        <f ca="1">IFERROR(_xll.FDS(MO.Ticker.FactSet,"P_PRICE_AVG"&amp;"("&amp;INDEX(MO_SNA_FPStartDate,0,COLUMN())&amp;","&amp;INDEX(MO_Common_QEndDate,0,COLUMN())&amp;",,,,""PRICE"",""CLOSE"")"),"N/A")</f>
        <v>N/A</v>
      </c>
      <c r="D524" s="455" t="str">
        <f ca="1">IFERROR(_xll.FDS(MO.Ticker.FactSet,"P_PRICE_AVG"&amp;"("&amp;INDEX(MO_SNA_FPStartDate,0,COLUMN())&amp;","&amp;INDEX(MO_Common_QEndDate,0,COLUMN())&amp;",,,,""PRICE"",""CLOSE"")"),"N/A")</f>
        <v>N/A</v>
      </c>
      <c r="E524" s="455" t="str">
        <f ca="1">IFERROR(_xll.FDS(MO.Ticker.FactSet,"P_PRICE_AVG"&amp;"("&amp;INDEX(MO_SNA_FPStartDate,0,COLUMN())&amp;","&amp;INDEX(MO_Common_QEndDate,0,COLUMN())&amp;",,,,""PRICE"",""CLOSE"")"),"N/A")</f>
        <v>N/A</v>
      </c>
      <c r="F524" s="455" t="str">
        <f ca="1">IFERROR(_xll.FDS(MO.Ticker.FactSet,"P_PRICE_AVG"&amp;"("&amp;INDEX(MO_SNA_FPStartDate,0,COLUMN())&amp;","&amp;INDEX(MO_Common_QEndDate,0,COLUMN())&amp;",,,,""PRICE"",""CLOSE"")"),"N/A")</f>
        <v>N/A</v>
      </c>
      <c r="G524" s="455" t="str">
        <f ca="1">IFERROR(_xll.FDS(MO.Ticker.FactSet,"P_PRICE_AVG"&amp;"("&amp;INDEX(MO_SNA_FPStartDate,0,COLUMN())&amp;","&amp;INDEX(MO_Common_QEndDate,0,COLUMN())&amp;",,,,""PRICE"",""CLOSE"")"),"N/A")</f>
        <v>N/A</v>
      </c>
      <c r="H524" s="455" t="str">
        <f ca="1">IFERROR(_xll.FDS(MO.Ticker.FactSet,"P_PRICE_AVG"&amp;"("&amp;INDEX(MO_SNA_FPStartDate,0,COLUMN())&amp;","&amp;INDEX(MO_Common_QEndDate,0,COLUMN())&amp;",,,,""PRICE"",""CLOSE"")"),"N/A")</f>
        <v>N/A</v>
      </c>
      <c r="I524" s="455" t="str">
        <f ca="1">IFERROR(_xll.FDS(MO.Ticker.FactSet,"P_PRICE_AVG"&amp;"("&amp;INDEX(MO_SNA_FPStartDate,0,COLUMN())&amp;","&amp;INDEX(MO_Common_QEndDate,0,COLUMN())&amp;",,,,""PRICE"",""CLOSE"")"),"N/A")</f>
        <v>N/A</v>
      </c>
      <c r="J524" s="455" t="str">
        <f ca="1">IFERROR(_xll.FDS(MO.Ticker.FactSet,"P_PRICE_AVG"&amp;"("&amp;INDEX(MO_SNA_FPStartDate,0,COLUMN())&amp;","&amp;INDEX(MO_Common_QEndDate,0,COLUMN())&amp;",,,,""PRICE"",""CLOSE"")"),"N/A")</f>
        <v>N/A</v>
      </c>
      <c r="K524" s="455" t="str">
        <f ca="1">IFERROR(_xll.FDS(MO.Ticker.FactSet,"P_PRICE_AVG"&amp;"("&amp;INDEX(MO_SNA_FPStartDate,0,COLUMN())&amp;","&amp;INDEX(MO_Common_QEndDate,0,COLUMN())&amp;",,,,""PRICE"",""CLOSE"")"),"N/A")</f>
        <v>N/A</v>
      </c>
      <c r="L524" s="455" t="str">
        <f ca="1">IFERROR(_xll.FDS(MO.Ticker.FactSet,"P_PRICE_AVG"&amp;"("&amp;INDEX(MO_SNA_FPStartDate,0,COLUMN())&amp;","&amp;INDEX(MO_Common_QEndDate,0,COLUMN())&amp;",,,,""PRICE"",""CLOSE"")"),"N/A")</f>
        <v>N/A</v>
      </c>
      <c r="M524" s="455" t="str">
        <f ca="1">IFERROR(_xll.FDS(MO.Ticker.FactSet,"P_PRICE_AVG"&amp;"("&amp;INDEX(MO_SNA_FPStartDate,0,COLUMN())&amp;","&amp;INDEX(MO_Common_QEndDate,0,COLUMN())&amp;",,,,""PRICE"",""CLOSE"")"),"N/A")</f>
        <v>N/A</v>
      </c>
      <c r="N524" s="455" t="str">
        <f ca="1">IFERROR(_xll.FDS(MO.Ticker.FactSet,"P_PRICE_AVG"&amp;"("&amp;INDEX(MO_SNA_FPStartDate,0,COLUMN())&amp;","&amp;INDEX(MO_Common_QEndDate,0,COLUMN())&amp;",,,,""PRICE"",""CLOSE"")"),"N/A")</f>
        <v>N/A</v>
      </c>
      <c r="O524" s="455" t="str">
        <f ca="1">IFERROR(_xll.FDS(MO.Ticker.FactSet,"P_PRICE_AVG"&amp;"("&amp;INDEX(MO_SNA_FPStartDate,0,COLUMN())&amp;","&amp;INDEX(MO_Common_QEndDate,0,COLUMN())&amp;",,,,""PRICE"",""CLOSE"")"),"N/A")</f>
        <v>N/A</v>
      </c>
      <c r="P524" s="455" t="str">
        <f ca="1">IFERROR(_xll.FDS(MO.Ticker.FactSet,"P_PRICE_AVG"&amp;"("&amp;INDEX(MO_SNA_FPStartDate,0,COLUMN())&amp;","&amp;INDEX(MO_Common_QEndDate,0,COLUMN())&amp;",,,,""PRICE"",""CLOSE"")"),"N/A")</f>
        <v>N/A</v>
      </c>
      <c r="Q524" s="455" t="str">
        <f ca="1">IFERROR(_xll.FDS(MO.Ticker.FactSet,"P_PRICE_AVG"&amp;"("&amp;INDEX(MO_SNA_FPStartDate,0,COLUMN())&amp;","&amp;INDEX(MO_Common_QEndDate,0,COLUMN())&amp;",,,,""PRICE"",""CLOSE"")"),"N/A")</f>
        <v>N/A</v>
      </c>
      <c r="R524" s="455" t="str">
        <f ca="1">IFERROR(_xll.FDS(MO.Ticker.FactSet,"P_PRICE_AVG"&amp;"("&amp;INDEX(MO_SNA_FPStartDate,0,COLUMN())&amp;","&amp;INDEX(MO_Common_QEndDate,0,COLUMN())&amp;",,,,""PRICE"",""CLOSE"")"),"N/A")</f>
        <v>N/A</v>
      </c>
      <c r="S524" s="455" t="str">
        <f ca="1">IFERROR(_xll.FDS(MO.Ticker.FactSet,"P_PRICE_AVG"&amp;"("&amp;INDEX(MO_SNA_FPStartDate,0,COLUMN())&amp;","&amp;INDEX(MO_Common_QEndDate,0,COLUMN())&amp;",,,,""PRICE"",""CLOSE"")"),"N/A")</f>
        <v>N/A</v>
      </c>
      <c r="T524" s="455" t="str">
        <f ca="1">IFERROR(_xll.FDS(MO.Ticker.FactSet,"P_PRICE_AVG"&amp;"("&amp;INDEX(MO_SNA_FPStartDate,0,COLUMN())&amp;","&amp;INDEX(MO_Common_QEndDate,0,COLUMN())&amp;",,,,""PRICE"",""CLOSE"")"),"N/A")</f>
        <v>N/A</v>
      </c>
      <c r="U524" s="455" t="str">
        <f ca="1">IFERROR(_xll.FDS(MO.Ticker.FactSet,"P_PRICE_AVG"&amp;"("&amp;INDEX(MO_SNA_FPStartDate,0,COLUMN())&amp;","&amp;INDEX(MO_Common_QEndDate,0,COLUMN())&amp;",,,,""PRICE"",""CLOSE"")"),"N/A")</f>
        <v>N/A</v>
      </c>
      <c r="V524" s="455" t="str">
        <f ca="1">IFERROR(_xll.FDS(MO.Ticker.FactSet,"P_PRICE_AVG"&amp;"("&amp;INDEX(MO_SNA_FPStartDate,0,COLUMN())&amp;","&amp;INDEX(MO_Common_QEndDate,0,COLUMN())&amp;",,,,""PRICE"",""CLOSE"")"),"N/A")</f>
        <v>N/A</v>
      </c>
      <c r="W524" s="455" t="str">
        <f ca="1">IFERROR(_xll.FDS(MO.Ticker.FactSet,"P_PRICE_AVG"&amp;"("&amp;INDEX(MO_SNA_FPStartDate,0,COLUMN())&amp;","&amp;INDEX(MO_Common_QEndDate,0,COLUMN())&amp;",,,,""PRICE"",""CLOSE"")"),"N/A")</f>
        <v>N/A</v>
      </c>
      <c r="X524" s="455" t="str">
        <f ca="1">IFERROR(_xll.FDS(MO.Ticker.FactSet,"P_PRICE_AVG"&amp;"("&amp;INDEX(MO_SNA_FPStartDate,0,COLUMN())&amp;","&amp;INDEX(MO_Common_QEndDate,0,COLUMN())&amp;",,,,""PRICE"",""CLOSE"")"),"N/A")</f>
        <v>N/A</v>
      </c>
      <c r="Y524" s="455" t="str">
        <f ca="1">IFERROR(_xll.FDS(MO.Ticker.FactSet,"P_PRICE_AVG"&amp;"("&amp;INDEX(MO_SNA_FPStartDate,0,COLUMN())&amp;","&amp;INDEX(MO_Common_QEndDate,0,COLUMN())&amp;",,,,""PRICE"",""CLOSE"")"),"N/A")</f>
        <v>N/A</v>
      </c>
      <c r="Z524" s="455" t="str">
        <f ca="1">IFERROR(_xll.FDS(MO.Ticker.FactSet,"P_PRICE_AVG"&amp;"("&amp;INDEX(MO_SNA_FPStartDate,0,COLUMN())&amp;","&amp;INDEX(MO_Common_QEndDate,0,COLUMN())&amp;",,,,""PRICE"",""CLOSE"")"),"N/A")</f>
        <v>N/A</v>
      </c>
      <c r="AA524" s="455" t="str">
        <f ca="1">IFERROR(_xll.FDS(MO.Ticker.FactSet,"P_PRICE_AVG"&amp;"("&amp;INDEX(MO_SNA_FPStartDate,0,COLUMN())&amp;","&amp;INDEX(MO_Common_QEndDate,0,COLUMN())&amp;",,,,""PRICE"",""CLOSE"")"),"N/A")</f>
        <v>N/A</v>
      </c>
      <c r="AB524" s="455" t="str">
        <f ca="1">IFERROR(_xll.FDS(MO.Ticker.FactSet,"P_PRICE_AVG"&amp;"("&amp;INDEX(MO_SNA_FPStartDate,0,COLUMN())&amp;","&amp;INDEX(MO_Common_QEndDate,0,COLUMN())&amp;",,,,""PRICE"",""CLOSE"")"),"N/A")</f>
        <v>N/A</v>
      </c>
      <c r="AC524" s="455" t="str">
        <f ca="1">IFERROR(_xll.FDS(MO.Ticker.FactSet,"P_PRICE_AVG"&amp;"("&amp;INDEX(MO_SNA_FPStartDate,0,COLUMN())&amp;","&amp;INDEX(MO_Common_QEndDate,0,COLUMN())&amp;",,,,""PRICE"",""CLOSE"")"),"N/A")</f>
        <v>N/A</v>
      </c>
      <c r="AD524" s="455" t="str">
        <f ca="1">IFERROR(_xll.FDS(MO.Ticker.FactSet,"P_PRICE_AVG"&amp;"("&amp;INDEX(MO_SNA_FPStartDate,0,COLUMN())&amp;","&amp;INDEX(MO_Common_QEndDate,0,COLUMN())&amp;",,,,""PRICE"",""CLOSE"")"),"N/A")</f>
        <v>N/A</v>
      </c>
      <c r="AE524" s="455" t="str">
        <f ca="1">IFERROR(_xll.FDS(MO.Ticker.FactSet,"P_PRICE_AVG"&amp;"("&amp;INDEX(MO_SNA_FPStartDate,0,COLUMN())&amp;","&amp;INDEX(MO_Common_QEndDate,0,COLUMN())&amp;",,,,""PRICE"",""CLOSE"")"),"N/A")</f>
        <v>N/A</v>
      </c>
      <c r="AF524" s="455" t="str">
        <f ca="1">IFERROR(_xll.FDS(MO.Ticker.FactSet,"P_PRICE_AVG"&amp;"("&amp;INDEX(MO_SNA_FPStartDate,0,COLUMN())&amp;","&amp;INDEX(MO_Common_QEndDate,0,COLUMN())&amp;",,,,""PRICE"",""CLOSE"")"),"N/A")</f>
        <v>N/A</v>
      </c>
      <c r="AG524" s="345" t="str">
        <f ca="1">IFERROR(_xll.FDS(MO.Ticker.FactSet,"P_PRICE_AVG"&amp;"("&amp;INDEX(MO_SNA_FPStartDate,0,COLUMN())&amp;","&amp;INDEX(MO_Common_QEndDate,0,COLUMN())&amp;",,,,""PRICE"",""CLOSE"")"),"N/A")</f>
        <v>N/A</v>
      </c>
      <c r="AH524" s="345" t="str">
        <f ca="1">IFERROR(_xll.FDS(MO.Ticker.FactSet,"P_PRICE_AVG"&amp;"("&amp;INDEX(MO_SNA_FPStartDate,0,COLUMN())&amp;","&amp;INDEX(MO_Common_QEndDate,0,COLUMN())&amp;",,,,""PRICE"",""CLOSE"")"),"N/A")</f>
        <v>N/A</v>
      </c>
      <c r="AI524" s="345" t="str">
        <f ca="1">IFERROR(_xll.FDS(MO.Ticker.FactSet,"P_PRICE_AVG"&amp;"("&amp;INDEX(MO_SNA_FPStartDate,0,COLUMN())&amp;","&amp;INDEX(MO_Common_QEndDate,0,COLUMN())&amp;",,,,""PRICE"",""CLOSE"")"),"N/A")</f>
        <v>N/A</v>
      </c>
      <c r="AJ524" s="345" t="str">
        <f ca="1">IFERROR(_xll.FDS(MO.Ticker.FactSet,"P_PRICE_AVG"&amp;"("&amp;INDEX(MO_SNA_FPStartDate,0,COLUMN())&amp;","&amp;INDEX(MO_Common_QEndDate,0,COLUMN())&amp;",,,,""PRICE"",""CLOSE"")"),"N/A")</f>
        <v>N/A</v>
      </c>
      <c r="AK524" s="345" t="str">
        <f ca="1">IFERROR(_xll.FDS(MO.Ticker.FactSet,"P_PRICE_AVG"&amp;"("&amp;INDEX(MO_SNA_FPStartDate,0,COLUMN())&amp;","&amp;INDEX(MO_Common_QEndDate,0,COLUMN())&amp;",,,,""PRICE"",""CLOSE"")"),"N/A")</f>
        <v>N/A</v>
      </c>
      <c r="AL524" s="345" t="str">
        <f ca="1">IFERROR(_xll.FDS(MO.Ticker.FactSet,"P_PRICE_AVG"&amp;"("&amp;INDEX(MO_SNA_FPStartDate,0,COLUMN())&amp;","&amp;INDEX(MO_Common_QEndDate,0,COLUMN())&amp;",,,,""PRICE"",""CLOSE"")"),"N/A")</f>
        <v>N/A</v>
      </c>
      <c r="AM524" s="345"/>
      <c r="AN524" s="455" t="str">
        <f ca="1">IFERROR(_xll.FDS(MO.Ticker.FactSet,"P_PRICE_AVG"&amp;"("&amp;INDEX(MO_SNA_FPStartDate,0,COLUMN())&amp;","&amp;INDEX(MO_Common_QEndDate,0,COLUMN())&amp;",,,,""PRICE"",""CLOSE"")"),"N/A")</f>
        <v>N/A</v>
      </c>
      <c r="AO524" s="455" t="str">
        <f ca="1">IFERROR(_xll.FDS(MO.Ticker.FactSet,"P_PRICE_AVG"&amp;"("&amp;INDEX(MO_SNA_FPStartDate,0,COLUMN())&amp;","&amp;INDEX(MO_Common_QEndDate,0,COLUMN())&amp;",,,,""PRICE"",""CLOSE"")"),"N/A")</f>
        <v>N/A</v>
      </c>
      <c r="AP524" s="455" t="str">
        <f ca="1">IFERROR(_xll.FDS(MO.Ticker.FactSet,"P_PRICE_AVG"&amp;"("&amp;INDEX(MO_SNA_FPStartDate,0,COLUMN())&amp;","&amp;INDEX(MO_Common_QEndDate,0,COLUMN())&amp;",,,,""PRICE"",""CLOSE"")"),"N/A")</f>
        <v>N/A</v>
      </c>
      <c r="AQ524" s="455" t="str">
        <f ca="1">IFERROR(_xll.FDS(MO.Ticker.FactSet,"P_PRICE_AVG"&amp;"("&amp;INDEX(MO_SNA_FPStartDate,0,COLUMN())&amp;","&amp;INDEX(MO_Common_QEndDate,0,COLUMN())&amp;",,,,""PRICE"",""CLOSE"")"),"N/A")</f>
        <v>N/A</v>
      </c>
      <c r="AR524" s="455" t="str">
        <f ca="1">IFERROR(_xll.FDS(MO.Ticker.FactSet,"P_PRICE_AVG"&amp;"("&amp;INDEX(MO_SNA_FPStartDate,0,COLUMN())&amp;","&amp;INDEX(MO_Common_QEndDate,0,COLUMN())&amp;",,,,""PRICE"",""CLOSE"")"),"N/A")</f>
        <v>N/A</v>
      </c>
      <c r="AS524" s="455" t="str">
        <f ca="1">IFERROR(_xll.FDS(MO.Ticker.FactSet,"P_PRICE_AVG"&amp;"("&amp;INDEX(MO_SNA_FPStartDate,0,COLUMN())&amp;","&amp;INDEX(MO_Common_QEndDate,0,COLUMN())&amp;",,,,""PRICE"",""CLOSE"")"),"N/A")</f>
        <v>N/A</v>
      </c>
      <c r="AT524" s="455" t="str">
        <f ca="1">IFERROR(_xll.FDS(MO.Ticker.FactSet,"P_PRICE_AVG"&amp;"("&amp;INDEX(MO_SNA_FPStartDate,0,COLUMN())&amp;","&amp;INDEX(MO_Common_QEndDate,0,COLUMN())&amp;",,,,""PRICE"",""CLOSE"")"),"N/A")</f>
        <v>N/A</v>
      </c>
      <c r="AU524" s="455" t="str">
        <f ca="1">IFERROR(_xll.FDS(MO.Ticker.FactSet,"P_PRICE_AVG"&amp;"("&amp;INDEX(MO_SNA_FPStartDate,0,COLUMN())&amp;","&amp;INDEX(MO_Common_QEndDate,0,COLUMN())&amp;",,,,""PRICE"",""CLOSE"")"),"N/A")</f>
        <v>N/A</v>
      </c>
      <c r="AV524" s="455" t="str">
        <f ca="1">IFERROR(_xll.FDS(MO.Ticker.FactSet,"P_PRICE_AVG"&amp;"("&amp;INDEX(MO_SNA_FPStartDate,0,COLUMN())&amp;","&amp;INDEX(MO_Common_QEndDate,0,COLUMN())&amp;",,,,""PRICE"",""CLOSE"")"),"N/A")</f>
        <v>N/A</v>
      </c>
      <c r="AW524" s="455" t="str">
        <f ca="1">IFERROR(_xll.FDS(MO.Ticker.FactSet,"P_PRICE_AVG"&amp;"("&amp;INDEX(MO_SNA_FPStartDate,0,COLUMN())&amp;","&amp;INDEX(MO_Common_QEndDate,0,COLUMN())&amp;",,,,""PRICE"",""CLOSE"")"),"N/A")</f>
        <v>N/A</v>
      </c>
      <c r="AX524" s="455" t="str">
        <f ca="1">IFERROR(_xll.FDS(MO.Ticker.FactSet,"P_PRICE_AVG"&amp;"("&amp;INDEX(MO_SNA_FPStartDate,0,COLUMN())&amp;","&amp;INDEX(MO_Common_QEndDate,0,COLUMN())&amp;",,,,""PRICE"",""CLOSE"")"),"N/A")</f>
        <v>N/A</v>
      </c>
      <c r="AY524" s="345" t="str">
        <f ca="1">IFERROR(_xll.FDS(MO.Ticker.FactSet,"P_PRICE_AVG"&amp;"("&amp;INDEX(MO_SNA_FPStartDate,0,COLUMN())&amp;","&amp;INDEX(MO_Common_QEndDate,0,COLUMN())&amp;",,,,""PRICE"",""CLOSE"")"),"N/A")</f>
        <v>N/A</v>
      </c>
      <c r="AZ524" s="345" t="str">
        <f ca="1">IFERROR(_xll.FDS(MO.Ticker.FactSet,"P_PRICE_AVG"&amp;"("&amp;INDEX(MO_SNA_FPStartDate,0,COLUMN())&amp;","&amp;INDEX(MO_Common_QEndDate,0,COLUMN())&amp;",,,,""PRICE"",""CLOSE"")"),"N/A")</f>
        <v>N/A</v>
      </c>
      <c r="BA524" s="345" t="str">
        <f ca="1">IFERROR(_xll.FDS(MO.Ticker.FactSet,"P_PRICE_AVG"&amp;"("&amp;INDEX(MO_SNA_FPStartDate,0,COLUMN())&amp;","&amp;INDEX(MO_Common_QEndDate,0,COLUMN())&amp;",,,,""PRICE"",""CLOSE"")"),"N/A")</f>
        <v>N/A</v>
      </c>
      <c r="BB524" s="345" t="str">
        <f ca="1">IFERROR(_xll.FDS(MO.Ticker.FactSet,"P_PRICE_AVG"&amp;"("&amp;INDEX(MO_SNA_FPStartDate,0,COLUMN())&amp;","&amp;INDEX(MO_Common_QEndDate,0,COLUMN())&amp;",,,,""PRICE"",""CLOSE"")"),"N/A")</f>
        <v>N/A</v>
      </c>
      <c r="BC524" s="346" t="str">
        <f ca="1">IFERROR(_xll.FDS(MO.Ticker.FactSet,"P_PRICE_AVG"&amp;"("&amp;INDEX(MO_SNA_FPStartDate,0,COLUMN())&amp;","&amp;INDEX(MO_Common_QEndDate,0,COLUMN())&amp;",,,,""PRICE"",""CLOSE"")"),"N/A")</f>
        <v>N/A</v>
      </c>
      <c r="BD524" s="347"/>
    </row>
    <row r="525" spans="1:56" s="348" customFormat="1" hidden="1" outlineLevel="1" x14ac:dyDescent="0.25">
      <c r="A525" s="349" t="s">
        <v>284</v>
      </c>
      <c r="B525" s="345"/>
      <c r="C525" s="455" t="str">
        <f ca="1">IFERROR(_xll.TR(MO.Ticker.Thomson,"AVG(TR.Priceclose)","sdate:#1 edate:#2",,INDEX(MO_SNA_FPStartDate,0,COLUMN()),INDEX(MO_Common_QEndDate,0,COLUMN())),"N/A")</f>
        <v>N/A</v>
      </c>
      <c r="D525" s="455" t="str">
        <f ca="1">IFERROR(_xll.TR(MO.Ticker.Thomson,"AVG(TR.Priceclose)","sdate:#1 edate:#2",,INDEX(MO_SNA_FPStartDate,0,COLUMN()),INDEX(MO_Common_QEndDate,0,COLUMN())),"N/A")</f>
        <v>N/A</v>
      </c>
      <c r="E525" s="455" t="str">
        <f ca="1">IFERROR(_xll.TR(MO.Ticker.Thomson,"AVG(TR.Priceclose)","sdate:#1 edate:#2",,INDEX(MO_SNA_FPStartDate,0,COLUMN()),INDEX(MO_Common_QEndDate,0,COLUMN())),"N/A")</f>
        <v>N/A</v>
      </c>
      <c r="F525" s="455" t="str">
        <f ca="1">IFERROR(_xll.TR(MO.Ticker.Thomson,"AVG(TR.Priceclose)","sdate:#1 edate:#2",,INDEX(MO_SNA_FPStartDate,0,COLUMN()),INDEX(MO_Common_QEndDate,0,COLUMN())),"N/A")</f>
        <v>N/A</v>
      </c>
      <c r="G525" s="455" t="str">
        <f ca="1">IFERROR(_xll.TR(MO.Ticker.Thomson,"AVG(TR.Priceclose)","sdate:#1 edate:#2",,INDEX(MO_SNA_FPStartDate,0,COLUMN()),INDEX(MO_Common_QEndDate,0,COLUMN())),"N/A")</f>
        <v>N/A</v>
      </c>
      <c r="H525" s="455" t="str">
        <f ca="1">IFERROR(_xll.TR(MO.Ticker.Thomson,"AVG(TR.Priceclose)","sdate:#1 edate:#2",,INDEX(MO_SNA_FPStartDate,0,COLUMN()),INDEX(MO_Common_QEndDate,0,COLUMN())),"N/A")</f>
        <v>N/A</v>
      </c>
      <c r="I525" s="455" t="str">
        <f ca="1">IFERROR(_xll.TR(MO.Ticker.Thomson,"AVG(TR.Priceclose)","sdate:#1 edate:#2",,INDEX(MO_SNA_FPStartDate,0,COLUMN()),INDEX(MO_Common_QEndDate,0,COLUMN())),"N/A")</f>
        <v>N/A</v>
      </c>
      <c r="J525" s="455" t="str">
        <f ca="1">IFERROR(_xll.TR(MO.Ticker.Thomson,"AVG(TR.Priceclose)","sdate:#1 edate:#2",,INDEX(MO_SNA_FPStartDate,0,COLUMN()),INDEX(MO_Common_QEndDate,0,COLUMN())),"N/A")</f>
        <v>N/A</v>
      </c>
      <c r="K525" s="455" t="str">
        <f ca="1">IFERROR(_xll.TR(MO.Ticker.Thomson,"AVG(TR.Priceclose)","sdate:#1 edate:#2",,INDEX(MO_SNA_FPStartDate,0,COLUMN()),INDEX(MO_Common_QEndDate,0,COLUMN())),"N/A")</f>
        <v>N/A</v>
      </c>
      <c r="L525" s="455" t="str">
        <f ca="1">IFERROR(_xll.TR(MO.Ticker.Thomson,"AVG(TR.Priceclose)","sdate:#1 edate:#2",,INDEX(MO_SNA_FPStartDate,0,COLUMN()),INDEX(MO_Common_QEndDate,0,COLUMN())),"N/A")</f>
        <v>N/A</v>
      </c>
      <c r="M525" s="455" t="str">
        <f ca="1">IFERROR(_xll.TR(MO.Ticker.Thomson,"AVG(TR.Priceclose)","sdate:#1 edate:#2",,INDEX(MO_SNA_FPStartDate,0,COLUMN()),INDEX(MO_Common_QEndDate,0,COLUMN())),"N/A")</f>
        <v>N/A</v>
      </c>
      <c r="N525" s="455" t="str">
        <f ca="1">IFERROR(_xll.TR(MO.Ticker.Thomson,"AVG(TR.Priceclose)","sdate:#1 edate:#2",,INDEX(MO_SNA_FPStartDate,0,COLUMN()),INDEX(MO_Common_QEndDate,0,COLUMN())),"N/A")</f>
        <v>N/A</v>
      </c>
      <c r="O525" s="455" t="str">
        <f ca="1">IFERROR(_xll.TR(MO.Ticker.Thomson,"AVG(TR.Priceclose)","sdate:#1 edate:#2",,INDEX(MO_SNA_FPStartDate,0,COLUMN()),INDEX(MO_Common_QEndDate,0,COLUMN())),"N/A")</f>
        <v>N/A</v>
      </c>
      <c r="P525" s="455" t="str">
        <f ca="1">IFERROR(_xll.TR(MO.Ticker.Thomson,"AVG(TR.Priceclose)","sdate:#1 edate:#2",,INDEX(MO_SNA_FPStartDate,0,COLUMN()),INDEX(MO_Common_QEndDate,0,COLUMN())),"N/A")</f>
        <v>N/A</v>
      </c>
      <c r="Q525" s="455" t="str">
        <f ca="1">IFERROR(_xll.TR(MO.Ticker.Thomson,"AVG(TR.Priceclose)","sdate:#1 edate:#2",,INDEX(MO_SNA_FPStartDate,0,COLUMN()),INDEX(MO_Common_QEndDate,0,COLUMN())),"N/A")</f>
        <v>N/A</v>
      </c>
      <c r="R525" s="455" t="str">
        <f ca="1">IFERROR(_xll.TR(MO.Ticker.Thomson,"AVG(TR.Priceclose)","sdate:#1 edate:#2",,INDEX(MO_SNA_FPStartDate,0,COLUMN()),INDEX(MO_Common_QEndDate,0,COLUMN())),"N/A")</f>
        <v>N/A</v>
      </c>
      <c r="S525" s="455" t="str">
        <f ca="1">IFERROR(_xll.TR(MO.Ticker.Thomson,"AVG(TR.Priceclose)","sdate:#1 edate:#2",,INDEX(MO_SNA_FPStartDate,0,COLUMN()),INDEX(MO_Common_QEndDate,0,COLUMN())),"N/A")</f>
        <v>N/A</v>
      </c>
      <c r="T525" s="455" t="str">
        <f ca="1">IFERROR(_xll.TR(MO.Ticker.Thomson,"AVG(TR.Priceclose)","sdate:#1 edate:#2",,INDEX(MO_SNA_FPStartDate,0,COLUMN()),INDEX(MO_Common_QEndDate,0,COLUMN())),"N/A")</f>
        <v>N/A</v>
      </c>
      <c r="U525" s="455" t="str">
        <f ca="1">IFERROR(_xll.TR(MO.Ticker.Thomson,"AVG(TR.Priceclose)","sdate:#1 edate:#2",,INDEX(MO_SNA_FPStartDate,0,COLUMN()),INDEX(MO_Common_QEndDate,0,COLUMN())),"N/A")</f>
        <v>N/A</v>
      </c>
      <c r="V525" s="455" t="str">
        <f ca="1">IFERROR(_xll.TR(MO.Ticker.Thomson,"AVG(TR.Priceclose)","sdate:#1 edate:#2",,INDEX(MO_SNA_FPStartDate,0,COLUMN()),INDEX(MO_Common_QEndDate,0,COLUMN())),"N/A")</f>
        <v>N/A</v>
      </c>
      <c r="W525" s="455" t="str">
        <f ca="1">IFERROR(_xll.TR(MO.Ticker.Thomson,"AVG(TR.Priceclose)","sdate:#1 edate:#2",,INDEX(MO_SNA_FPStartDate,0,COLUMN()),INDEX(MO_Common_QEndDate,0,COLUMN())),"N/A")</f>
        <v>N/A</v>
      </c>
      <c r="X525" s="455" t="str">
        <f ca="1">IFERROR(_xll.TR(MO.Ticker.Thomson,"AVG(TR.Priceclose)","sdate:#1 edate:#2",,INDEX(MO_SNA_FPStartDate,0,COLUMN()),INDEX(MO_Common_QEndDate,0,COLUMN())),"N/A")</f>
        <v>N/A</v>
      </c>
      <c r="Y525" s="455" t="str">
        <f ca="1">IFERROR(_xll.TR(MO.Ticker.Thomson,"AVG(TR.Priceclose)","sdate:#1 edate:#2",,INDEX(MO_SNA_FPStartDate,0,COLUMN()),INDEX(MO_Common_QEndDate,0,COLUMN())),"N/A")</f>
        <v>N/A</v>
      </c>
      <c r="Z525" s="455" t="str">
        <f ca="1">IFERROR(_xll.TR(MO.Ticker.Thomson,"AVG(TR.Priceclose)","sdate:#1 edate:#2",,INDEX(MO_SNA_FPStartDate,0,COLUMN()),INDEX(MO_Common_QEndDate,0,COLUMN())),"N/A")</f>
        <v>N/A</v>
      </c>
      <c r="AA525" s="455" t="str">
        <f ca="1">IFERROR(_xll.TR(MO.Ticker.Thomson,"AVG(TR.Priceclose)","sdate:#1 edate:#2",,INDEX(MO_SNA_FPStartDate,0,COLUMN()),INDEX(MO_Common_QEndDate,0,COLUMN())),"N/A")</f>
        <v>N/A</v>
      </c>
      <c r="AB525" s="455" t="str">
        <f ca="1">IFERROR(_xll.TR(MO.Ticker.Thomson,"AVG(TR.Priceclose)","sdate:#1 edate:#2",,INDEX(MO_SNA_FPStartDate,0,COLUMN()),INDEX(MO_Common_QEndDate,0,COLUMN())),"N/A")</f>
        <v>N/A</v>
      </c>
      <c r="AC525" s="455" t="str">
        <f ca="1">IFERROR(_xll.TR(MO.Ticker.Thomson,"AVG(TR.Priceclose)","sdate:#1 edate:#2",,INDEX(MO_SNA_FPStartDate,0,COLUMN()),INDEX(MO_Common_QEndDate,0,COLUMN())),"N/A")</f>
        <v>N/A</v>
      </c>
      <c r="AD525" s="455" t="str">
        <f ca="1">IFERROR(_xll.TR(MO.Ticker.Thomson,"AVG(TR.Priceclose)","sdate:#1 edate:#2",,INDEX(MO_SNA_FPStartDate,0,COLUMN()),INDEX(MO_Common_QEndDate,0,COLUMN())),"N/A")</f>
        <v>N/A</v>
      </c>
      <c r="AE525" s="455" t="str">
        <f ca="1">IFERROR(_xll.TR(MO.Ticker.Thomson,"AVG(TR.Priceclose)","sdate:#1 edate:#2",,INDEX(MO_SNA_FPStartDate,0,COLUMN()),INDEX(MO_Common_QEndDate,0,COLUMN())),"N/A")</f>
        <v>N/A</v>
      </c>
      <c r="AF525" s="455" t="str">
        <f ca="1">IFERROR(_xll.TR(MO.Ticker.Thomson,"AVG(TR.Priceclose)","sdate:#1 edate:#2",,INDEX(MO_SNA_FPStartDate,0,COLUMN()),INDEX(MO_Common_QEndDate,0,COLUMN())),"N/A")</f>
        <v>N/A</v>
      </c>
      <c r="AG525" s="345" t="str">
        <f ca="1">IFERROR(_xll.TR(MO.Ticker.Thomson,"AVG(TR.Priceclose)","sdate:#1 edate:#2",,INDEX(MO_SNA_FPStartDate,0,COLUMN()),INDEX(MO_Common_QEndDate,0,COLUMN())),"N/A")</f>
        <v>N/A</v>
      </c>
      <c r="AH525" s="345" t="str">
        <f ca="1">IFERROR(_xll.TR(MO.Ticker.Thomson,"AVG(TR.Priceclose)","sdate:#1 edate:#2",,INDEX(MO_SNA_FPStartDate,0,COLUMN()),INDEX(MO_Common_QEndDate,0,COLUMN())),"N/A")</f>
        <v>N/A</v>
      </c>
      <c r="AI525" s="345" t="str">
        <f ca="1">IFERROR(_xll.TR(MO.Ticker.Thomson,"AVG(TR.Priceclose)","sdate:#1 edate:#2",,INDEX(MO_SNA_FPStartDate,0,COLUMN()),INDEX(MO_Common_QEndDate,0,COLUMN())),"N/A")</f>
        <v>N/A</v>
      </c>
      <c r="AJ525" s="345" t="str">
        <f ca="1">IFERROR(_xll.TR(MO.Ticker.Thomson,"AVG(TR.Priceclose)","sdate:#1 edate:#2",,INDEX(MO_SNA_FPStartDate,0,COLUMN()),INDEX(MO_Common_QEndDate,0,COLUMN())),"N/A")</f>
        <v>N/A</v>
      </c>
      <c r="AK525" s="345" t="str">
        <f ca="1">IFERROR(_xll.TR(MO.Ticker.Thomson,"AVG(TR.Priceclose)","sdate:#1 edate:#2",,INDEX(MO_SNA_FPStartDate,0,COLUMN()),INDEX(MO_Common_QEndDate,0,COLUMN())),"N/A")</f>
        <v>N/A</v>
      </c>
      <c r="AL525" s="345" t="str">
        <f ca="1">IFERROR(_xll.TR(MO.Ticker.Thomson,"AVG(TR.Priceclose)","sdate:#1 edate:#2",,INDEX(MO_SNA_FPStartDate,0,COLUMN()),INDEX(MO_Common_QEndDate,0,COLUMN())),"N/A")</f>
        <v>N/A</v>
      </c>
      <c r="AM525" s="345"/>
      <c r="AN525" s="455" t="str">
        <f ca="1">IFERROR(_xll.TR(MO.Ticker.Thomson,"AVG(TR.Priceclose)","sdate:#1 edate:#2",,INDEX(MO_SNA_FPStartDate,0,COLUMN()),INDEX(MO_Common_QEndDate,0,COLUMN())),"N/A")</f>
        <v>N/A</v>
      </c>
      <c r="AO525" s="455" t="str">
        <f ca="1">IFERROR(_xll.TR(MO.Ticker.Thomson,"AVG(TR.Priceclose)","sdate:#1 edate:#2",,INDEX(MO_SNA_FPStartDate,0,COLUMN()),INDEX(MO_Common_QEndDate,0,COLUMN())),"N/A")</f>
        <v>N/A</v>
      </c>
      <c r="AP525" s="455" t="str">
        <f ca="1">IFERROR(_xll.TR(MO.Ticker.Thomson,"AVG(TR.Priceclose)","sdate:#1 edate:#2",,INDEX(MO_SNA_FPStartDate,0,COLUMN()),INDEX(MO_Common_QEndDate,0,COLUMN())),"N/A")</f>
        <v>N/A</v>
      </c>
      <c r="AQ525" s="455" t="str">
        <f ca="1">IFERROR(_xll.TR(MO.Ticker.Thomson,"AVG(TR.Priceclose)","sdate:#1 edate:#2",,INDEX(MO_SNA_FPStartDate,0,COLUMN()),INDEX(MO_Common_QEndDate,0,COLUMN())),"N/A")</f>
        <v>N/A</v>
      </c>
      <c r="AR525" s="455" t="str">
        <f ca="1">IFERROR(_xll.TR(MO.Ticker.Thomson,"AVG(TR.Priceclose)","sdate:#1 edate:#2",,INDEX(MO_SNA_FPStartDate,0,COLUMN()),INDEX(MO_Common_QEndDate,0,COLUMN())),"N/A")</f>
        <v>N/A</v>
      </c>
      <c r="AS525" s="455" t="str">
        <f ca="1">IFERROR(_xll.TR(MO.Ticker.Thomson,"AVG(TR.Priceclose)","sdate:#1 edate:#2",,INDEX(MO_SNA_FPStartDate,0,COLUMN()),INDEX(MO_Common_QEndDate,0,COLUMN())),"N/A")</f>
        <v>N/A</v>
      </c>
      <c r="AT525" s="455" t="str">
        <f ca="1">IFERROR(_xll.TR(MO.Ticker.Thomson,"AVG(TR.Priceclose)","sdate:#1 edate:#2",,INDEX(MO_SNA_FPStartDate,0,COLUMN()),INDEX(MO_Common_QEndDate,0,COLUMN())),"N/A")</f>
        <v>N/A</v>
      </c>
      <c r="AU525" s="455" t="str">
        <f ca="1">IFERROR(_xll.TR(MO.Ticker.Thomson,"AVG(TR.Priceclose)","sdate:#1 edate:#2",,INDEX(MO_SNA_FPStartDate,0,COLUMN()),INDEX(MO_Common_QEndDate,0,COLUMN())),"N/A")</f>
        <v>N/A</v>
      </c>
      <c r="AV525" s="455" t="str">
        <f ca="1">IFERROR(_xll.TR(MO.Ticker.Thomson,"AVG(TR.Priceclose)","sdate:#1 edate:#2",,INDEX(MO_SNA_FPStartDate,0,COLUMN()),INDEX(MO_Common_QEndDate,0,COLUMN())),"N/A")</f>
        <v>N/A</v>
      </c>
      <c r="AW525" s="455" t="str">
        <f ca="1">IFERROR(_xll.TR(MO.Ticker.Thomson,"AVG(TR.Priceclose)","sdate:#1 edate:#2",,INDEX(MO_SNA_FPStartDate,0,COLUMN()),INDEX(MO_Common_QEndDate,0,COLUMN())),"N/A")</f>
        <v>N/A</v>
      </c>
      <c r="AX525" s="455" t="str">
        <f ca="1">IFERROR(_xll.TR(MO.Ticker.Thomson,"AVG(TR.Priceclose)","sdate:#1 edate:#2",,INDEX(MO_SNA_FPStartDate,0,COLUMN()),INDEX(MO_Common_QEndDate,0,COLUMN())),"N/A")</f>
        <v>N/A</v>
      </c>
      <c r="AY525" s="345" t="str">
        <f ca="1">IFERROR(_xll.TR(MO.Ticker.Thomson,"AVG(TR.Priceclose)","sdate:#1 edate:#2",,INDEX(MO_SNA_FPStartDate,0,COLUMN()),INDEX(MO_Common_QEndDate,0,COLUMN())),"N/A")</f>
        <v>N/A</v>
      </c>
      <c r="AZ525" s="345" t="str">
        <f ca="1">IFERROR(_xll.TR(MO.Ticker.Thomson,"AVG(TR.Priceclose)","sdate:#1 edate:#2",,INDEX(MO_SNA_FPStartDate,0,COLUMN()),INDEX(MO_Common_QEndDate,0,COLUMN())),"N/A")</f>
        <v>N/A</v>
      </c>
      <c r="BA525" s="345" t="str">
        <f ca="1">IFERROR(_xll.TR(MO.Ticker.Thomson,"AVG(TR.Priceclose)","sdate:#1 edate:#2",,INDEX(MO_SNA_FPStartDate,0,COLUMN()),INDEX(MO_Common_QEndDate,0,COLUMN())),"N/A")</f>
        <v>N/A</v>
      </c>
      <c r="BB525" s="345" t="str">
        <f ca="1">IFERROR(_xll.TR(MO.Ticker.Thomson,"AVG(TR.Priceclose)","sdate:#1 edate:#2",,INDEX(MO_SNA_FPStartDate,0,COLUMN()),INDEX(MO_Common_QEndDate,0,COLUMN())),"N/A")</f>
        <v>N/A</v>
      </c>
      <c r="BC525" s="346" t="str">
        <f ca="1">IFERROR(_xll.TR(MO.Ticker.Thomson,"AVG(TR.Priceclose)","sdate:#1 edate:#2",,INDEX(MO_SNA_FPStartDate,0,COLUMN()),INDEX(MO_Common_QEndDate,0,COLUMN())),"N/A")</f>
        <v>N/A</v>
      </c>
      <c r="BD525" s="347"/>
    </row>
    <row r="526" spans="1:56" hidden="1" outlineLevel="1" x14ac:dyDescent="0.25">
      <c r="A526" s="336"/>
      <c r="B526" s="335"/>
      <c r="C526" s="453"/>
      <c r="D526" s="453"/>
      <c r="E526" s="453"/>
      <c r="F526" s="453"/>
      <c r="G526" s="453"/>
      <c r="H526" s="453"/>
      <c r="I526" s="453"/>
      <c r="J526" s="453"/>
      <c r="K526" s="453"/>
      <c r="L526" s="453"/>
      <c r="M526" s="453"/>
      <c r="N526" s="453"/>
      <c r="O526" s="453"/>
      <c r="P526" s="453"/>
      <c r="Q526" s="453"/>
      <c r="R526" s="453"/>
      <c r="S526" s="453"/>
      <c r="T526" s="453"/>
      <c r="U526" s="453"/>
      <c r="V526" s="453"/>
      <c r="W526" s="453"/>
      <c r="X526" s="453"/>
      <c r="Y526" s="453"/>
      <c r="Z526" s="453"/>
      <c r="AA526" s="453"/>
      <c r="AB526" s="453"/>
      <c r="AC526" s="453"/>
      <c r="AD526" s="453"/>
      <c r="AE526" s="453"/>
      <c r="AF526" s="453"/>
      <c r="AG526" s="335"/>
      <c r="AH526" s="335"/>
      <c r="AI526" s="335"/>
      <c r="AJ526" s="335"/>
      <c r="AK526" s="335"/>
      <c r="AL526" s="335"/>
      <c r="AM526" s="335"/>
      <c r="AN526" s="453"/>
      <c r="AO526" s="453"/>
      <c r="AP526" s="453"/>
      <c r="AQ526" s="453"/>
      <c r="AR526" s="453"/>
      <c r="AS526" s="453"/>
      <c r="AT526" s="453"/>
      <c r="AU526" s="453"/>
      <c r="AV526" s="453"/>
      <c r="AW526" s="453"/>
      <c r="AX526" s="453"/>
      <c r="AY526" s="335"/>
      <c r="AZ526" s="335"/>
      <c r="BA526" s="335"/>
      <c r="BB526" s="335"/>
      <c r="BC526" s="337"/>
      <c r="BD526" s="285"/>
    </row>
    <row r="527" spans="1:56" s="354" customFormat="1" collapsed="1" x14ac:dyDescent="0.25">
      <c r="A527" s="350" t="str">
        <f ca="1">"FX Average: "&amp;IF(OR(MO.RealTimeStockPriceToggle=FALSE,VLOOKUP(MO.DataSourceName,MO_SPT_FXAverage_Sources,COLUMN()+2,FALSE)="N/A"),"Real-Time Off Source",MO.DataSourceName)</f>
        <v>FX Average: Real-Time Off Source</v>
      </c>
      <c r="B527" s="351"/>
      <c r="C527" s="456">
        <f t="shared" ref="C527:AL527" ca="1" si="494">IF(OR(MO.RealTimeStockPriceToggle=FALSE,AA.CurrencyMatch,VLOOKUP(MO.DataSourceName,MO_SPT_FXAverage_Sources,COLUMN(),FALSE)="N/A"),VLOOKUP("Real-Time Off Source",MO_SPT_FXAverage_Sources,COLUMN(),FALSE),VLOOKUP(MO.DataSourceName,MO_SPT_FXAverage_Sources,COLUMN(),FALSE))</f>
        <v>0</v>
      </c>
      <c r="D527" s="456">
        <f t="shared" ca="1" si="494"/>
        <v>0</v>
      </c>
      <c r="E527" s="456">
        <f t="shared" ca="1" si="494"/>
        <v>0</v>
      </c>
      <c r="F527" s="456">
        <f t="shared" ca="1" si="494"/>
        <v>0</v>
      </c>
      <c r="G527" s="456">
        <f t="shared" ca="1" si="494"/>
        <v>0</v>
      </c>
      <c r="H527" s="456">
        <f t="shared" ca="1" si="494"/>
        <v>0</v>
      </c>
      <c r="I527" s="456">
        <f t="shared" ca="1" si="494"/>
        <v>0</v>
      </c>
      <c r="J527" s="456">
        <f t="shared" ca="1" si="494"/>
        <v>0</v>
      </c>
      <c r="K527" s="456">
        <f t="shared" ca="1" si="494"/>
        <v>0</v>
      </c>
      <c r="L527" s="456">
        <f t="shared" ca="1" si="494"/>
        <v>0</v>
      </c>
      <c r="M527" s="456">
        <f t="shared" ca="1" si="494"/>
        <v>0</v>
      </c>
      <c r="N527" s="456">
        <f t="shared" ca="1" si="494"/>
        <v>0</v>
      </c>
      <c r="O527" s="456">
        <f t="shared" ca="1" si="494"/>
        <v>0</v>
      </c>
      <c r="P527" s="456">
        <f t="shared" ca="1" si="494"/>
        <v>0</v>
      </c>
      <c r="Q527" s="456">
        <f t="shared" ca="1" si="494"/>
        <v>0</v>
      </c>
      <c r="R527" s="456">
        <f t="shared" ca="1" si="494"/>
        <v>0</v>
      </c>
      <c r="S527" s="456">
        <f t="shared" ca="1" si="494"/>
        <v>0</v>
      </c>
      <c r="T527" s="456">
        <f t="shared" ca="1" si="494"/>
        <v>0</v>
      </c>
      <c r="U527" s="456">
        <f t="shared" ca="1" si="494"/>
        <v>0</v>
      </c>
      <c r="V527" s="456">
        <f t="shared" ca="1" si="494"/>
        <v>0</v>
      </c>
      <c r="W527" s="456">
        <f t="shared" ca="1" si="494"/>
        <v>0</v>
      </c>
      <c r="X527" s="456">
        <f t="shared" ca="1" si="494"/>
        <v>0</v>
      </c>
      <c r="Y527" s="456">
        <f t="shared" ca="1" si="494"/>
        <v>0</v>
      </c>
      <c r="Z527" s="456">
        <f t="shared" ca="1" si="494"/>
        <v>0</v>
      </c>
      <c r="AA527" s="456">
        <f t="shared" ca="1" si="494"/>
        <v>0</v>
      </c>
      <c r="AB527" s="456">
        <f t="shared" ca="1" si="494"/>
        <v>0</v>
      </c>
      <c r="AC527" s="456">
        <f t="shared" ca="1" si="494"/>
        <v>0</v>
      </c>
      <c r="AD527" s="456">
        <f t="shared" ca="1" si="494"/>
        <v>0</v>
      </c>
      <c r="AE527" s="456">
        <f t="shared" ca="1" si="494"/>
        <v>0</v>
      </c>
      <c r="AF527" s="456">
        <f t="shared" ca="1" si="494"/>
        <v>0</v>
      </c>
      <c r="AG527" s="351">
        <f t="shared" ca="1" si="494"/>
        <v>1</v>
      </c>
      <c r="AH527" s="351">
        <f t="shared" ca="1" si="494"/>
        <v>1</v>
      </c>
      <c r="AI527" s="351">
        <f t="shared" ca="1" si="494"/>
        <v>1</v>
      </c>
      <c r="AJ527" s="351">
        <f t="shared" ca="1" si="494"/>
        <v>1</v>
      </c>
      <c r="AK527" s="351">
        <f t="shared" ca="1" si="494"/>
        <v>1</v>
      </c>
      <c r="AL527" s="351">
        <f t="shared" ca="1" si="494"/>
        <v>1</v>
      </c>
      <c r="AM527" s="351"/>
      <c r="AN527" s="456">
        <f t="shared" ref="AN527:BC527" ca="1" si="495">IF(OR(MO.RealTimeStockPriceToggle=FALSE,AA.CurrencyMatch,VLOOKUP(MO.DataSourceName,MO_SPT_FXAverage_Sources,COLUMN(),FALSE)="N/A"),VLOOKUP("Real-Time Off Source",MO_SPT_FXAverage_Sources,COLUMN(),FALSE),VLOOKUP(MO.DataSourceName,MO_SPT_FXAverage_Sources,COLUMN(),FALSE))</f>
        <v>0</v>
      </c>
      <c r="AO527" s="456">
        <f t="shared" ca="1" si="495"/>
        <v>0</v>
      </c>
      <c r="AP527" s="456">
        <f t="shared" ca="1" si="495"/>
        <v>0</v>
      </c>
      <c r="AQ527" s="456">
        <f t="shared" ca="1" si="495"/>
        <v>0</v>
      </c>
      <c r="AR527" s="456">
        <f t="shared" ca="1" si="495"/>
        <v>0</v>
      </c>
      <c r="AS527" s="456">
        <f t="shared" ca="1" si="495"/>
        <v>0</v>
      </c>
      <c r="AT527" s="456">
        <f t="shared" ca="1" si="495"/>
        <v>0</v>
      </c>
      <c r="AU527" s="456">
        <f t="shared" ca="1" si="495"/>
        <v>0</v>
      </c>
      <c r="AV527" s="456">
        <f t="shared" ca="1" si="495"/>
        <v>0</v>
      </c>
      <c r="AW527" s="456">
        <f t="shared" ca="1" si="495"/>
        <v>0</v>
      </c>
      <c r="AX527" s="456">
        <f t="shared" ca="1" si="495"/>
        <v>0</v>
      </c>
      <c r="AY527" s="351">
        <f t="shared" ca="1" si="495"/>
        <v>1</v>
      </c>
      <c r="AZ527" s="351">
        <f t="shared" ca="1" si="495"/>
        <v>1</v>
      </c>
      <c r="BA527" s="351">
        <f t="shared" ca="1" si="495"/>
        <v>1</v>
      </c>
      <c r="BB527" s="351">
        <f t="shared" ca="1" si="495"/>
        <v>1</v>
      </c>
      <c r="BC527" s="352">
        <f t="shared" ca="1" si="495"/>
        <v>1</v>
      </c>
      <c r="BD527" s="353"/>
    </row>
    <row r="528" spans="1:56" s="354" customFormat="1" hidden="1" outlineLevel="1" x14ac:dyDescent="0.25">
      <c r="A528" s="355" t="s">
        <v>281</v>
      </c>
      <c r="B528" s="351"/>
      <c r="C528" s="456"/>
      <c r="D528" s="456"/>
      <c r="E528" s="456"/>
      <c r="F528" s="456"/>
      <c r="G528" s="456"/>
      <c r="H528" s="456"/>
      <c r="I528" s="456"/>
      <c r="J528" s="456"/>
      <c r="K528" s="456"/>
      <c r="L528" s="456"/>
      <c r="M528" s="456"/>
      <c r="N528" s="456"/>
      <c r="O528" s="456"/>
      <c r="P528" s="456"/>
      <c r="Q528" s="456"/>
      <c r="R528" s="456"/>
      <c r="S528" s="456"/>
      <c r="T528" s="456"/>
      <c r="U528" s="456"/>
      <c r="V528" s="456"/>
      <c r="W528" s="456"/>
      <c r="X528" s="456"/>
      <c r="Y528" s="456"/>
      <c r="Z528" s="456"/>
      <c r="AA528" s="456"/>
      <c r="AB528" s="456"/>
      <c r="AC528" s="456"/>
      <c r="AD528" s="456"/>
      <c r="AE528" s="456"/>
      <c r="AF528" s="456"/>
      <c r="AG528" s="351">
        <f t="shared" ref="AG528:AL528" si="496">MO.MRFX.Hardcoded</f>
        <v>1</v>
      </c>
      <c r="AH528" s="351">
        <f t="shared" si="496"/>
        <v>1</v>
      </c>
      <c r="AI528" s="351">
        <f t="shared" si="496"/>
        <v>1</v>
      </c>
      <c r="AJ528" s="351">
        <f t="shared" si="496"/>
        <v>1</v>
      </c>
      <c r="AK528" s="351">
        <f t="shared" si="496"/>
        <v>1</v>
      </c>
      <c r="AL528" s="351">
        <f t="shared" si="496"/>
        <v>1</v>
      </c>
      <c r="AM528" s="351"/>
      <c r="AN528" s="456"/>
      <c r="AO528" s="456"/>
      <c r="AP528" s="456"/>
      <c r="AQ528" s="456"/>
      <c r="AR528" s="456"/>
      <c r="AS528" s="456"/>
      <c r="AT528" s="456"/>
      <c r="AU528" s="456"/>
      <c r="AV528" s="456"/>
      <c r="AW528" s="456"/>
      <c r="AX528" s="456"/>
      <c r="AY528" s="351">
        <f>MO.MRFX.Hardcoded</f>
        <v>1</v>
      </c>
      <c r="AZ528" s="351">
        <f>MO.MRFX.Hardcoded</f>
        <v>1</v>
      </c>
      <c r="BA528" s="351">
        <f>MO.MRFX.Hardcoded</f>
        <v>1</v>
      </c>
      <c r="BB528" s="351">
        <f>MO.MRFX.Hardcoded</f>
        <v>1</v>
      </c>
      <c r="BC528" s="352">
        <f>MO.MRFX.Hardcoded</f>
        <v>1</v>
      </c>
      <c r="BD528" s="353"/>
    </row>
    <row r="529" spans="1:56" s="354" customFormat="1" hidden="1" outlineLevel="1" x14ac:dyDescent="0.25">
      <c r="A529" s="355" t="s">
        <v>7</v>
      </c>
      <c r="B529" s="351"/>
      <c r="C529" s="456" t="str">
        <f ca="1">IFERROR(IF(INDEX(MO_Common_QEndDate,0,COLUMN())&gt;TODAY(),_xll.BDP(MO.ReportCurrency&amp;HP.TradeCurrency&amp;" CURNCY","PX_LAST"),_xll.BDP(MO.ReportCurrency&amp;HP.TradeCurrency&amp;" CURNCY","INTERVAL_AVG","MARKET_DATA_OVERRIDE=PX_LAST","START_DATE_OVERRIDE",TEXT(INDEX(MO_SNA_FPStartDate,0,COLUMN()),"YYYYMMDD"),"END_DATE_OVERRIDE",TEXT(INDEX(MO_Common_QEndDate,0,COLUMN()),"YYYYMMDD"))),"N/A")</f>
        <v>N/A</v>
      </c>
      <c r="D529" s="456" t="str">
        <f ca="1">IFERROR(IF(INDEX(MO_Common_QEndDate,0,COLUMN())&gt;TODAY(),_xll.BDP(MO.ReportCurrency&amp;HP.TradeCurrency&amp;" CURNCY","PX_LAST"),_xll.BDP(MO.ReportCurrency&amp;HP.TradeCurrency&amp;" CURNCY","INTERVAL_AVG","MARKET_DATA_OVERRIDE=PX_LAST","START_DATE_OVERRIDE",TEXT(INDEX(MO_SNA_FPStartDate,0,COLUMN()),"YYYYMMDD"),"END_DATE_OVERRIDE",TEXT(INDEX(MO_Common_QEndDate,0,COLUMN()),"YYYYMMDD"))),"N/A")</f>
        <v>N/A</v>
      </c>
      <c r="E529" s="456" t="str">
        <f ca="1">IFERROR(IF(INDEX(MO_Common_QEndDate,0,COLUMN())&gt;TODAY(),_xll.BDP(MO.ReportCurrency&amp;HP.TradeCurrency&amp;" CURNCY","PX_LAST"),_xll.BDP(MO.ReportCurrency&amp;HP.TradeCurrency&amp;" CURNCY","INTERVAL_AVG","MARKET_DATA_OVERRIDE=PX_LAST","START_DATE_OVERRIDE",TEXT(INDEX(MO_SNA_FPStartDate,0,COLUMN()),"YYYYMMDD"),"END_DATE_OVERRIDE",TEXT(INDEX(MO_Common_QEndDate,0,COLUMN()),"YYYYMMDD"))),"N/A")</f>
        <v>N/A</v>
      </c>
      <c r="F529" s="456" t="str">
        <f ca="1">IFERROR(IF(INDEX(MO_Common_QEndDate,0,COLUMN())&gt;TODAY(),_xll.BDP(MO.ReportCurrency&amp;HP.TradeCurrency&amp;" CURNCY","PX_LAST"),_xll.BDP(MO.ReportCurrency&amp;HP.TradeCurrency&amp;" CURNCY","INTERVAL_AVG","MARKET_DATA_OVERRIDE=PX_LAST","START_DATE_OVERRIDE",TEXT(INDEX(MO_SNA_FPStartDate,0,COLUMN()),"YYYYMMDD"),"END_DATE_OVERRIDE",TEXT(INDEX(MO_Common_QEndDate,0,COLUMN()),"YYYYMMDD"))),"N/A")</f>
        <v>N/A</v>
      </c>
      <c r="G529" s="456" t="str">
        <f ca="1">IFERROR(IF(INDEX(MO_Common_QEndDate,0,COLUMN())&gt;TODAY(),_xll.BDP(MO.ReportCurrency&amp;HP.TradeCurrency&amp;" CURNCY","PX_LAST"),_xll.BDP(MO.ReportCurrency&amp;HP.TradeCurrency&amp;" CURNCY","INTERVAL_AVG","MARKET_DATA_OVERRIDE=PX_LAST","START_DATE_OVERRIDE",TEXT(INDEX(MO_SNA_FPStartDate,0,COLUMN()),"YYYYMMDD"),"END_DATE_OVERRIDE",TEXT(INDEX(MO_Common_QEndDate,0,COLUMN()),"YYYYMMDD"))),"N/A")</f>
        <v>N/A</v>
      </c>
      <c r="H529" s="456" t="str">
        <f ca="1">IFERROR(IF(INDEX(MO_Common_QEndDate,0,COLUMN())&gt;TODAY(),_xll.BDP(MO.ReportCurrency&amp;HP.TradeCurrency&amp;" CURNCY","PX_LAST"),_xll.BDP(MO.ReportCurrency&amp;HP.TradeCurrency&amp;" CURNCY","INTERVAL_AVG","MARKET_DATA_OVERRIDE=PX_LAST","START_DATE_OVERRIDE",TEXT(INDEX(MO_SNA_FPStartDate,0,COLUMN()),"YYYYMMDD"),"END_DATE_OVERRIDE",TEXT(INDEX(MO_Common_QEndDate,0,COLUMN()),"YYYYMMDD"))),"N/A")</f>
        <v>N/A</v>
      </c>
      <c r="I529" s="456" t="str">
        <f ca="1">IFERROR(IF(INDEX(MO_Common_QEndDate,0,COLUMN())&gt;TODAY(),_xll.BDP(MO.ReportCurrency&amp;HP.TradeCurrency&amp;" CURNCY","PX_LAST"),_xll.BDP(MO.ReportCurrency&amp;HP.TradeCurrency&amp;" CURNCY","INTERVAL_AVG","MARKET_DATA_OVERRIDE=PX_LAST","START_DATE_OVERRIDE",TEXT(INDEX(MO_SNA_FPStartDate,0,COLUMN()),"YYYYMMDD"),"END_DATE_OVERRIDE",TEXT(INDEX(MO_Common_QEndDate,0,COLUMN()),"YYYYMMDD"))),"N/A")</f>
        <v>N/A</v>
      </c>
      <c r="J529" s="456" t="str">
        <f ca="1">IFERROR(IF(INDEX(MO_Common_QEndDate,0,COLUMN())&gt;TODAY(),_xll.BDP(MO.ReportCurrency&amp;HP.TradeCurrency&amp;" CURNCY","PX_LAST"),_xll.BDP(MO.ReportCurrency&amp;HP.TradeCurrency&amp;" CURNCY","INTERVAL_AVG","MARKET_DATA_OVERRIDE=PX_LAST","START_DATE_OVERRIDE",TEXT(INDEX(MO_SNA_FPStartDate,0,COLUMN()),"YYYYMMDD"),"END_DATE_OVERRIDE",TEXT(INDEX(MO_Common_QEndDate,0,COLUMN()),"YYYYMMDD"))),"N/A")</f>
        <v>N/A</v>
      </c>
      <c r="K529" s="456" t="str">
        <f ca="1">IFERROR(IF(INDEX(MO_Common_QEndDate,0,COLUMN())&gt;TODAY(),_xll.BDP(MO.ReportCurrency&amp;HP.TradeCurrency&amp;" CURNCY","PX_LAST"),_xll.BDP(MO.ReportCurrency&amp;HP.TradeCurrency&amp;" CURNCY","INTERVAL_AVG","MARKET_DATA_OVERRIDE=PX_LAST","START_DATE_OVERRIDE",TEXT(INDEX(MO_SNA_FPStartDate,0,COLUMN()),"YYYYMMDD"),"END_DATE_OVERRIDE",TEXT(INDEX(MO_Common_QEndDate,0,COLUMN()),"YYYYMMDD"))),"N/A")</f>
        <v>N/A</v>
      </c>
      <c r="L529" s="456" t="str">
        <f ca="1">IFERROR(IF(INDEX(MO_Common_QEndDate,0,COLUMN())&gt;TODAY(),_xll.BDP(MO.ReportCurrency&amp;HP.TradeCurrency&amp;" CURNCY","PX_LAST"),_xll.BDP(MO.ReportCurrency&amp;HP.TradeCurrency&amp;" CURNCY","INTERVAL_AVG","MARKET_DATA_OVERRIDE=PX_LAST","START_DATE_OVERRIDE",TEXT(INDEX(MO_SNA_FPStartDate,0,COLUMN()),"YYYYMMDD"),"END_DATE_OVERRIDE",TEXT(INDEX(MO_Common_QEndDate,0,COLUMN()),"YYYYMMDD"))),"N/A")</f>
        <v>N/A</v>
      </c>
      <c r="M529" s="456" t="str">
        <f ca="1">IFERROR(IF(INDEX(MO_Common_QEndDate,0,COLUMN())&gt;TODAY(),_xll.BDP(MO.ReportCurrency&amp;HP.TradeCurrency&amp;" CURNCY","PX_LAST"),_xll.BDP(MO.ReportCurrency&amp;HP.TradeCurrency&amp;" CURNCY","INTERVAL_AVG","MARKET_DATA_OVERRIDE=PX_LAST","START_DATE_OVERRIDE",TEXT(INDEX(MO_SNA_FPStartDate,0,COLUMN()),"YYYYMMDD"),"END_DATE_OVERRIDE",TEXT(INDEX(MO_Common_QEndDate,0,COLUMN()),"YYYYMMDD"))),"N/A")</f>
        <v>N/A</v>
      </c>
      <c r="N529" s="456" t="str">
        <f ca="1">IFERROR(IF(INDEX(MO_Common_QEndDate,0,COLUMN())&gt;TODAY(),_xll.BDP(MO.ReportCurrency&amp;HP.TradeCurrency&amp;" CURNCY","PX_LAST"),_xll.BDP(MO.ReportCurrency&amp;HP.TradeCurrency&amp;" CURNCY","INTERVAL_AVG","MARKET_DATA_OVERRIDE=PX_LAST","START_DATE_OVERRIDE",TEXT(INDEX(MO_SNA_FPStartDate,0,COLUMN()),"YYYYMMDD"),"END_DATE_OVERRIDE",TEXT(INDEX(MO_Common_QEndDate,0,COLUMN()),"YYYYMMDD"))),"N/A")</f>
        <v>N/A</v>
      </c>
      <c r="O529" s="456" t="str">
        <f ca="1">IFERROR(IF(INDEX(MO_Common_QEndDate,0,COLUMN())&gt;TODAY(),_xll.BDP(MO.ReportCurrency&amp;HP.TradeCurrency&amp;" CURNCY","PX_LAST"),_xll.BDP(MO.ReportCurrency&amp;HP.TradeCurrency&amp;" CURNCY","INTERVAL_AVG","MARKET_DATA_OVERRIDE=PX_LAST","START_DATE_OVERRIDE",TEXT(INDEX(MO_SNA_FPStartDate,0,COLUMN()),"YYYYMMDD"),"END_DATE_OVERRIDE",TEXT(INDEX(MO_Common_QEndDate,0,COLUMN()),"YYYYMMDD"))),"N/A")</f>
        <v>N/A</v>
      </c>
      <c r="P529" s="456" t="str">
        <f ca="1">IFERROR(IF(INDEX(MO_Common_QEndDate,0,COLUMN())&gt;TODAY(),_xll.BDP(MO.ReportCurrency&amp;HP.TradeCurrency&amp;" CURNCY","PX_LAST"),_xll.BDP(MO.ReportCurrency&amp;HP.TradeCurrency&amp;" CURNCY","INTERVAL_AVG","MARKET_DATA_OVERRIDE=PX_LAST","START_DATE_OVERRIDE",TEXT(INDEX(MO_SNA_FPStartDate,0,COLUMN()),"YYYYMMDD"),"END_DATE_OVERRIDE",TEXT(INDEX(MO_Common_QEndDate,0,COLUMN()),"YYYYMMDD"))),"N/A")</f>
        <v>N/A</v>
      </c>
      <c r="Q529" s="456" t="str">
        <f ca="1">IFERROR(IF(INDEX(MO_Common_QEndDate,0,COLUMN())&gt;TODAY(),_xll.BDP(MO.ReportCurrency&amp;HP.TradeCurrency&amp;" CURNCY","PX_LAST"),_xll.BDP(MO.ReportCurrency&amp;HP.TradeCurrency&amp;" CURNCY","INTERVAL_AVG","MARKET_DATA_OVERRIDE=PX_LAST","START_DATE_OVERRIDE",TEXT(INDEX(MO_SNA_FPStartDate,0,COLUMN()),"YYYYMMDD"),"END_DATE_OVERRIDE",TEXT(INDEX(MO_Common_QEndDate,0,COLUMN()),"YYYYMMDD"))),"N/A")</f>
        <v>N/A</v>
      </c>
      <c r="R529" s="456" t="str">
        <f ca="1">IFERROR(IF(INDEX(MO_Common_QEndDate,0,COLUMN())&gt;TODAY(),_xll.BDP(MO.ReportCurrency&amp;HP.TradeCurrency&amp;" CURNCY","PX_LAST"),_xll.BDP(MO.ReportCurrency&amp;HP.TradeCurrency&amp;" CURNCY","INTERVAL_AVG","MARKET_DATA_OVERRIDE=PX_LAST","START_DATE_OVERRIDE",TEXT(INDEX(MO_SNA_FPStartDate,0,COLUMN()),"YYYYMMDD"),"END_DATE_OVERRIDE",TEXT(INDEX(MO_Common_QEndDate,0,COLUMN()),"YYYYMMDD"))),"N/A")</f>
        <v>N/A</v>
      </c>
      <c r="S529" s="456" t="str">
        <f ca="1">IFERROR(IF(INDEX(MO_Common_QEndDate,0,COLUMN())&gt;TODAY(),_xll.BDP(MO.ReportCurrency&amp;HP.TradeCurrency&amp;" CURNCY","PX_LAST"),_xll.BDP(MO.ReportCurrency&amp;HP.TradeCurrency&amp;" CURNCY","INTERVAL_AVG","MARKET_DATA_OVERRIDE=PX_LAST","START_DATE_OVERRIDE",TEXT(INDEX(MO_SNA_FPStartDate,0,COLUMN()),"YYYYMMDD"),"END_DATE_OVERRIDE",TEXT(INDEX(MO_Common_QEndDate,0,COLUMN()),"YYYYMMDD"))),"N/A")</f>
        <v>N/A</v>
      </c>
      <c r="T529" s="456" t="str">
        <f ca="1">IFERROR(IF(INDEX(MO_Common_QEndDate,0,COLUMN())&gt;TODAY(),_xll.BDP(MO.ReportCurrency&amp;HP.TradeCurrency&amp;" CURNCY","PX_LAST"),_xll.BDP(MO.ReportCurrency&amp;HP.TradeCurrency&amp;" CURNCY","INTERVAL_AVG","MARKET_DATA_OVERRIDE=PX_LAST","START_DATE_OVERRIDE",TEXT(INDEX(MO_SNA_FPStartDate,0,COLUMN()),"YYYYMMDD"),"END_DATE_OVERRIDE",TEXT(INDEX(MO_Common_QEndDate,0,COLUMN()),"YYYYMMDD"))),"N/A")</f>
        <v>N/A</v>
      </c>
      <c r="U529" s="456" t="str">
        <f ca="1">IFERROR(IF(INDEX(MO_Common_QEndDate,0,COLUMN())&gt;TODAY(),_xll.BDP(MO.ReportCurrency&amp;HP.TradeCurrency&amp;" CURNCY","PX_LAST"),_xll.BDP(MO.ReportCurrency&amp;HP.TradeCurrency&amp;" CURNCY","INTERVAL_AVG","MARKET_DATA_OVERRIDE=PX_LAST","START_DATE_OVERRIDE",TEXT(INDEX(MO_SNA_FPStartDate,0,COLUMN()),"YYYYMMDD"),"END_DATE_OVERRIDE",TEXT(INDEX(MO_Common_QEndDate,0,COLUMN()),"YYYYMMDD"))),"N/A")</f>
        <v>N/A</v>
      </c>
      <c r="V529" s="456" t="str">
        <f ca="1">IFERROR(IF(INDEX(MO_Common_QEndDate,0,COLUMN())&gt;TODAY(),_xll.BDP(MO.ReportCurrency&amp;HP.TradeCurrency&amp;" CURNCY","PX_LAST"),_xll.BDP(MO.ReportCurrency&amp;HP.TradeCurrency&amp;" CURNCY","INTERVAL_AVG","MARKET_DATA_OVERRIDE=PX_LAST","START_DATE_OVERRIDE",TEXT(INDEX(MO_SNA_FPStartDate,0,COLUMN()),"YYYYMMDD"),"END_DATE_OVERRIDE",TEXT(INDEX(MO_Common_QEndDate,0,COLUMN()),"YYYYMMDD"))),"N/A")</f>
        <v>N/A</v>
      </c>
      <c r="W529" s="456" t="str">
        <f ca="1">IFERROR(IF(INDEX(MO_Common_QEndDate,0,COLUMN())&gt;TODAY(),_xll.BDP(MO.ReportCurrency&amp;HP.TradeCurrency&amp;" CURNCY","PX_LAST"),_xll.BDP(MO.ReportCurrency&amp;HP.TradeCurrency&amp;" CURNCY","INTERVAL_AVG","MARKET_DATA_OVERRIDE=PX_LAST","START_DATE_OVERRIDE",TEXT(INDEX(MO_SNA_FPStartDate,0,COLUMN()),"YYYYMMDD"),"END_DATE_OVERRIDE",TEXT(INDEX(MO_Common_QEndDate,0,COLUMN()),"YYYYMMDD"))),"N/A")</f>
        <v>N/A</v>
      </c>
      <c r="X529" s="456" t="str">
        <f ca="1">IFERROR(IF(INDEX(MO_Common_QEndDate,0,COLUMN())&gt;TODAY(),_xll.BDP(MO.ReportCurrency&amp;HP.TradeCurrency&amp;" CURNCY","PX_LAST"),_xll.BDP(MO.ReportCurrency&amp;HP.TradeCurrency&amp;" CURNCY","INTERVAL_AVG","MARKET_DATA_OVERRIDE=PX_LAST","START_DATE_OVERRIDE",TEXT(INDEX(MO_SNA_FPStartDate,0,COLUMN()),"YYYYMMDD"),"END_DATE_OVERRIDE",TEXT(INDEX(MO_Common_QEndDate,0,COLUMN()),"YYYYMMDD"))),"N/A")</f>
        <v>N/A</v>
      </c>
      <c r="Y529" s="456" t="str">
        <f ca="1">IFERROR(IF(INDEX(MO_Common_QEndDate,0,COLUMN())&gt;TODAY(),_xll.BDP(MO.ReportCurrency&amp;HP.TradeCurrency&amp;" CURNCY","PX_LAST"),_xll.BDP(MO.ReportCurrency&amp;HP.TradeCurrency&amp;" CURNCY","INTERVAL_AVG","MARKET_DATA_OVERRIDE=PX_LAST","START_DATE_OVERRIDE",TEXT(INDEX(MO_SNA_FPStartDate,0,COLUMN()),"YYYYMMDD"),"END_DATE_OVERRIDE",TEXT(INDEX(MO_Common_QEndDate,0,COLUMN()),"YYYYMMDD"))),"N/A")</f>
        <v>N/A</v>
      </c>
      <c r="Z529" s="456" t="str">
        <f ca="1">IFERROR(IF(INDEX(MO_Common_QEndDate,0,COLUMN())&gt;TODAY(),_xll.BDP(MO.ReportCurrency&amp;HP.TradeCurrency&amp;" CURNCY","PX_LAST"),_xll.BDP(MO.ReportCurrency&amp;HP.TradeCurrency&amp;" CURNCY","INTERVAL_AVG","MARKET_DATA_OVERRIDE=PX_LAST","START_DATE_OVERRIDE",TEXT(INDEX(MO_SNA_FPStartDate,0,COLUMN()),"YYYYMMDD"),"END_DATE_OVERRIDE",TEXT(INDEX(MO_Common_QEndDate,0,COLUMN()),"YYYYMMDD"))),"N/A")</f>
        <v>N/A</v>
      </c>
      <c r="AA529" s="456" t="str">
        <f ca="1">IFERROR(IF(INDEX(MO_Common_QEndDate,0,COLUMN())&gt;TODAY(),_xll.BDP(MO.ReportCurrency&amp;HP.TradeCurrency&amp;" CURNCY","PX_LAST"),_xll.BDP(MO.ReportCurrency&amp;HP.TradeCurrency&amp;" CURNCY","INTERVAL_AVG","MARKET_DATA_OVERRIDE=PX_LAST","START_DATE_OVERRIDE",TEXT(INDEX(MO_SNA_FPStartDate,0,COLUMN()),"YYYYMMDD"),"END_DATE_OVERRIDE",TEXT(INDEX(MO_Common_QEndDate,0,COLUMN()),"YYYYMMDD"))),"N/A")</f>
        <v>N/A</v>
      </c>
      <c r="AB529" s="456" t="str">
        <f ca="1">IFERROR(IF(INDEX(MO_Common_QEndDate,0,COLUMN())&gt;TODAY(),_xll.BDP(MO.ReportCurrency&amp;HP.TradeCurrency&amp;" CURNCY","PX_LAST"),_xll.BDP(MO.ReportCurrency&amp;HP.TradeCurrency&amp;" CURNCY","INTERVAL_AVG","MARKET_DATA_OVERRIDE=PX_LAST","START_DATE_OVERRIDE",TEXT(INDEX(MO_SNA_FPStartDate,0,COLUMN()),"YYYYMMDD"),"END_DATE_OVERRIDE",TEXT(INDEX(MO_Common_QEndDate,0,COLUMN()),"YYYYMMDD"))),"N/A")</f>
        <v>N/A</v>
      </c>
      <c r="AC529" s="456" t="str">
        <f ca="1">IFERROR(IF(INDEX(MO_Common_QEndDate,0,COLUMN())&gt;TODAY(),_xll.BDP(MO.ReportCurrency&amp;HP.TradeCurrency&amp;" CURNCY","PX_LAST"),_xll.BDP(MO.ReportCurrency&amp;HP.TradeCurrency&amp;" CURNCY","INTERVAL_AVG","MARKET_DATA_OVERRIDE=PX_LAST","START_DATE_OVERRIDE",TEXT(INDEX(MO_SNA_FPStartDate,0,COLUMN()),"YYYYMMDD"),"END_DATE_OVERRIDE",TEXT(INDEX(MO_Common_QEndDate,0,COLUMN()),"YYYYMMDD"))),"N/A")</f>
        <v>N/A</v>
      </c>
      <c r="AD529" s="456" t="str">
        <f ca="1">IFERROR(IF(INDEX(MO_Common_QEndDate,0,COLUMN())&gt;TODAY(),_xll.BDP(MO.ReportCurrency&amp;HP.TradeCurrency&amp;" CURNCY","PX_LAST"),_xll.BDP(MO.ReportCurrency&amp;HP.TradeCurrency&amp;" CURNCY","INTERVAL_AVG","MARKET_DATA_OVERRIDE=PX_LAST","START_DATE_OVERRIDE",TEXT(INDEX(MO_SNA_FPStartDate,0,COLUMN()),"YYYYMMDD"),"END_DATE_OVERRIDE",TEXT(INDEX(MO_Common_QEndDate,0,COLUMN()),"YYYYMMDD"))),"N/A")</f>
        <v>N/A</v>
      </c>
      <c r="AE529" s="456" t="str">
        <f ca="1">IFERROR(IF(INDEX(MO_Common_QEndDate,0,COLUMN())&gt;TODAY(),_xll.BDP(MO.ReportCurrency&amp;HP.TradeCurrency&amp;" CURNCY","PX_LAST"),_xll.BDP(MO.ReportCurrency&amp;HP.TradeCurrency&amp;" CURNCY","INTERVAL_AVG","MARKET_DATA_OVERRIDE=PX_LAST","START_DATE_OVERRIDE",TEXT(INDEX(MO_SNA_FPStartDate,0,COLUMN()),"YYYYMMDD"),"END_DATE_OVERRIDE",TEXT(INDEX(MO_Common_QEndDate,0,COLUMN()),"YYYYMMDD"))),"N/A")</f>
        <v>N/A</v>
      </c>
      <c r="AF529" s="456" t="str">
        <f ca="1">IFERROR(IF(INDEX(MO_Common_QEndDate,0,COLUMN())&gt;TODAY(),_xll.BDP(MO.ReportCurrency&amp;HP.TradeCurrency&amp;" CURNCY","PX_LAST"),_xll.BDP(MO.ReportCurrency&amp;HP.TradeCurrency&amp;" CURNCY","INTERVAL_AVG","MARKET_DATA_OVERRIDE=PX_LAST","START_DATE_OVERRIDE",TEXT(INDEX(MO_SNA_FPStartDate,0,COLUMN()),"YYYYMMDD"),"END_DATE_OVERRIDE",TEXT(INDEX(MO_Common_QEndDate,0,COLUMN()),"YYYYMMDD"))),"N/A")</f>
        <v>N/A</v>
      </c>
      <c r="AG529" s="351" t="str">
        <f ca="1">IFERROR(IF(INDEX(MO_Common_QEndDate,0,COLUMN())&gt;TODAY(),_xll.BDP(MO.ReportCurrency&amp;HP.TradeCurrency&amp;" CURNCY","PX_LAST"),_xll.BDP(MO.ReportCurrency&amp;HP.TradeCurrency&amp;" CURNCY","INTERVAL_AVG","MARKET_DATA_OVERRIDE=PX_LAST","START_DATE_OVERRIDE",TEXT(INDEX(MO_SNA_FPStartDate,0,COLUMN()),"YYYYMMDD"),"END_DATE_OVERRIDE",TEXT(INDEX(MO_Common_QEndDate,0,COLUMN()),"YYYYMMDD"))),"N/A")</f>
        <v>N/A</v>
      </c>
      <c r="AH529" s="351" t="str">
        <f ca="1">IFERROR(IF(INDEX(MO_Common_QEndDate,0,COLUMN())&gt;TODAY(),_xll.BDP(MO.ReportCurrency&amp;HP.TradeCurrency&amp;" CURNCY","PX_LAST"),_xll.BDP(MO.ReportCurrency&amp;HP.TradeCurrency&amp;" CURNCY","INTERVAL_AVG","MARKET_DATA_OVERRIDE=PX_LAST","START_DATE_OVERRIDE",TEXT(INDEX(MO_SNA_FPStartDate,0,COLUMN()),"YYYYMMDD"),"END_DATE_OVERRIDE",TEXT(INDEX(MO_Common_QEndDate,0,COLUMN()),"YYYYMMDD"))),"N/A")</f>
        <v>N/A</v>
      </c>
      <c r="AI529" s="351" t="str">
        <f ca="1">IFERROR(IF(INDEX(MO_Common_QEndDate,0,COLUMN())&gt;TODAY(),_xll.BDP(MO.ReportCurrency&amp;HP.TradeCurrency&amp;" CURNCY","PX_LAST"),_xll.BDP(MO.ReportCurrency&amp;HP.TradeCurrency&amp;" CURNCY","INTERVAL_AVG","MARKET_DATA_OVERRIDE=PX_LAST","START_DATE_OVERRIDE",TEXT(INDEX(MO_SNA_FPStartDate,0,COLUMN()),"YYYYMMDD"),"END_DATE_OVERRIDE",TEXT(INDEX(MO_Common_QEndDate,0,COLUMN()),"YYYYMMDD"))),"N/A")</f>
        <v>N/A</v>
      </c>
      <c r="AJ529" s="351" t="str">
        <f ca="1">IFERROR(IF(INDEX(MO_Common_QEndDate,0,COLUMN())&gt;TODAY(),_xll.BDP(MO.ReportCurrency&amp;HP.TradeCurrency&amp;" CURNCY","PX_LAST"),_xll.BDP(MO.ReportCurrency&amp;HP.TradeCurrency&amp;" CURNCY","INTERVAL_AVG","MARKET_DATA_OVERRIDE=PX_LAST","START_DATE_OVERRIDE",TEXT(INDEX(MO_SNA_FPStartDate,0,COLUMN()),"YYYYMMDD"),"END_DATE_OVERRIDE",TEXT(INDEX(MO_Common_QEndDate,0,COLUMN()),"YYYYMMDD"))),"N/A")</f>
        <v>N/A</v>
      </c>
      <c r="AK529" s="351" t="str">
        <f ca="1">IFERROR(IF(INDEX(MO_Common_QEndDate,0,COLUMN())&gt;TODAY(),_xll.BDP(MO.ReportCurrency&amp;HP.TradeCurrency&amp;" CURNCY","PX_LAST"),_xll.BDP(MO.ReportCurrency&amp;HP.TradeCurrency&amp;" CURNCY","INTERVAL_AVG","MARKET_DATA_OVERRIDE=PX_LAST","START_DATE_OVERRIDE",TEXT(INDEX(MO_SNA_FPStartDate,0,COLUMN()),"YYYYMMDD"),"END_DATE_OVERRIDE",TEXT(INDEX(MO_Common_QEndDate,0,COLUMN()),"YYYYMMDD"))),"N/A")</f>
        <v>N/A</v>
      </c>
      <c r="AL529" s="351" t="str">
        <f ca="1">IFERROR(IF(INDEX(MO_Common_QEndDate,0,COLUMN())&gt;TODAY(),_xll.BDP(MO.ReportCurrency&amp;HP.TradeCurrency&amp;" CURNCY","PX_LAST"),_xll.BDP(MO.ReportCurrency&amp;HP.TradeCurrency&amp;" CURNCY","INTERVAL_AVG","MARKET_DATA_OVERRIDE=PX_LAST","START_DATE_OVERRIDE",TEXT(INDEX(MO_SNA_FPStartDate,0,COLUMN()),"YYYYMMDD"),"END_DATE_OVERRIDE",TEXT(INDEX(MO_Common_QEndDate,0,COLUMN()),"YYYYMMDD"))),"N/A")</f>
        <v>N/A</v>
      </c>
      <c r="AM529" s="351"/>
      <c r="AN529" s="456" t="str">
        <f ca="1">IFERROR(IF(INDEX(MO_Common_QEndDate,0,COLUMN())&gt;TODAY(),_xll.BDP(MO.ReportCurrency&amp;HP.TradeCurrency&amp;" CURNCY","PX_LAST"),_xll.BDP(MO.ReportCurrency&amp;HP.TradeCurrency&amp;" CURNCY","INTERVAL_AVG","MARKET_DATA_OVERRIDE=PX_LAST","START_DATE_OVERRIDE",TEXT(INDEX(MO_SNA_FPStartDate,0,COLUMN()),"YYYYMMDD"),"END_DATE_OVERRIDE",TEXT(INDEX(MO_Common_QEndDate,0,COLUMN()),"YYYYMMDD"))),"N/A")</f>
        <v>N/A</v>
      </c>
      <c r="AO529" s="456" t="str">
        <f ca="1">IFERROR(IF(INDEX(MO_Common_QEndDate,0,COLUMN())&gt;TODAY(),_xll.BDP(MO.ReportCurrency&amp;HP.TradeCurrency&amp;" CURNCY","PX_LAST"),_xll.BDP(MO.ReportCurrency&amp;HP.TradeCurrency&amp;" CURNCY","INTERVAL_AVG","MARKET_DATA_OVERRIDE=PX_LAST","START_DATE_OVERRIDE",TEXT(INDEX(MO_SNA_FPStartDate,0,COLUMN()),"YYYYMMDD"),"END_DATE_OVERRIDE",TEXT(INDEX(MO_Common_QEndDate,0,COLUMN()),"YYYYMMDD"))),"N/A")</f>
        <v>N/A</v>
      </c>
      <c r="AP529" s="456" t="str">
        <f ca="1">IFERROR(IF(INDEX(MO_Common_QEndDate,0,COLUMN())&gt;TODAY(),_xll.BDP(MO.ReportCurrency&amp;HP.TradeCurrency&amp;" CURNCY","PX_LAST"),_xll.BDP(MO.ReportCurrency&amp;HP.TradeCurrency&amp;" CURNCY","INTERVAL_AVG","MARKET_DATA_OVERRIDE=PX_LAST","START_DATE_OVERRIDE",TEXT(INDEX(MO_SNA_FPStartDate,0,COLUMN()),"YYYYMMDD"),"END_DATE_OVERRIDE",TEXT(INDEX(MO_Common_QEndDate,0,COLUMN()),"YYYYMMDD"))),"N/A")</f>
        <v>N/A</v>
      </c>
      <c r="AQ529" s="456" t="str">
        <f ca="1">IFERROR(IF(INDEX(MO_Common_QEndDate,0,COLUMN())&gt;TODAY(),_xll.BDP(MO.ReportCurrency&amp;HP.TradeCurrency&amp;" CURNCY","PX_LAST"),_xll.BDP(MO.ReportCurrency&amp;HP.TradeCurrency&amp;" CURNCY","INTERVAL_AVG","MARKET_DATA_OVERRIDE=PX_LAST","START_DATE_OVERRIDE",TEXT(INDEX(MO_SNA_FPStartDate,0,COLUMN()),"YYYYMMDD"),"END_DATE_OVERRIDE",TEXT(INDEX(MO_Common_QEndDate,0,COLUMN()),"YYYYMMDD"))),"N/A")</f>
        <v>N/A</v>
      </c>
      <c r="AR529" s="456" t="str">
        <f ca="1">IFERROR(IF(INDEX(MO_Common_QEndDate,0,COLUMN())&gt;TODAY(),_xll.BDP(MO.ReportCurrency&amp;HP.TradeCurrency&amp;" CURNCY","PX_LAST"),_xll.BDP(MO.ReportCurrency&amp;HP.TradeCurrency&amp;" CURNCY","INTERVAL_AVG","MARKET_DATA_OVERRIDE=PX_LAST","START_DATE_OVERRIDE",TEXT(INDEX(MO_SNA_FPStartDate,0,COLUMN()),"YYYYMMDD"),"END_DATE_OVERRIDE",TEXT(INDEX(MO_Common_QEndDate,0,COLUMN()),"YYYYMMDD"))),"N/A")</f>
        <v>N/A</v>
      </c>
      <c r="AS529" s="456" t="str">
        <f ca="1">IFERROR(IF(INDEX(MO_Common_QEndDate,0,COLUMN())&gt;TODAY(),_xll.BDP(MO.ReportCurrency&amp;HP.TradeCurrency&amp;" CURNCY","PX_LAST"),_xll.BDP(MO.ReportCurrency&amp;HP.TradeCurrency&amp;" CURNCY","INTERVAL_AVG","MARKET_DATA_OVERRIDE=PX_LAST","START_DATE_OVERRIDE",TEXT(INDEX(MO_SNA_FPStartDate,0,COLUMN()),"YYYYMMDD"),"END_DATE_OVERRIDE",TEXT(INDEX(MO_Common_QEndDate,0,COLUMN()),"YYYYMMDD"))),"N/A")</f>
        <v>N/A</v>
      </c>
      <c r="AT529" s="456" t="str">
        <f ca="1">IFERROR(IF(INDEX(MO_Common_QEndDate,0,COLUMN())&gt;TODAY(),_xll.BDP(MO.ReportCurrency&amp;HP.TradeCurrency&amp;" CURNCY","PX_LAST"),_xll.BDP(MO.ReportCurrency&amp;HP.TradeCurrency&amp;" CURNCY","INTERVAL_AVG","MARKET_DATA_OVERRIDE=PX_LAST","START_DATE_OVERRIDE",TEXT(INDEX(MO_SNA_FPStartDate,0,COLUMN()),"YYYYMMDD"),"END_DATE_OVERRIDE",TEXT(INDEX(MO_Common_QEndDate,0,COLUMN()),"YYYYMMDD"))),"N/A")</f>
        <v>N/A</v>
      </c>
      <c r="AU529" s="456" t="str">
        <f ca="1">IFERROR(IF(INDEX(MO_Common_QEndDate,0,COLUMN())&gt;TODAY(),_xll.BDP(MO.ReportCurrency&amp;HP.TradeCurrency&amp;" CURNCY","PX_LAST"),_xll.BDP(MO.ReportCurrency&amp;HP.TradeCurrency&amp;" CURNCY","INTERVAL_AVG","MARKET_DATA_OVERRIDE=PX_LAST","START_DATE_OVERRIDE",TEXT(INDEX(MO_SNA_FPStartDate,0,COLUMN()),"YYYYMMDD"),"END_DATE_OVERRIDE",TEXT(INDEX(MO_Common_QEndDate,0,COLUMN()),"YYYYMMDD"))),"N/A")</f>
        <v>N/A</v>
      </c>
      <c r="AV529" s="456" t="str">
        <f ca="1">IFERROR(IF(INDEX(MO_Common_QEndDate,0,COLUMN())&gt;TODAY(),_xll.BDP(MO.ReportCurrency&amp;HP.TradeCurrency&amp;" CURNCY","PX_LAST"),_xll.BDP(MO.ReportCurrency&amp;HP.TradeCurrency&amp;" CURNCY","INTERVAL_AVG","MARKET_DATA_OVERRIDE=PX_LAST","START_DATE_OVERRIDE",TEXT(INDEX(MO_SNA_FPStartDate,0,COLUMN()),"YYYYMMDD"),"END_DATE_OVERRIDE",TEXT(INDEX(MO_Common_QEndDate,0,COLUMN()),"YYYYMMDD"))),"N/A")</f>
        <v>N/A</v>
      </c>
      <c r="AW529" s="456" t="str">
        <f ca="1">IFERROR(IF(INDEX(MO_Common_QEndDate,0,COLUMN())&gt;TODAY(),_xll.BDP(MO.ReportCurrency&amp;HP.TradeCurrency&amp;" CURNCY","PX_LAST"),_xll.BDP(MO.ReportCurrency&amp;HP.TradeCurrency&amp;" CURNCY","INTERVAL_AVG","MARKET_DATA_OVERRIDE=PX_LAST","START_DATE_OVERRIDE",TEXT(INDEX(MO_SNA_FPStartDate,0,COLUMN()),"YYYYMMDD"),"END_DATE_OVERRIDE",TEXT(INDEX(MO_Common_QEndDate,0,COLUMN()),"YYYYMMDD"))),"N/A")</f>
        <v>N/A</v>
      </c>
      <c r="AX529" s="456" t="str">
        <f ca="1">IFERROR(IF(INDEX(MO_Common_QEndDate,0,COLUMN())&gt;TODAY(),_xll.BDP(MO.ReportCurrency&amp;HP.TradeCurrency&amp;" CURNCY","PX_LAST"),_xll.BDP(MO.ReportCurrency&amp;HP.TradeCurrency&amp;" CURNCY","INTERVAL_AVG","MARKET_DATA_OVERRIDE=PX_LAST","START_DATE_OVERRIDE",TEXT(INDEX(MO_SNA_FPStartDate,0,COLUMN()),"YYYYMMDD"),"END_DATE_OVERRIDE",TEXT(INDEX(MO_Common_QEndDate,0,COLUMN()),"YYYYMMDD"))),"N/A")</f>
        <v>N/A</v>
      </c>
      <c r="AY529" s="351" t="str">
        <f ca="1">IFERROR(IF(INDEX(MO_Common_QEndDate,0,COLUMN())&gt;TODAY(),_xll.BDP(MO.ReportCurrency&amp;HP.TradeCurrency&amp;" CURNCY","PX_LAST"),_xll.BDP(MO.ReportCurrency&amp;HP.TradeCurrency&amp;" CURNCY","INTERVAL_AVG","MARKET_DATA_OVERRIDE=PX_LAST","START_DATE_OVERRIDE",TEXT(INDEX(MO_SNA_FPStartDate,0,COLUMN()),"YYYYMMDD"),"END_DATE_OVERRIDE",TEXT(INDEX(MO_Common_QEndDate,0,COLUMN()),"YYYYMMDD"))),"N/A")</f>
        <v>N/A</v>
      </c>
      <c r="AZ529" s="351" t="str">
        <f ca="1">IFERROR(IF(INDEX(MO_Common_QEndDate,0,COLUMN())&gt;TODAY(),_xll.BDP(MO.ReportCurrency&amp;HP.TradeCurrency&amp;" CURNCY","PX_LAST"),_xll.BDP(MO.ReportCurrency&amp;HP.TradeCurrency&amp;" CURNCY","INTERVAL_AVG","MARKET_DATA_OVERRIDE=PX_LAST","START_DATE_OVERRIDE",TEXT(INDEX(MO_SNA_FPStartDate,0,COLUMN()),"YYYYMMDD"),"END_DATE_OVERRIDE",TEXT(INDEX(MO_Common_QEndDate,0,COLUMN()),"YYYYMMDD"))),"N/A")</f>
        <v>N/A</v>
      </c>
      <c r="BA529" s="351" t="str">
        <f ca="1">IFERROR(IF(INDEX(MO_Common_QEndDate,0,COLUMN())&gt;TODAY(),_xll.BDP(MO.ReportCurrency&amp;HP.TradeCurrency&amp;" CURNCY","PX_LAST"),_xll.BDP(MO.ReportCurrency&amp;HP.TradeCurrency&amp;" CURNCY","INTERVAL_AVG","MARKET_DATA_OVERRIDE=PX_LAST","START_DATE_OVERRIDE",TEXT(INDEX(MO_SNA_FPStartDate,0,COLUMN()),"YYYYMMDD"),"END_DATE_OVERRIDE",TEXT(INDEX(MO_Common_QEndDate,0,COLUMN()),"YYYYMMDD"))),"N/A")</f>
        <v>N/A</v>
      </c>
      <c r="BB529" s="351" t="str">
        <f ca="1">IFERROR(IF(INDEX(MO_Common_QEndDate,0,COLUMN())&gt;TODAY(),_xll.BDP(MO.ReportCurrency&amp;HP.TradeCurrency&amp;" CURNCY","PX_LAST"),_xll.BDP(MO.ReportCurrency&amp;HP.TradeCurrency&amp;" CURNCY","INTERVAL_AVG","MARKET_DATA_OVERRIDE=PX_LAST","START_DATE_OVERRIDE",TEXT(INDEX(MO_SNA_FPStartDate,0,COLUMN()),"YYYYMMDD"),"END_DATE_OVERRIDE",TEXT(INDEX(MO_Common_QEndDate,0,COLUMN()),"YYYYMMDD"))),"N/A")</f>
        <v>N/A</v>
      </c>
      <c r="BC529" s="352" t="str">
        <f ca="1">IFERROR(IF(INDEX(MO_Common_QEndDate,0,COLUMN())&gt;TODAY(),_xll.BDP(MO.ReportCurrency&amp;HP.TradeCurrency&amp;" CURNCY","PX_LAST"),_xll.BDP(MO.ReportCurrency&amp;HP.TradeCurrency&amp;" CURNCY","INTERVAL_AVG","MARKET_DATA_OVERRIDE=PX_LAST","START_DATE_OVERRIDE",TEXT(INDEX(MO_SNA_FPStartDate,0,COLUMN()),"YYYYMMDD"),"END_DATE_OVERRIDE",TEXT(INDEX(MO_Common_QEndDate,0,COLUMN()),"YYYYMMDD"))),"N/A")</f>
        <v>N/A</v>
      </c>
      <c r="BD529" s="353"/>
    </row>
    <row r="530" spans="1:56" s="354" customFormat="1" hidden="1" outlineLevel="1" x14ac:dyDescent="0.25">
      <c r="A530" s="355" t="s">
        <v>282</v>
      </c>
      <c r="B530" s="351"/>
      <c r="C530" s="456" t="str">
        <f ca="1">IFERROR(IF(INDEX(MO_Common_QEndDate,0,COLUMN())&gt;TODAY(),_xll.CIQ("$"&amp;HP.TradeCurrency&amp;MO.ReportCurrency,"IQ_LASTSALEPRICE"),_xll.CIQAVG("$"&amp;HP.TradeCurrency&amp;MO.ReportCurrency,"IQ_LASTSALEPRICE",INDEX(MO_SNA_FPStartDate,0,COLUMN()),INDEX(MO_Common_QEndDate,0,COLUMN()))),"N/A")</f>
        <v>N/A</v>
      </c>
      <c r="D530" s="456" t="str">
        <f ca="1">IFERROR(IF(INDEX(MO_Common_QEndDate,0,COLUMN())&gt;TODAY(),_xll.CIQ("$"&amp;HP.TradeCurrency&amp;MO.ReportCurrency,"IQ_LASTSALEPRICE"),_xll.CIQAVG("$"&amp;HP.TradeCurrency&amp;MO.ReportCurrency,"IQ_LASTSALEPRICE",INDEX(MO_SNA_FPStartDate,0,COLUMN()),INDEX(MO_Common_QEndDate,0,COLUMN()))),"N/A")</f>
        <v>N/A</v>
      </c>
      <c r="E530" s="456" t="str">
        <f ca="1">IFERROR(IF(INDEX(MO_Common_QEndDate,0,COLUMN())&gt;TODAY(),_xll.CIQ("$"&amp;HP.TradeCurrency&amp;MO.ReportCurrency,"IQ_LASTSALEPRICE"),_xll.CIQAVG("$"&amp;HP.TradeCurrency&amp;MO.ReportCurrency,"IQ_LASTSALEPRICE",INDEX(MO_SNA_FPStartDate,0,COLUMN()),INDEX(MO_Common_QEndDate,0,COLUMN()))),"N/A")</f>
        <v>N/A</v>
      </c>
      <c r="F530" s="456" t="str">
        <f ca="1">IFERROR(IF(INDEX(MO_Common_QEndDate,0,COLUMN())&gt;TODAY(),_xll.CIQ("$"&amp;HP.TradeCurrency&amp;MO.ReportCurrency,"IQ_LASTSALEPRICE"),_xll.CIQAVG("$"&amp;HP.TradeCurrency&amp;MO.ReportCurrency,"IQ_LASTSALEPRICE",INDEX(MO_SNA_FPStartDate,0,COLUMN()),INDEX(MO_Common_QEndDate,0,COLUMN()))),"N/A")</f>
        <v>N/A</v>
      </c>
      <c r="G530" s="456" t="str">
        <f ca="1">IFERROR(IF(INDEX(MO_Common_QEndDate,0,COLUMN())&gt;TODAY(),_xll.CIQ("$"&amp;HP.TradeCurrency&amp;MO.ReportCurrency,"IQ_LASTSALEPRICE"),_xll.CIQAVG("$"&amp;HP.TradeCurrency&amp;MO.ReportCurrency,"IQ_LASTSALEPRICE",INDEX(MO_SNA_FPStartDate,0,COLUMN()),INDEX(MO_Common_QEndDate,0,COLUMN()))),"N/A")</f>
        <v>N/A</v>
      </c>
      <c r="H530" s="456" t="str">
        <f ca="1">IFERROR(IF(INDEX(MO_Common_QEndDate,0,COLUMN())&gt;TODAY(),_xll.CIQ("$"&amp;HP.TradeCurrency&amp;MO.ReportCurrency,"IQ_LASTSALEPRICE"),_xll.CIQAVG("$"&amp;HP.TradeCurrency&amp;MO.ReportCurrency,"IQ_LASTSALEPRICE",INDEX(MO_SNA_FPStartDate,0,COLUMN()),INDEX(MO_Common_QEndDate,0,COLUMN()))),"N/A")</f>
        <v>N/A</v>
      </c>
      <c r="I530" s="456" t="str">
        <f ca="1">IFERROR(IF(INDEX(MO_Common_QEndDate,0,COLUMN())&gt;TODAY(),_xll.CIQ("$"&amp;HP.TradeCurrency&amp;MO.ReportCurrency,"IQ_LASTSALEPRICE"),_xll.CIQAVG("$"&amp;HP.TradeCurrency&amp;MO.ReportCurrency,"IQ_LASTSALEPRICE",INDEX(MO_SNA_FPStartDate,0,COLUMN()),INDEX(MO_Common_QEndDate,0,COLUMN()))),"N/A")</f>
        <v>N/A</v>
      </c>
      <c r="J530" s="456" t="str">
        <f ca="1">IFERROR(IF(INDEX(MO_Common_QEndDate,0,COLUMN())&gt;TODAY(),_xll.CIQ("$"&amp;HP.TradeCurrency&amp;MO.ReportCurrency,"IQ_LASTSALEPRICE"),_xll.CIQAVG("$"&amp;HP.TradeCurrency&amp;MO.ReportCurrency,"IQ_LASTSALEPRICE",INDEX(MO_SNA_FPStartDate,0,COLUMN()),INDEX(MO_Common_QEndDate,0,COLUMN()))),"N/A")</f>
        <v>N/A</v>
      </c>
      <c r="K530" s="456" t="str">
        <f ca="1">IFERROR(IF(INDEX(MO_Common_QEndDate,0,COLUMN())&gt;TODAY(),_xll.CIQ("$"&amp;HP.TradeCurrency&amp;MO.ReportCurrency,"IQ_LASTSALEPRICE"),_xll.CIQAVG("$"&amp;HP.TradeCurrency&amp;MO.ReportCurrency,"IQ_LASTSALEPRICE",INDEX(MO_SNA_FPStartDate,0,COLUMN()),INDEX(MO_Common_QEndDate,0,COLUMN()))),"N/A")</f>
        <v>N/A</v>
      </c>
      <c r="L530" s="456" t="str">
        <f ca="1">IFERROR(IF(INDEX(MO_Common_QEndDate,0,COLUMN())&gt;TODAY(),_xll.CIQ("$"&amp;HP.TradeCurrency&amp;MO.ReportCurrency,"IQ_LASTSALEPRICE"),_xll.CIQAVG("$"&amp;HP.TradeCurrency&amp;MO.ReportCurrency,"IQ_LASTSALEPRICE",INDEX(MO_SNA_FPStartDate,0,COLUMN()),INDEX(MO_Common_QEndDate,0,COLUMN()))),"N/A")</f>
        <v>N/A</v>
      </c>
      <c r="M530" s="456" t="str">
        <f ca="1">IFERROR(IF(INDEX(MO_Common_QEndDate,0,COLUMN())&gt;TODAY(),_xll.CIQ("$"&amp;HP.TradeCurrency&amp;MO.ReportCurrency,"IQ_LASTSALEPRICE"),_xll.CIQAVG("$"&amp;HP.TradeCurrency&amp;MO.ReportCurrency,"IQ_LASTSALEPRICE",INDEX(MO_SNA_FPStartDate,0,COLUMN()),INDEX(MO_Common_QEndDate,0,COLUMN()))),"N/A")</f>
        <v>N/A</v>
      </c>
      <c r="N530" s="456" t="str">
        <f ca="1">IFERROR(IF(INDEX(MO_Common_QEndDate,0,COLUMN())&gt;TODAY(),_xll.CIQ("$"&amp;HP.TradeCurrency&amp;MO.ReportCurrency,"IQ_LASTSALEPRICE"),_xll.CIQAVG("$"&amp;HP.TradeCurrency&amp;MO.ReportCurrency,"IQ_LASTSALEPRICE",INDEX(MO_SNA_FPStartDate,0,COLUMN()),INDEX(MO_Common_QEndDate,0,COLUMN()))),"N/A")</f>
        <v>N/A</v>
      </c>
      <c r="O530" s="456" t="str">
        <f ca="1">IFERROR(IF(INDEX(MO_Common_QEndDate,0,COLUMN())&gt;TODAY(),_xll.CIQ("$"&amp;HP.TradeCurrency&amp;MO.ReportCurrency,"IQ_LASTSALEPRICE"),_xll.CIQAVG("$"&amp;HP.TradeCurrency&amp;MO.ReportCurrency,"IQ_LASTSALEPRICE",INDEX(MO_SNA_FPStartDate,0,COLUMN()),INDEX(MO_Common_QEndDate,0,COLUMN()))),"N/A")</f>
        <v>N/A</v>
      </c>
      <c r="P530" s="456" t="str">
        <f ca="1">IFERROR(IF(INDEX(MO_Common_QEndDate,0,COLUMN())&gt;TODAY(),_xll.CIQ("$"&amp;HP.TradeCurrency&amp;MO.ReportCurrency,"IQ_LASTSALEPRICE"),_xll.CIQAVG("$"&amp;HP.TradeCurrency&amp;MO.ReportCurrency,"IQ_LASTSALEPRICE",INDEX(MO_SNA_FPStartDate,0,COLUMN()),INDEX(MO_Common_QEndDate,0,COLUMN()))),"N/A")</f>
        <v>N/A</v>
      </c>
      <c r="Q530" s="456" t="str">
        <f ca="1">IFERROR(IF(INDEX(MO_Common_QEndDate,0,COLUMN())&gt;TODAY(),_xll.CIQ("$"&amp;HP.TradeCurrency&amp;MO.ReportCurrency,"IQ_LASTSALEPRICE"),_xll.CIQAVG("$"&amp;HP.TradeCurrency&amp;MO.ReportCurrency,"IQ_LASTSALEPRICE",INDEX(MO_SNA_FPStartDate,0,COLUMN()),INDEX(MO_Common_QEndDate,0,COLUMN()))),"N/A")</f>
        <v>N/A</v>
      </c>
      <c r="R530" s="456" t="str">
        <f ca="1">IFERROR(IF(INDEX(MO_Common_QEndDate,0,COLUMN())&gt;TODAY(),_xll.CIQ("$"&amp;HP.TradeCurrency&amp;MO.ReportCurrency,"IQ_LASTSALEPRICE"),_xll.CIQAVG("$"&amp;HP.TradeCurrency&amp;MO.ReportCurrency,"IQ_LASTSALEPRICE",INDEX(MO_SNA_FPStartDate,0,COLUMN()),INDEX(MO_Common_QEndDate,0,COLUMN()))),"N/A")</f>
        <v>N/A</v>
      </c>
      <c r="S530" s="456" t="str">
        <f ca="1">IFERROR(IF(INDEX(MO_Common_QEndDate,0,COLUMN())&gt;TODAY(),_xll.CIQ("$"&amp;HP.TradeCurrency&amp;MO.ReportCurrency,"IQ_LASTSALEPRICE"),_xll.CIQAVG("$"&amp;HP.TradeCurrency&amp;MO.ReportCurrency,"IQ_LASTSALEPRICE",INDEX(MO_SNA_FPStartDate,0,COLUMN()),INDEX(MO_Common_QEndDate,0,COLUMN()))),"N/A")</f>
        <v>N/A</v>
      </c>
      <c r="T530" s="456" t="str">
        <f ca="1">IFERROR(IF(INDEX(MO_Common_QEndDate,0,COLUMN())&gt;TODAY(),_xll.CIQ("$"&amp;HP.TradeCurrency&amp;MO.ReportCurrency,"IQ_LASTSALEPRICE"),_xll.CIQAVG("$"&amp;HP.TradeCurrency&amp;MO.ReportCurrency,"IQ_LASTSALEPRICE",INDEX(MO_SNA_FPStartDate,0,COLUMN()),INDEX(MO_Common_QEndDate,0,COLUMN()))),"N/A")</f>
        <v>N/A</v>
      </c>
      <c r="U530" s="456" t="str">
        <f ca="1">IFERROR(IF(INDEX(MO_Common_QEndDate,0,COLUMN())&gt;TODAY(),_xll.CIQ("$"&amp;HP.TradeCurrency&amp;MO.ReportCurrency,"IQ_LASTSALEPRICE"),_xll.CIQAVG("$"&amp;HP.TradeCurrency&amp;MO.ReportCurrency,"IQ_LASTSALEPRICE",INDEX(MO_SNA_FPStartDate,0,COLUMN()),INDEX(MO_Common_QEndDate,0,COLUMN()))),"N/A")</f>
        <v>N/A</v>
      </c>
      <c r="V530" s="456" t="str">
        <f ca="1">IFERROR(IF(INDEX(MO_Common_QEndDate,0,COLUMN())&gt;TODAY(),_xll.CIQ("$"&amp;HP.TradeCurrency&amp;MO.ReportCurrency,"IQ_LASTSALEPRICE"),_xll.CIQAVG("$"&amp;HP.TradeCurrency&amp;MO.ReportCurrency,"IQ_LASTSALEPRICE",INDEX(MO_SNA_FPStartDate,0,COLUMN()),INDEX(MO_Common_QEndDate,0,COLUMN()))),"N/A")</f>
        <v>N/A</v>
      </c>
      <c r="W530" s="456" t="str">
        <f ca="1">IFERROR(IF(INDEX(MO_Common_QEndDate,0,COLUMN())&gt;TODAY(),_xll.CIQ("$"&amp;HP.TradeCurrency&amp;MO.ReportCurrency,"IQ_LASTSALEPRICE"),_xll.CIQAVG("$"&amp;HP.TradeCurrency&amp;MO.ReportCurrency,"IQ_LASTSALEPRICE",INDEX(MO_SNA_FPStartDate,0,COLUMN()),INDEX(MO_Common_QEndDate,0,COLUMN()))),"N/A")</f>
        <v>N/A</v>
      </c>
      <c r="X530" s="456" t="str">
        <f ca="1">IFERROR(IF(INDEX(MO_Common_QEndDate,0,COLUMN())&gt;TODAY(),_xll.CIQ("$"&amp;HP.TradeCurrency&amp;MO.ReportCurrency,"IQ_LASTSALEPRICE"),_xll.CIQAVG("$"&amp;HP.TradeCurrency&amp;MO.ReportCurrency,"IQ_LASTSALEPRICE",INDEX(MO_SNA_FPStartDate,0,COLUMN()),INDEX(MO_Common_QEndDate,0,COLUMN()))),"N/A")</f>
        <v>N/A</v>
      </c>
      <c r="Y530" s="456" t="str">
        <f ca="1">IFERROR(IF(INDEX(MO_Common_QEndDate,0,COLUMN())&gt;TODAY(),_xll.CIQ("$"&amp;HP.TradeCurrency&amp;MO.ReportCurrency,"IQ_LASTSALEPRICE"),_xll.CIQAVG("$"&amp;HP.TradeCurrency&amp;MO.ReportCurrency,"IQ_LASTSALEPRICE",INDEX(MO_SNA_FPStartDate,0,COLUMN()),INDEX(MO_Common_QEndDate,0,COLUMN()))),"N/A")</f>
        <v>N/A</v>
      </c>
      <c r="Z530" s="456" t="str">
        <f ca="1">IFERROR(IF(INDEX(MO_Common_QEndDate,0,COLUMN())&gt;TODAY(),_xll.CIQ("$"&amp;HP.TradeCurrency&amp;MO.ReportCurrency,"IQ_LASTSALEPRICE"),_xll.CIQAVG("$"&amp;HP.TradeCurrency&amp;MO.ReportCurrency,"IQ_LASTSALEPRICE",INDEX(MO_SNA_FPStartDate,0,COLUMN()),INDEX(MO_Common_QEndDate,0,COLUMN()))),"N/A")</f>
        <v>N/A</v>
      </c>
      <c r="AA530" s="456" t="str">
        <f ca="1">IFERROR(IF(INDEX(MO_Common_QEndDate,0,COLUMN())&gt;TODAY(),_xll.CIQ("$"&amp;HP.TradeCurrency&amp;MO.ReportCurrency,"IQ_LASTSALEPRICE"),_xll.CIQAVG("$"&amp;HP.TradeCurrency&amp;MO.ReportCurrency,"IQ_LASTSALEPRICE",INDEX(MO_SNA_FPStartDate,0,COLUMN()),INDEX(MO_Common_QEndDate,0,COLUMN()))),"N/A")</f>
        <v>N/A</v>
      </c>
      <c r="AB530" s="456" t="str">
        <f ca="1">IFERROR(IF(INDEX(MO_Common_QEndDate,0,COLUMN())&gt;TODAY(),_xll.CIQ("$"&amp;HP.TradeCurrency&amp;MO.ReportCurrency,"IQ_LASTSALEPRICE"),_xll.CIQAVG("$"&amp;HP.TradeCurrency&amp;MO.ReportCurrency,"IQ_LASTSALEPRICE",INDEX(MO_SNA_FPStartDate,0,COLUMN()),INDEX(MO_Common_QEndDate,0,COLUMN()))),"N/A")</f>
        <v>N/A</v>
      </c>
      <c r="AC530" s="456" t="str">
        <f ca="1">IFERROR(IF(INDEX(MO_Common_QEndDate,0,COLUMN())&gt;TODAY(),_xll.CIQ("$"&amp;HP.TradeCurrency&amp;MO.ReportCurrency,"IQ_LASTSALEPRICE"),_xll.CIQAVG("$"&amp;HP.TradeCurrency&amp;MO.ReportCurrency,"IQ_LASTSALEPRICE",INDEX(MO_SNA_FPStartDate,0,COLUMN()),INDEX(MO_Common_QEndDate,0,COLUMN()))),"N/A")</f>
        <v>N/A</v>
      </c>
      <c r="AD530" s="456" t="str">
        <f ca="1">IFERROR(IF(INDEX(MO_Common_QEndDate,0,COLUMN())&gt;TODAY(),_xll.CIQ("$"&amp;HP.TradeCurrency&amp;MO.ReportCurrency,"IQ_LASTSALEPRICE"),_xll.CIQAVG("$"&amp;HP.TradeCurrency&amp;MO.ReportCurrency,"IQ_LASTSALEPRICE",INDEX(MO_SNA_FPStartDate,0,COLUMN()),INDEX(MO_Common_QEndDate,0,COLUMN()))),"N/A")</f>
        <v>N/A</v>
      </c>
      <c r="AE530" s="456" t="str">
        <f ca="1">IFERROR(IF(INDEX(MO_Common_QEndDate,0,COLUMN())&gt;TODAY(),_xll.CIQ("$"&amp;HP.TradeCurrency&amp;MO.ReportCurrency,"IQ_LASTSALEPRICE"),_xll.CIQAVG("$"&amp;HP.TradeCurrency&amp;MO.ReportCurrency,"IQ_LASTSALEPRICE",INDEX(MO_SNA_FPStartDate,0,COLUMN()),INDEX(MO_Common_QEndDate,0,COLUMN()))),"N/A")</f>
        <v>N/A</v>
      </c>
      <c r="AF530" s="456" t="str">
        <f ca="1">IFERROR(IF(INDEX(MO_Common_QEndDate,0,COLUMN())&gt;TODAY(),_xll.CIQ("$"&amp;HP.TradeCurrency&amp;MO.ReportCurrency,"IQ_LASTSALEPRICE"),_xll.CIQAVG("$"&amp;HP.TradeCurrency&amp;MO.ReportCurrency,"IQ_LASTSALEPRICE",INDEX(MO_SNA_FPStartDate,0,COLUMN()),INDEX(MO_Common_QEndDate,0,COLUMN()))),"N/A")</f>
        <v>N/A</v>
      </c>
      <c r="AG530" s="351" t="str">
        <f ca="1">IFERROR(IF(INDEX(MO_Common_QEndDate,0,COLUMN())&gt;TODAY(),_xll.CIQ("$"&amp;HP.TradeCurrency&amp;MO.ReportCurrency,"IQ_LASTSALEPRICE"),_xll.CIQAVG("$"&amp;HP.TradeCurrency&amp;MO.ReportCurrency,"IQ_LASTSALEPRICE",INDEX(MO_SNA_FPStartDate,0,COLUMN()),INDEX(MO_Common_QEndDate,0,COLUMN()))),"N/A")</f>
        <v>N/A</v>
      </c>
      <c r="AH530" s="351" t="str">
        <f ca="1">IFERROR(IF(INDEX(MO_Common_QEndDate,0,COLUMN())&gt;TODAY(),_xll.CIQ("$"&amp;HP.TradeCurrency&amp;MO.ReportCurrency,"IQ_LASTSALEPRICE"),_xll.CIQAVG("$"&amp;HP.TradeCurrency&amp;MO.ReportCurrency,"IQ_LASTSALEPRICE",INDEX(MO_SNA_FPStartDate,0,COLUMN()),INDEX(MO_Common_QEndDate,0,COLUMN()))),"N/A")</f>
        <v>N/A</v>
      </c>
      <c r="AI530" s="351" t="str">
        <f ca="1">IFERROR(IF(INDEX(MO_Common_QEndDate,0,COLUMN())&gt;TODAY(),_xll.CIQ("$"&amp;HP.TradeCurrency&amp;MO.ReportCurrency,"IQ_LASTSALEPRICE"),_xll.CIQAVG("$"&amp;HP.TradeCurrency&amp;MO.ReportCurrency,"IQ_LASTSALEPRICE",INDEX(MO_SNA_FPStartDate,0,COLUMN()),INDEX(MO_Common_QEndDate,0,COLUMN()))),"N/A")</f>
        <v>N/A</v>
      </c>
      <c r="AJ530" s="351" t="str">
        <f ca="1">IFERROR(IF(INDEX(MO_Common_QEndDate,0,COLUMN())&gt;TODAY(),_xll.CIQ("$"&amp;HP.TradeCurrency&amp;MO.ReportCurrency,"IQ_LASTSALEPRICE"),_xll.CIQAVG("$"&amp;HP.TradeCurrency&amp;MO.ReportCurrency,"IQ_LASTSALEPRICE",INDEX(MO_SNA_FPStartDate,0,COLUMN()),INDEX(MO_Common_QEndDate,0,COLUMN()))),"N/A")</f>
        <v>N/A</v>
      </c>
      <c r="AK530" s="351" t="str">
        <f ca="1">IFERROR(IF(INDEX(MO_Common_QEndDate,0,COLUMN())&gt;TODAY(),_xll.CIQ("$"&amp;HP.TradeCurrency&amp;MO.ReportCurrency,"IQ_LASTSALEPRICE"),_xll.CIQAVG("$"&amp;HP.TradeCurrency&amp;MO.ReportCurrency,"IQ_LASTSALEPRICE",INDEX(MO_SNA_FPStartDate,0,COLUMN()),INDEX(MO_Common_QEndDate,0,COLUMN()))),"N/A")</f>
        <v>N/A</v>
      </c>
      <c r="AL530" s="351" t="str">
        <f ca="1">IFERROR(IF(INDEX(MO_Common_QEndDate,0,COLUMN())&gt;TODAY(),_xll.CIQ("$"&amp;HP.TradeCurrency&amp;MO.ReportCurrency,"IQ_LASTSALEPRICE"),_xll.CIQAVG("$"&amp;HP.TradeCurrency&amp;MO.ReportCurrency,"IQ_LASTSALEPRICE",INDEX(MO_SNA_FPStartDate,0,COLUMN()),INDEX(MO_Common_QEndDate,0,COLUMN()))),"N/A")</f>
        <v>N/A</v>
      </c>
      <c r="AM530" s="351"/>
      <c r="AN530" s="456" t="str">
        <f ca="1">IFERROR(IF(INDEX(MO_Common_QEndDate,0,COLUMN())&gt;TODAY(),_xll.CIQ("$"&amp;HP.TradeCurrency&amp;MO.ReportCurrency,"IQ_LASTSALEPRICE"),_xll.CIQAVG("$"&amp;HP.TradeCurrency&amp;MO.ReportCurrency,"IQ_LASTSALEPRICE",INDEX(MO_SNA_FPStartDate,0,COLUMN()),INDEX(MO_Common_QEndDate,0,COLUMN()))),"N/A")</f>
        <v>N/A</v>
      </c>
      <c r="AO530" s="456" t="str">
        <f ca="1">IFERROR(IF(INDEX(MO_Common_QEndDate,0,COLUMN())&gt;TODAY(),_xll.CIQ("$"&amp;HP.TradeCurrency&amp;MO.ReportCurrency,"IQ_LASTSALEPRICE"),_xll.CIQAVG("$"&amp;HP.TradeCurrency&amp;MO.ReportCurrency,"IQ_LASTSALEPRICE",INDEX(MO_SNA_FPStartDate,0,COLUMN()),INDEX(MO_Common_QEndDate,0,COLUMN()))),"N/A")</f>
        <v>N/A</v>
      </c>
      <c r="AP530" s="456" t="str">
        <f ca="1">IFERROR(IF(INDEX(MO_Common_QEndDate,0,COLUMN())&gt;TODAY(),_xll.CIQ("$"&amp;HP.TradeCurrency&amp;MO.ReportCurrency,"IQ_LASTSALEPRICE"),_xll.CIQAVG("$"&amp;HP.TradeCurrency&amp;MO.ReportCurrency,"IQ_LASTSALEPRICE",INDEX(MO_SNA_FPStartDate,0,COLUMN()),INDEX(MO_Common_QEndDate,0,COLUMN()))),"N/A")</f>
        <v>N/A</v>
      </c>
      <c r="AQ530" s="456" t="str">
        <f ca="1">IFERROR(IF(INDEX(MO_Common_QEndDate,0,COLUMN())&gt;TODAY(),_xll.CIQ("$"&amp;HP.TradeCurrency&amp;MO.ReportCurrency,"IQ_LASTSALEPRICE"),_xll.CIQAVG("$"&amp;HP.TradeCurrency&amp;MO.ReportCurrency,"IQ_LASTSALEPRICE",INDEX(MO_SNA_FPStartDate,0,COLUMN()),INDEX(MO_Common_QEndDate,0,COLUMN()))),"N/A")</f>
        <v>N/A</v>
      </c>
      <c r="AR530" s="456" t="str">
        <f ca="1">IFERROR(IF(INDEX(MO_Common_QEndDate,0,COLUMN())&gt;TODAY(),_xll.CIQ("$"&amp;HP.TradeCurrency&amp;MO.ReportCurrency,"IQ_LASTSALEPRICE"),_xll.CIQAVG("$"&amp;HP.TradeCurrency&amp;MO.ReportCurrency,"IQ_LASTSALEPRICE",INDEX(MO_SNA_FPStartDate,0,COLUMN()),INDEX(MO_Common_QEndDate,0,COLUMN()))),"N/A")</f>
        <v>N/A</v>
      </c>
      <c r="AS530" s="456" t="str">
        <f ca="1">IFERROR(IF(INDEX(MO_Common_QEndDate,0,COLUMN())&gt;TODAY(),_xll.CIQ("$"&amp;HP.TradeCurrency&amp;MO.ReportCurrency,"IQ_LASTSALEPRICE"),_xll.CIQAVG("$"&amp;HP.TradeCurrency&amp;MO.ReportCurrency,"IQ_LASTSALEPRICE",INDEX(MO_SNA_FPStartDate,0,COLUMN()),INDEX(MO_Common_QEndDate,0,COLUMN()))),"N/A")</f>
        <v>N/A</v>
      </c>
      <c r="AT530" s="456" t="str">
        <f ca="1">IFERROR(IF(INDEX(MO_Common_QEndDate,0,COLUMN())&gt;TODAY(),_xll.CIQ("$"&amp;HP.TradeCurrency&amp;MO.ReportCurrency,"IQ_LASTSALEPRICE"),_xll.CIQAVG("$"&amp;HP.TradeCurrency&amp;MO.ReportCurrency,"IQ_LASTSALEPRICE",INDEX(MO_SNA_FPStartDate,0,COLUMN()),INDEX(MO_Common_QEndDate,0,COLUMN()))),"N/A")</f>
        <v>N/A</v>
      </c>
      <c r="AU530" s="456" t="str">
        <f ca="1">IFERROR(IF(INDEX(MO_Common_QEndDate,0,COLUMN())&gt;TODAY(),_xll.CIQ("$"&amp;HP.TradeCurrency&amp;MO.ReportCurrency,"IQ_LASTSALEPRICE"),_xll.CIQAVG("$"&amp;HP.TradeCurrency&amp;MO.ReportCurrency,"IQ_LASTSALEPRICE",INDEX(MO_SNA_FPStartDate,0,COLUMN()),INDEX(MO_Common_QEndDate,0,COLUMN()))),"N/A")</f>
        <v>N/A</v>
      </c>
      <c r="AV530" s="456" t="str">
        <f ca="1">IFERROR(IF(INDEX(MO_Common_QEndDate,0,COLUMN())&gt;TODAY(),_xll.CIQ("$"&amp;HP.TradeCurrency&amp;MO.ReportCurrency,"IQ_LASTSALEPRICE"),_xll.CIQAVG("$"&amp;HP.TradeCurrency&amp;MO.ReportCurrency,"IQ_LASTSALEPRICE",INDEX(MO_SNA_FPStartDate,0,COLUMN()),INDEX(MO_Common_QEndDate,0,COLUMN()))),"N/A")</f>
        <v>N/A</v>
      </c>
      <c r="AW530" s="456" t="str">
        <f ca="1">IFERROR(IF(INDEX(MO_Common_QEndDate,0,COLUMN())&gt;TODAY(),_xll.CIQ("$"&amp;HP.TradeCurrency&amp;MO.ReportCurrency,"IQ_LASTSALEPRICE"),_xll.CIQAVG("$"&amp;HP.TradeCurrency&amp;MO.ReportCurrency,"IQ_LASTSALEPRICE",INDEX(MO_SNA_FPStartDate,0,COLUMN()),INDEX(MO_Common_QEndDate,0,COLUMN()))),"N/A")</f>
        <v>N/A</v>
      </c>
      <c r="AX530" s="456" t="str">
        <f ca="1">IFERROR(IF(INDEX(MO_Common_QEndDate,0,COLUMN())&gt;TODAY(),_xll.CIQ("$"&amp;HP.TradeCurrency&amp;MO.ReportCurrency,"IQ_LASTSALEPRICE"),_xll.CIQAVG("$"&amp;HP.TradeCurrency&amp;MO.ReportCurrency,"IQ_LASTSALEPRICE",INDEX(MO_SNA_FPStartDate,0,COLUMN()),INDEX(MO_Common_QEndDate,0,COLUMN()))),"N/A")</f>
        <v>N/A</v>
      </c>
      <c r="AY530" s="351" t="str">
        <f ca="1">IFERROR(IF(INDEX(MO_Common_QEndDate,0,COLUMN())&gt;TODAY(),_xll.CIQ("$"&amp;HP.TradeCurrency&amp;MO.ReportCurrency,"IQ_LASTSALEPRICE"),_xll.CIQAVG("$"&amp;HP.TradeCurrency&amp;MO.ReportCurrency,"IQ_LASTSALEPRICE",INDEX(MO_SNA_FPStartDate,0,COLUMN()),INDEX(MO_Common_QEndDate,0,COLUMN()))),"N/A")</f>
        <v>N/A</v>
      </c>
      <c r="AZ530" s="351" t="str">
        <f ca="1">IFERROR(IF(INDEX(MO_Common_QEndDate,0,COLUMN())&gt;TODAY(),_xll.CIQ("$"&amp;HP.TradeCurrency&amp;MO.ReportCurrency,"IQ_LASTSALEPRICE"),_xll.CIQAVG("$"&amp;HP.TradeCurrency&amp;MO.ReportCurrency,"IQ_LASTSALEPRICE",INDEX(MO_SNA_FPStartDate,0,COLUMN()),INDEX(MO_Common_QEndDate,0,COLUMN()))),"N/A")</f>
        <v>N/A</v>
      </c>
      <c r="BA530" s="351" t="str">
        <f ca="1">IFERROR(IF(INDEX(MO_Common_QEndDate,0,COLUMN())&gt;TODAY(),_xll.CIQ("$"&amp;HP.TradeCurrency&amp;MO.ReportCurrency,"IQ_LASTSALEPRICE"),_xll.CIQAVG("$"&amp;HP.TradeCurrency&amp;MO.ReportCurrency,"IQ_LASTSALEPRICE",INDEX(MO_SNA_FPStartDate,0,COLUMN()),INDEX(MO_Common_QEndDate,0,COLUMN()))),"N/A")</f>
        <v>N/A</v>
      </c>
      <c r="BB530" s="351" t="str">
        <f ca="1">IFERROR(IF(INDEX(MO_Common_QEndDate,0,COLUMN())&gt;TODAY(),_xll.CIQ("$"&amp;HP.TradeCurrency&amp;MO.ReportCurrency,"IQ_LASTSALEPRICE"),_xll.CIQAVG("$"&amp;HP.TradeCurrency&amp;MO.ReportCurrency,"IQ_LASTSALEPRICE",INDEX(MO_SNA_FPStartDate,0,COLUMN()),INDEX(MO_Common_QEndDate,0,COLUMN()))),"N/A")</f>
        <v>N/A</v>
      </c>
      <c r="BC530" s="352" t="str">
        <f ca="1">IFERROR(IF(INDEX(MO_Common_QEndDate,0,COLUMN())&gt;TODAY(),_xll.CIQ("$"&amp;HP.TradeCurrency&amp;MO.ReportCurrency,"IQ_LASTSALEPRICE"),_xll.CIQAVG("$"&amp;HP.TradeCurrency&amp;MO.ReportCurrency,"IQ_LASTSALEPRICE",INDEX(MO_SNA_FPStartDate,0,COLUMN()),INDEX(MO_Common_QEndDate,0,COLUMN()))),"N/A")</f>
        <v>N/A</v>
      </c>
      <c r="BD530" s="353"/>
    </row>
    <row r="531" spans="1:56" s="354" customFormat="1" hidden="1" outlineLevel="1" x14ac:dyDescent="0.25">
      <c r="A531" s="355" t="s">
        <v>283</v>
      </c>
      <c r="B531" s="351"/>
      <c r="C531" s="456" t="str">
        <f ca="1">IFERROR(IF(INDEX(MO_Common_QEndDate,0,COLUMN())&gt;TODAY(),_xll.FDS(MO.ReportCurrency&amp;HP.TradeCurrency,"FG_PRICE(NOW)"),_xll.FDS(MO.ReportCurrency&amp;HP.TradeCurrency,"P_PRICE_AVG("&amp;INDEX(MO_SNA_FPStartDate,0,COLUMN())&amp;","&amp;INDEX(MO_Common_QEndDate,0,COLUMN())&amp;",,,,0)")),"N/A")</f>
        <v>N/A</v>
      </c>
      <c r="D531" s="456" t="str">
        <f ca="1">IFERROR(IF(INDEX(MO_Common_QEndDate,0,COLUMN())&gt;TODAY(),_xll.FDS(MO.ReportCurrency&amp;HP.TradeCurrency,"FG_PRICE(NOW)"),_xll.FDS(MO.ReportCurrency&amp;HP.TradeCurrency,"P_PRICE_AVG("&amp;INDEX(MO_SNA_FPStartDate,0,COLUMN())&amp;","&amp;INDEX(MO_Common_QEndDate,0,COLUMN())&amp;",,,,0)")),"N/A")</f>
        <v>N/A</v>
      </c>
      <c r="E531" s="456" t="str">
        <f ca="1">IFERROR(IF(INDEX(MO_Common_QEndDate,0,COLUMN())&gt;TODAY(),_xll.FDS(MO.ReportCurrency&amp;HP.TradeCurrency,"FG_PRICE(NOW)"),_xll.FDS(MO.ReportCurrency&amp;HP.TradeCurrency,"P_PRICE_AVG("&amp;INDEX(MO_SNA_FPStartDate,0,COLUMN())&amp;","&amp;INDEX(MO_Common_QEndDate,0,COLUMN())&amp;",,,,0)")),"N/A")</f>
        <v>N/A</v>
      </c>
      <c r="F531" s="456" t="str">
        <f ca="1">IFERROR(IF(INDEX(MO_Common_QEndDate,0,COLUMN())&gt;TODAY(),_xll.FDS(MO.ReportCurrency&amp;HP.TradeCurrency,"FG_PRICE(NOW)"),_xll.FDS(MO.ReportCurrency&amp;HP.TradeCurrency,"P_PRICE_AVG("&amp;INDEX(MO_SNA_FPStartDate,0,COLUMN())&amp;","&amp;INDEX(MO_Common_QEndDate,0,COLUMN())&amp;",,,,0)")),"N/A")</f>
        <v>N/A</v>
      </c>
      <c r="G531" s="456" t="str">
        <f ca="1">IFERROR(IF(INDEX(MO_Common_QEndDate,0,COLUMN())&gt;TODAY(),_xll.FDS(MO.ReportCurrency&amp;HP.TradeCurrency,"FG_PRICE(NOW)"),_xll.FDS(MO.ReportCurrency&amp;HP.TradeCurrency,"P_PRICE_AVG("&amp;INDEX(MO_SNA_FPStartDate,0,COLUMN())&amp;","&amp;INDEX(MO_Common_QEndDate,0,COLUMN())&amp;",,,,0)")),"N/A")</f>
        <v>N/A</v>
      </c>
      <c r="H531" s="456" t="str">
        <f ca="1">IFERROR(IF(INDEX(MO_Common_QEndDate,0,COLUMN())&gt;TODAY(),_xll.FDS(MO.ReportCurrency&amp;HP.TradeCurrency,"FG_PRICE(NOW)"),_xll.FDS(MO.ReportCurrency&amp;HP.TradeCurrency,"P_PRICE_AVG("&amp;INDEX(MO_SNA_FPStartDate,0,COLUMN())&amp;","&amp;INDEX(MO_Common_QEndDate,0,COLUMN())&amp;",,,,0)")),"N/A")</f>
        <v>N/A</v>
      </c>
      <c r="I531" s="456" t="str">
        <f ca="1">IFERROR(IF(INDEX(MO_Common_QEndDate,0,COLUMN())&gt;TODAY(),_xll.FDS(MO.ReportCurrency&amp;HP.TradeCurrency,"FG_PRICE(NOW)"),_xll.FDS(MO.ReportCurrency&amp;HP.TradeCurrency,"P_PRICE_AVG("&amp;INDEX(MO_SNA_FPStartDate,0,COLUMN())&amp;","&amp;INDEX(MO_Common_QEndDate,0,COLUMN())&amp;",,,,0)")),"N/A")</f>
        <v>N/A</v>
      </c>
      <c r="J531" s="456" t="str">
        <f ca="1">IFERROR(IF(INDEX(MO_Common_QEndDate,0,COLUMN())&gt;TODAY(),_xll.FDS(MO.ReportCurrency&amp;HP.TradeCurrency,"FG_PRICE(NOW)"),_xll.FDS(MO.ReportCurrency&amp;HP.TradeCurrency,"P_PRICE_AVG("&amp;INDEX(MO_SNA_FPStartDate,0,COLUMN())&amp;","&amp;INDEX(MO_Common_QEndDate,0,COLUMN())&amp;",,,,0)")),"N/A")</f>
        <v>N/A</v>
      </c>
      <c r="K531" s="456" t="str">
        <f ca="1">IFERROR(IF(INDEX(MO_Common_QEndDate,0,COLUMN())&gt;TODAY(),_xll.FDS(MO.ReportCurrency&amp;HP.TradeCurrency,"FG_PRICE(NOW)"),_xll.FDS(MO.ReportCurrency&amp;HP.TradeCurrency,"P_PRICE_AVG("&amp;INDEX(MO_SNA_FPStartDate,0,COLUMN())&amp;","&amp;INDEX(MO_Common_QEndDate,0,COLUMN())&amp;",,,,0)")),"N/A")</f>
        <v>N/A</v>
      </c>
      <c r="L531" s="456" t="str">
        <f ca="1">IFERROR(IF(INDEX(MO_Common_QEndDate,0,COLUMN())&gt;TODAY(),_xll.FDS(MO.ReportCurrency&amp;HP.TradeCurrency,"FG_PRICE(NOW)"),_xll.FDS(MO.ReportCurrency&amp;HP.TradeCurrency,"P_PRICE_AVG("&amp;INDEX(MO_SNA_FPStartDate,0,COLUMN())&amp;","&amp;INDEX(MO_Common_QEndDate,0,COLUMN())&amp;",,,,0)")),"N/A")</f>
        <v>N/A</v>
      </c>
      <c r="M531" s="456" t="str">
        <f ca="1">IFERROR(IF(INDEX(MO_Common_QEndDate,0,COLUMN())&gt;TODAY(),_xll.FDS(MO.ReportCurrency&amp;HP.TradeCurrency,"FG_PRICE(NOW)"),_xll.FDS(MO.ReportCurrency&amp;HP.TradeCurrency,"P_PRICE_AVG("&amp;INDEX(MO_SNA_FPStartDate,0,COLUMN())&amp;","&amp;INDEX(MO_Common_QEndDate,0,COLUMN())&amp;",,,,0)")),"N/A")</f>
        <v>N/A</v>
      </c>
      <c r="N531" s="456" t="str">
        <f ca="1">IFERROR(IF(INDEX(MO_Common_QEndDate,0,COLUMN())&gt;TODAY(),_xll.FDS(MO.ReportCurrency&amp;HP.TradeCurrency,"FG_PRICE(NOW)"),_xll.FDS(MO.ReportCurrency&amp;HP.TradeCurrency,"P_PRICE_AVG("&amp;INDEX(MO_SNA_FPStartDate,0,COLUMN())&amp;","&amp;INDEX(MO_Common_QEndDate,0,COLUMN())&amp;",,,,0)")),"N/A")</f>
        <v>N/A</v>
      </c>
      <c r="O531" s="456" t="str">
        <f ca="1">IFERROR(IF(INDEX(MO_Common_QEndDate,0,COLUMN())&gt;TODAY(),_xll.FDS(MO.ReportCurrency&amp;HP.TradeCurrency,"FG_PRICE(NOW)"),_xll.FDS(MO.ReportCurrency&amp;HP.TradeCurrency,"P_PRICE_AVG("&amp;INDEX(MO_SNA_FPStartDate,0,COLUMN())&amp;","&amp;INDEX(MO_Common_QEndDate,0,COLUMN())&amp;",,,,0)")),"N/A")</f>
        <v>N/A</v>
      </c>
      <c r="P531" s="456" t="str">
        <f ca="1">IFERROR(IF(INDEX(MO_Common_QEndDate,0,COLUMN())&gt;TODAY(),_xll.FDS(MO.ReportCurrency&amp;HP.TradeCurrency,"FG_PRICE(NOW)"),_xll.FDS(MO.ReportCurrency&amp;HP.TradeCurrency,"P_PRICE_AVG("&amp;INDEX(MO_SNA_FPStartDate,0,COLUMN())&amp;","&amp;INDEX(MO_Common_QEndDate,0,COLUMN())&amp;",,,,0)")),"N/A")</f>
        <v>N/A</v>
      </c>
      <c r="Q531" s="456" t="str">
        <f ca="1">IFERROR(IF(INDEX(MO_Common_QEndDate,0,COLUMN())&gt;TODAY(),_xll.FDS(MO.ReportCurrency&amp;HP.TradeCurrency,"FG_PRICE(NOW)"),_xll.FDS(MO.ReportCurrency&amp;HP.TradeCurrency,"P_PRICE_AVG("&amp;INDEX(MO_SNA_FPStartDate,0,COLUMN())&amp;","&amp;INDEX(MO_Common_QEndDate,0,COLUMN())&amp;",,,,0)")),"N/A")</f>
        <v>N/A</v>
      </c>
      <c r="R531" s="456" t="str">
        <f ca="1">IFERROR(IF(INDEX(MO_Common_QEndDate,0,COLUMN())&gt;TODAY(),_xll.FDS(MO.ReportCurrency&amp;HP.TradeCurrency,"FG_PRICE(NOW)"),_xll.FDS(MO.ReportCurrency&amp;HP.TradeCurrency,"P_PRICE_AVG("&amp;INDEX(MO_SNA_FPStartDate,0,COLUMN())&amp;","&amp;INDEX(MO_Common_QEndDate,0,COLUMN())&amp;",,,,0)")),"N/A")</f>
        <v>N/A</v>
      </c>
      <c r="S531" s="456" t="str">
        <f ca="1">IFERROR(IF(INDEX(MO_Common_QEndDate,0,COLUMN())&gt;TODAY(),_xll.FDS(MO.ReportCurrency&amp;HP.TradeCurrency,"FG_PRICE(NOW)"),_xll.FDS(MO.ReportCurrency&amp;HP.TradeCurrency,"P_PRICE_AVG("&amp;INDEX(MO_SNA_FPStartDate,0,COLUMN())&amp;","&amp;INDEX(MO_Common_QEndDate,0,COLUMN())&amp;",,,,0)")),"N/A")</f>
        <v>N/A</v>
      </c>
      <c r="T531" s="456" t="str">
        <f ca="1">IFERROR(IF(INDEX(MO_Common_QEndDate,0,COLUMN())&gt;TODAY(),_xll.FDS(MO.ReportCurrency&amp;HP.TradeCurrency,"FG_PRICE(NOW)"),_xll.FDS(MO.ReportCurrency&amp;HP.TradeCurrency,"P_PRICE_AVG("&amp;INDEX(MO_SNA_FPStartDate,0,COLUMN())&amp;","&amp;INDEX(MO_Common_QEndDate,0,COLUMN())&amp;",,,,0)")),"N/A")</f>
        <v>N/A</v>
      </c>
      <c r="U531" s="456" t="str">
        <f ca="1">IFERROR(IF(INDEX(MO_Common_QEndDate,0,COLUMN())&gt;TODAY(),_xll.FDS(MO.ReportCurrency&amp;HP.TradeCurrency,"FG_PRICE(NOW)"),_xll.FDS(MO.ReportCurrency&amp;HP.TradeCurrency,"P_PRICE_AVG("&amp;INDEX(MO_SNA_FPStartDate,0,COLUMN())&amp;","&amp;INDEX(MO_Common_QEndDate,0,COLUMN())&amp;",,,,0)")),"N/A")</f>
        <v>N/A</v>
      </c>
      <c r="V531" s="456" t="str">
        <f ca="1">IFERROR(IF(INDEX(MO_Common_QEndDate,0,COLUMN())&gt;TODAY(),_xll.FDS(MO.ReportCurrency&amp;HP.TradeCurrency,"FG_PRICE(NOW)"),_xll.FDS(MO.ReportCurrency&amp;HP.TradeCurrency,"P_PRICE_AVG("&amp;INDEX(MO_SNA_FPStartDate,0,COLUMN())&amp;","&amp;INDEX(MO_Common_QEndDate,0,COLUMN())&amp;",,,,0)")),"N/A")</f>
        <v>N/A</v>
      </c>
      <c r="W531" s="456" t="str">
        <f ca="1">IFERROR(IF(INDEX(MO_Common_QEndDate,0,COLUMN())&gt;TODAY(),_xll.FDS(MO.ReportCurrency&amp;HP.TradeCurrency,"FG_PRICE(NOW)"),_xll.FDS(MO.ReportCurrency&amp;HP.TradeCurrency,"P_PRICE_AVG("&amp;INDEX(MO_SNA_FPStartDate,0,COLUMN())&amp;","&amp;INDEX(MO_Common_QEndDate,0,COLUMN())&amp;",,,,0)")),"N/A")</f>
        <v>N/A</v>
      </c>
      <c r="X531" s="456" t="str">
        <f ca="1">IFERROR(IF(INDEX(MO_Common_QEndDate,0,COLUMN())&gt;TODAY(),_xll.FDS(MO.ReportCurrency&amp;HP.TradeCurrency,"FG_PRICE(NOW)"),_xll.FDS(MO.ReportCurrency&amp;HP.TradeCurrency,"P_PRICE_AVG("&amp;INDEX(MO_SNA_FPStartDate,0,COLUMN())&amp;","&amp;INDEX(MO_Common_QEndDate,0,COLUMN())&amp;",,,,0)")),"N/A")</f>
        <v>N/A</v>
      </c>
      <c r="Y531" s="456" t="str">
        <f ca="1">IFERROR(IF(INDEX(MO_Common_QEndDate,0,COLUMN())&gt;TODAY(),_xll.FDS(MO.ReportCurrency&amp;HP.TradeCurrency,"FG_PRICE(NOW)"),_xll.FDS(MO.ReportCurrency&amp;HP.TradeCurrency,"P_PRICE_AVG("&amp;INDEX(MO_SNA_FPStartDate,0,COLUMN())&amp;","&amp;INDEX(MO_Common_QEndDate,0,COLUMN())&amp;",,,,0)")),"N/A")</f>
        <v>N/A</v>
      </c>
      <c r="Z531" s="456" t="str">
        <f ca="1">IFERROR(IF(INDEX(MO_Common_QEndDate,0,COLUMN())&gt;TODAY(),_xll.FDS(MO.ReportCurrency&amp;HP.TradeCurrency,"FG_PRICE(NOW)"),_xll.FDS(MO.ReportCurrency&amp;HP.TradeCurrency,"P_PRICE_AVG("&amp;INDEX(MO_SNA_FPStartDate,0,COLUMN())&amp;","&amp;INDEX(MO_Common_QEndDate,0,COLUMN())&amp;",,,,0)")),"N/A")</f>
        <v>N/A</v>
      </c>
      <c r="AA531" s="456" t="str">
        <f ca="1">IFERROR(IF(INDEX(MO_Common_QEndDate,0,COLUMN())&gt;TODAY(),_xll.FDS(MO.ReportCurrency&amp;HP.TradeCurrency,"FG_PRICE(NOW)"),_xll.FDS(MO.ReportCurrency&amp;HP.TradeCurrency,"P_PRICE_AVG("&amp;INDEX(MO_SNA_FPStartDate,0,COLUMN())&amp;","&amp;INDEX(MO_Common_QEndDate,0,COLUMN())&amp;",,,,0)")),"N/A")</f>
        <v>N/A</v>
      </c>
      <c r="AB531" s="456" t="str">
        <f ca="1">IFERROR(IF(INDEX(MO_Common_QEndDate,0,COLUMN())&gt;TODAY(),_xll.FDS(MO.ReportCurrency&amp;HP.TradeCurrency,"FG_PRICE(NOW)"),_xll.FDS(MO.ReportCurrency&amp;HP.TradeCurrency,"P_PRICE_AVG("&amp;INDEX(MO_SNA_FPStartDate,0,COLUMN())&amp;","&amp;INDEX(MO_Common_QEndDate,0,COLUMN())&amp;",,,,0)")),"N/A")</f>
        <v>N/A</v>
      </c>
      <c r="AC531" s="456" t="str">
        <f ca="1">IFERROR(IF(INDEX(MO_Common_QEndDate,0,COLUMN())&gt;TODAY(),_xll.FDS(MO.ReportCurrency&amp;HP.TradeCurrency,"FG_PRICE(NOW)"),_xll.FDS(MO.ReportCurrency&amp;HP.TradeCurrency,"P_PRICE_AVG("&amp;INDEX(MO_SNA_FPStartDate,0,COLUMN())&amp;","&amp;INDEX(MO_Common_QEndDate,0,COLUMN())&amp;",,,,0)")),"N/A")</f>
        <v>N/A</v>
      </c>
      <c r="AD531" s="456" t="str">
        <f ca="1">IFERROR(IF(INDEX(MO_Common_QEndDate,0,COLUMN())&gt;TODAY(),_xll.FDS(MO.ReportCurrency&amp;HP.TradeCurrency,"FG_PRICE(NOW)"),_xll.FDS(MO.ReportCurrency&amp;HP.TradeCurrency,"P_PRICE_AVG("&amp;INDEX(MO_SNA_FPStartDate,0,COLUMN())&amp;","&amp;INDEX(MO_Common_QEndDate,0,COLUMN())&amp;",,,,0)")),"N/A")</f>
        <v>N/A</v>
      </c>
      <c r="AE531" s="456" t="str">
        <f ca="1">IFERROR(IF(INDEX(MO_Common_QEndDate,0,COLUMN())&gt;TODAY(),_xll.FDS(MO.ReportCurrency&amp;HP.TradeCurrency,"FG_PRICE(NOW)"),_xll.FDS(MO.ReportCurrency&amp;HP.TradeCurrency,"P_PRICE_AVG("&amp;INDEX(MO_SNA_FPStartDate,0,COLUMN())&amp;","&amp;INDEX(MO_Common_QEndDate,0,COLUMN())&amp;",,,,0)")),"N/A")</f>
        <v>N/A</v>
      </c>
      <c r="AF531" s="456" t="str">
        <f ca="1">IFERROR(IF(INDEX(MO_Common_QEndDate,0,COLUMN())&gt;TODAY(),_xll.FDS(MO.ReportCurrency&amp;HP.TradeCurrency,"FG_PRICE(NOW)"),_xll.FDS(MO.ReportCurrency&amp;HP.TradeCurrency,"P_PRICE_AVG("&amp;INDEX(MO_SNA_FPStartDate,0,COLUMN())&amp;","&amp;INDEX(MO_Common_QEndDate,0,COLUMN())&amp;",,,,0)")),"N/A")</f>
        <v>N/A</v>
      </c>
      <c r="AG531" s="351" t="str">
        <f ca="1">IFERROR(IF(INDEX(MO_Common_QEndDate,0,COLUMN())&gt;TODAY(),_xll.FDS(MO.ReportCurrency&amp;HP.TradeCurrency,"FG_PRICE(NOW)"),_xll.FDS(MO.ReportCurrency&amp;HP.TradeCurrency,"P_PRICE_AVG("&amp;INDEX(MO_SNA_FPStartDate,0,COLUMN())&amp;","&amp;INDEX(MO_Common_QEndDate,0,COLUMN())&amp;",,,,0)")),"N/A")</f>
        <v>N/A</v>
      </c>
      <c r="AH531" s="351" t="str">
        <f ca="1">IFERROR(IF(INDEX(MO_Common_QEndDate,0,COLUMN())&gt;TODAY(),_xll.FDS(MO.ReportCurrency&amp;HP.TradeCurrency,"FG_PRICE(NOW)"),_xll.FDS(MO.ReportCurrency&amp;HP.TradeCurrency,"P_PRICE_AVG("&amp;INDEX(MO_SNA_FPStartDate,0,COLUMN())&amp;","&amp;INDEX(MO_Common_QEndDate,0,COLUMN())&amp;",,,,0)")),"N/A")</f>
        <v>N/A</v>
      </c>
      <c r="AI531" s="351" t="str">
        <f ca="1">IFERROR(IF(INDEX(MO_Common_QEndDate,0,COLUMN())&gt;TODAY(),_xll.FDS(MO.ReportCurrency&amp;HP.TradeCurrency,"FG_PRICE(NOW)"),_xll.FDS(MO.ReportCurrency&amp;HP.TradeCurrency,"P_PRICE_AVG("&amp;INDEX(MO_SNA_FPStartDate,0,COLUMN())&amp;","&amp;INDEX(MO_Common_QEndDate,0,COLUMN())&amp;",,,,0)")),"N/A")</f>
        <v>N/A</v>
      </c>
      <c r="AJ531" s="351" t="str">
        <f ca="1">IFERROR(IF(INDEX(MO_Common_QEndDate,0,COLUMN())&gt;TODAY(),_xll.FDS(MO.ReportCurrency&amp;HP.TradeCurrency,"FG_PRICE(NOW)"),_xll.FDS(MO.ReportCurrency&amp;HP.TradeCurrency,"P_PRICE_AVG("&amp;INDEX(MO_SNA_FPStartDate,0,COLUMN())&amp;","&amp;INDEX(MO_Common_QEndDate,0,COLUMN())&amp;",,,,0)")),"N/A")</f>
        <v>N/A</v>
      </c>
      <c r="AK531" s="351" t="str">
        <f ca="1">IFERROR(IF(INDEX(MO_Common_QEndDate,0,COLUMN())&gt;TODAY(),_xll.FDS(MO.ReportCurrency&amp;HP.TradeCurrency,"FG_PRICE(NOW)"),_xll.FDS(MO.ReportCurrency&amp;HP.TradeCurrency,"P_PRICE_AVG("&amp;INDEX(MO_SNA_FPStartDate,0,COLUMN())&amp;","&amp;INDEX(MO_Common_QEndDate,0,COLUMN())&amp;",,,,0)")),"N/A")</f>
        <v>N/A</v>
      </c>
      <c r="AL531" s="351" t="str">
        <f ca="1">IFERROR(IF(INDEX(MO_Common_QEndDate,0,COLUMN())&gt;TODAY(),_xll.FDS(MO.ReportCurrency&amp;HP.TradeCurrency,"FG_PRICE(NOW)"),_xll.FDS(MO.ReportCurrency&amp;HP.TradeCurrency,"P_PRICE_AVG("&amp;INDEX(MO_SNA_FPStartDate,0,COLUMN())&amp;","&amp;INDEX(MO_Common_QEndDate,0,COLUMN())&amp;",,,,0)")),"N/A")</f>
        <v>N/A</v>
      </c>
      <c r="AM531" s="351"/>
      <c r="AN531" s="456" t="str">
        <f ca="1">IFERROR(IF(INDEX(MO_Common_QEndDate,0,COLUMN())&gt;TODAY(),_xll.FDS(MO.ReportCurrency&amp;HP.TradeCurrency,"FG_PRICE(NOW)"),_xll.FDS(MO.ReportCurrency&amp;HP.TradeCurrency,"P_PRICE_AVG("&amp;INDEX(MO_SNA_FPStartDate,0,COLUMN())&amp;","&amp;INDEX(MO_Common_QEndDate,0,COLUMN())&amp;",,,,0)")),"N/A")</f>
        <v>N/A</v>
      </c>
      <c r="AO531" s="456" t="str">
        <f ca="1">IFERROR(IF(INDEX(MO_Common_QEndDate,0,COLUMN())&gt;TODAY(),_xll.FDS(MO.ReportCurrency&amp;HP.TradeCurrency,"FG_PRICE(NOW)"),_xll.FDS(MO.ReportCurrency&amp;HP.TradeCurrency,"P_PRICE_AVG("&amp;INDEX(MO_SNA_FPStartDate,0,COLUMN())&amp;","&amp;INDEX(MO_Common_QEndDate,0,COLUMN())&amp;",,,,0)")),"N/A")</f>
        <v>N/A</v>
      </c>
      <c r="AP531" s="456" t="str">
        <f ca="1">IFERROR(IF(INDEX(MO_Common_QEndDate,0,COLUMN())&gt;TODAY(),_xll.FDS(MO.ReportCurrency&amp;HP.TradeCurrency,"FG_PRICE(NOW)"),_xll.FDS(MO.ReportCurrency&amp;HP.TradeCurrency,"P_PRICE_AVG("&amp;INDEX(MO_SNA_FPStartDate,0,COLUMN())&amp;","&amp;INDEX(MO_Common_QEndDate,0,COLUMN())&amp;",,,,0)")),"N/A")</f>
        <v>N/A</v>
      </c>
      <c r="AQ531" s="456" t="str">
        <f ca="1">IFERROR(IF(INDEX(MO_Common_QEndDate,0,COLUMN())&gt;TODAY(),_xll.FDS(MO.ReportCurrency&amp;HP.TradeCurrency,"FG_PRICE(NOW)"),_xll.FDS(MO.ReportCurrency&amp;HP.TradeCurrency,"P_PRICE_AVG("&amp;INDEX(MO_SNA_FPStartDate,0,COLUMN())&amp;","&amp;INDEX(MO_Common_QEndDate,0,COLUMN())&amp;",,,,0)")),"N/A")</f>
        <v>N/A</v>
      </c>
      <c r="AR531" s="456" t="str">
        <f ca="1">IFERROR(IF(INDEX(MO_Common_QEndDate,0,COLUMN())&gt;TODAY(),_xll.FDS(MO.ReportCurrency&amp;HP.TradeCurrency,"FG_PRICE(NOW)"),_xll.FDS(MO.ReportCurrency&amp;HP.TradeCurrency,"P_PRICE_AVG("&amp;INDEX(MO_SNA_FPStartDate,0,COLUMN())&amp;","&amp;INDEX(MO_Common_QEndDate,0,COLUMN())&amp;",,,,0)")),"N/A")</f>
        <v>N/A</v>
      </c>
      <c r="AS531" s="456" t="str">
        <f ca="1">IFERROR(IF(INDEX(MO_Common_QEndDate,0,COLUMN())&gt;TODAY(),_xll.FDS(MO.ReportCurrency&amp;HP.TradeCurrency,"FG_PRICE(NOW)"),_xll.FDS(MO.ReportCurrency&amp;HP.TradeCurrency,"P_PRICE_AVG("&amp;INDEX(MO_SNA_FPStartDate,0,COLUMN())&amp;","&amp;INDEX(MO_Common_QEndDate,0,COLUMN())&amp;",,,,0)")),"N/A")</f>
        <v>N/A</v>
      </c>
      <c r="AT531" s="456" t="str">
        <f ca="1">IFERROR(IF(INDEX(MO_Common_QEndDate,0,COLUMN())&gt;TODAY(),_xll.FDS(MO.ReportCurrency&amp;HP.TradeCurrency,"FG_PRICE(NOW)"),_xll.FDS(MO.ReportCurrency&amp;HP.TradeCurrency,"P_PRICE_AVG("&amp;INDEX(MO_SNA_FPStartDate,0,COLUMN())&amp;","&amp;INDEX(MO_Common_QEndDate,0,COLUMN())&amp;",,,,0)")),"N/A")</f>
        <v>N/A</v>
      </c>
      <c r="AU531" s="456" t="str">
        <f ca="1">IFERROR(IF(INDEX(MO_Common_QEndDate,0,COLUMN())&gt;TODAY(),_xll.FDS(MO.ReportCurrency&amp;HP.TradeCurrency,"FG_PRICE(NOW)"),_xll.FDS(MO.ReportCurrency&amp;HP.TradeCurrency,"P_PRICE_AVG("&amp;INDEX(MO_SNA_FPStartDate,0,COLUMN())&amp;","&amp;INDEX(MO_Common_QEndDate,0,COLUMN())&amp;",,,,0)")),"N/A")</f>
        <v>N/A</v>
      </c>
      <c r="AV531" s="456" t="str">
        <f ca="1">IFERROR(IF(INDEX(MO_Common_QEndDate,0,COLUMN())&gt;TODAY(),_xll.FDS(MO.ReportCurrency&amp;HP.TradeCurrency,"FG_PRICE(NOW)"),_xll.FDS(MO.ReportCurrency&amp;HP.TradeCurrency,"P_PRICE_AVG("&amp;INDEX(MO_SNA_FPStartDate,0,COLUMN())&amp;","&amp;INDEX(MO_Common_QEndDate,0,COLUMN())&amp;",,,,0)")),"N/A")</f>
        <v>N/A</v>
      </c>
      <c r="AW531" s="456" t="str">
        <f ca="1">IFERROR(IF(INDEX(MO_Common_QEndDate,0,COLUMN())&gt;TODAY(),_xll.FDS(MO.ReportCurrency&amp;HP.TradeCurrency,"FG_PRICE(NOW)"),_xll.FDS(MO.ReportCurrency&amp;HP.TradeCurrency,"P_PRICE_AVG("&amp;INDEX(MO_SNA_FPStartDate,0,COLUMN())&amp;","&amp;INDEX(MO_Common_QEndDate,0,COLUMN())&amp;",,,,0)")),"N/A")</f>
        <v>N/A</v>
      </c>
      <c r="AX531" s="456" t="str">
        <f ca="1">IFERROR(IF(INDEX(MO_Common_QEndDate,0,COLUMN())&gt;TODAY(),_xll.FDS(MO.ReportCurrency&amp;HP.TradeCurrency,"FG_PRICE(NOW)"),_xll.FDS(MO.ReportCurrency&amp;HP.TradeCurrency,"P_PRICE_AVG("&amp;INDEX(MO_SNA_FPStartDate,0,COLUMN())&amp;","&amp;INDEX(MO_Common_QEndDate,0,COLUMN())&amp;",,,,0)")),"N/A")</f>
        <v>N/A</v>
      </c>
      <c r="AY531" s="351" t="str">
        <f ca="1">IFERROR(IF(INDEX(MO_Common_QEndDate,0,COLUMN())&gt;TODAY(),_xll.FDS(MO.ReportCurrency&amp;HP.TradeCurrency,"FG_PRICE(NOW)"),_xll.FDS(MO.ReportCurrency&amp;HP.TradeCurrency,"P_PRICE_AVG("&amp;INDEX(MO_SNA_FPStartDate,0,COLUMN())&amp;","&amp;INDEX(MO_Common_QEndDate,0,COLUMN())&amp;",,,,0)")),"N/A")</f>
        <v>N/A</v>
      </c>
      <c r="AZ531" s="351" t="str">
        <f ca="1">IFERROR(IF(INDEX(MO_Common_QEndDate,0,COLUMN())&gt;TODAY(),_xll.FDS(MO.ReportCurrency&amp;HP.TradeCurrency,"FG_PRICE(NOW)"),_xll.FDS(MO.ReportCurrency&amp;HP.TradeCurrency,"P_PRICE_AVG("&amp;INDEX(MO_SNA_FPStartDate,0,COLUMN())&amp;","&amp;INDEX(MO_Common_QEndDate,0,COLUMN())&amp;",,,,0)")),"N/A")</f>
        <v>N/A</v>
      </c>
      <c r="BA531" s="351" t="str">
        <f ca="1">IFERROR(IF(INDEX(MO_Common_QEndDate,0,COLUMN())&gt;TODAY(),_xll.FDS(MO.ReportCurrency&amp;HP.TradeCurrency,"FG_PRICE(NOW)"),_xll.FDS(MO.ReportCurrency&amp;HP.TradeCurrency,"P_PRICE_AVG("&amp;INDEX(MO_SNA_FPStartDate,0,COLUMN())&amp;","&amp;INDEX(MO_Common_QEndDate,0,COLUMN())&amp;",,,,0)")),"N/A")</f>
        <v>N/A</v>
      </c>
      <c r="BB531" s="351" t="str">
        <f ca="1">IFERROR(IF(INDEX(MO_Common_QEndDate,0,COLUMN())&gt;TODAY(),_xll.FDS(MO.ReportCurrency&amp;HP.TradeCurrency,"FG_PRICE(NOW)"),_xll.FDS(MO.ReportCurrency&amp;HP.TradeCurrency,"P_PRICE_AVG("&amp;INDEX(MO_SNA_FPStartDate,0,COLUMN())&amp;","&amp;INDEX(MO_Common_QEndDate,0,COLUMN())&amp;",,,,0)")),"N/A")</f>
        <v>N/A</v>
      </c>
      <c r="BC531" s="352" t="str">
        <f ca="1">IFERROR(IF(INDEX(MO_Common_QEndDate,0,COLUMN())&gt;TODAY(),_xll.FDS(MO.ReportCurrency&amp;HP.TradeCurrency,"FG_PRICE(NOW)"),_xll.FDS(MO.ReportCurrency&amp;HP.TradeCurrency,"P_PRICE_AVG("&amp;INDEX(MO_SNA_FPStartDate,0,COLUMN())&amp;","&amp;INDEX(MO_Common_QEndDate,0,COLUMN())&amp;",,,,0)")),"N/A")</f>
        <v>N/A</v>
      </c>
      <c r="BD531" s="353"/>
    </row>
    <row r="532" spans="1:56" s="354" customFormat="1" hidden="1" outlineLevel="1" x14ac:dyDescent="0.25">
      <c r="A532" s="355" t="s">
        <v>284</v>
      </c>
      <c r="B532" s="351"/>
      <c r="C532" s="456" t="str">
        <f t="shared" ref="C532:AL532" si="497">"N/A"</f>
        <v>N/A</v>
      </c>
      <c r="D532" s="456" t="str">
        <f t="shared" si="497"/>
        <v>N/A</v>
      </c>
      <c r="E532" s="456" t="str">
        <f t="shared" si="497"/>
        <v>N/A</v>
      </c>
      <c r="F532" s="456" t="str">
        <f t="shared" si="497"/>
        <v>N/A</v>
      </c>
      <c r="G532" s="456" t="str">
        <f t="shared" si="497"/>
        <v>N/A</v>
      </c>
      <c r="H532" s="456" t="str">
        <f t="shared" si="497"/>
        <v>N/A</v>
      </c>
      <c r="I532" s="456" t="str">
        <f t="shared" si="497"/>
        <v>N/A</v>
      </c>
      <c r="J532" s="456" t="str">
        <f t="shared" si="497"/>
        <v>N/A</v>
      </c>
      <c r="K532" s="456" t="str">
        <f t="shared" si="497"/>
        <v>N/A</v>
      </c>
      <c r="L532" s="456" t="str">
        <f t="shared" si="497"/>
        <v>N/A</v>
      </c>
      <c r="M532" s="456" t="str">
        <f t="shared" si="497"/>
        <v>N/A</v>
      </c>
      <c r="N532" s="456" t="str">
        <f t="shared" si="497"/>
        <v>N/A</v>
      </c>
      <c r="O532" s="456" t="str">
        <f t="shared" si="497"/>
        <v>N/A</v>
      </c>
      <c r="P532" s="456" t="str">
        <f t="shared" si="497"/>
        <v>N/A</v>
      </c>
      <c r="Q532" s="456" t="str">
        <f t="shared" si="497"/>
        <v>N/A</v>
      </c>
      <c r="R532" s="456" t="str">
        <f t="shared" si="497"/>
        <v>N/A</v>
      </c>
      <c r="S532" s="456" t="str">
        <f t="shared" si="497"/>
        <v>N/A</v>
      </c>
      <c r="T532" s="456" t="str">
        <f t="shared" si="497"/>
        <v>N/A</v>
      </c>
      <c r="U532" s="456" t="str">
        <f t="shared" si="497"/>
        <v>N/A</v>
      </c>
      <c r="V532" s="456" t="str">
        <f t="shared" si="497"/>
        <v>N/A</v>
      </c>
      <c r="W532" s="456" t="str">
        <f t="shared" si="497"/>
        <v>N/A</v>
      </c>
      <c r="X532" s="456" t="str">
        <f t="shared" si="497"/>
        <v>N/A</v>
      </c>
      <c r="Y532" s="456" t="str">
        <f t="shared" si="497"/>
        <v>N/A</v>
      </c>
      <c r="Z532" s="456" t="str">
        <f t="shared" si="497"/>
        <v>N/A</v>
      </c>
      <c r="AA532" s="456" t="str">
        <f t="shared" si="497"/>
        <v>N/A</v>
      </c>
      <c r="AB532" s="456" t="str">
        <f t="shared" si="497"/>
        <v>N/A</v>
      </c>
      <c r="AC532" s="456" t="str">
        <f t="shared" si="497"/>
        <v>N/A</v>
      </c>
      <c r="AD532" s="456" t="str">
        <f t="shared" si="497"/>
        <v>N/A</v>
      </c>
      <c r="AE532" s="456" t="str">
        <f t="shared" si="497"/>
        <v>N/A</v>
      </c>
      <c r="AF532" s="456" t="str">
        <f t="shared" si="497"/>
        <v>N/A</v>
      </c>
      <c r="AG532" s="351" t="str">
        <f t="shared" si="497"/>
        <v>N/A</v>
      </c>
      <c r="AH532" s="351" t="str">
        <f t="shared" si="497"/>
        <v>N/A</v>
      </c>
      <c r="AI532" s="351" t="str">
        <f t="shared" si="497"/>
        <v>N/A</v>
      </c>
      <c r="AJ532" s="351" t="str">
        <f t="shared" si="497"/>
        <v>N/A</v>
      </c>
      <c r="AK532" s="351" t="str">
        <f t="shared" si="497"/>
        <v>N/A</v>
      </c>
      <c r="AL532" s="351" t="str">
        <f t="shared" si="497"/>
        <v>N/A</v>
      </c>
      <c r="AM532" s="351"/>
      <c r="AN532" s="456" t="str">
        <f t="shared" ref="AN532:BC532" si="498">"N/A"</f>
        <v>N/A</v>
      </c>
      <c r="AO532" s="456" t="str">
        <f t="shared" si="498"/>
        <v>N/A</v>
      </c>
      <c r="AP532" s="456" t="str">
        <f t="shared" si="498"/>
        <v>N/A</v>
      </c>
      <c r="AQ532" s="456" t="str">
        <f t="shared" si="498"/>
        <v>N/A</v>
      </c>
      <c r="AR532" s="456" t="str">
        <f t="shared" si="498"/>
        <v>N/A</v>
      </c>
      <c r="AS532" s="456" t="str">
        <f t="shared" si="498"/>
        <v>N/A</v>
      </c>
      <c r="AT532" s="456" t="str">
        <f t="shared" si="498"/>
        <v>N/A</v>
      </c>
      <c r="AU532" s="456" t="str">
        <f t="shared" si="498"/>
        <v>N/A</v>
      </c>
      <c r="AV532" s="456" t="str">
        <f t="shared" si="498"/>
        <v>N/A</v>
      </c>
      <c r="AW532" s="456" t="str">
        <f t="shared" si="498"/>
        <v>N/A</v>
      </c>
      <c r="AX532" s="456" t="str">
        <f t="shared" si="498"/>
        <v>N/A</v>
      </c>
      <c r="AY532" s="351" t="str">
        <f t="shared" si="498"/>
        <v>N/A</v>
      </c>
      <c r="AZ532" s="351" t="str">
        <f t="shared" si="498"/>
        <v>N/A</v>
      </c>
      <c r="BA532" s="351" t="str">
        <f t="shared" si="498"/>
        <v>N/A</v>
      </c>
      <c r="BB532" s="351" t="str">
        <f t="shared" si="498"/>
        <v>N/A</v>
      </c>
      <c r="BC532" s="352" t="str">
        <f t="shared" si="498"/>
        <v>N/A</v>
      </c>
      <c r="BD532" s="353"/>
    </row>
    <row r="533" spans="1:56" collapsed="1" x14ac:dyDescent="0.25">
      <c r="A533" s="311"/>
      <c r="B533" s="281"/>
      <c r="C533" s="281"/>
      <c r="D533" s="281"/>
      <c r="E533" s="281"/>
      <c r="F533" s="281"/>
      <c r="G533" s="281"/>
      <c r="H533" s="281"/>
      <c r="I533" s="281"/>
      <c r="J533" s="281"/>
      <c r="K533" s="281"/>
      <c r="L533" s="281"/>
      <c r="M533" s="281"/>
      <c r="N533" s="281"/>
      <c r="O533" s="281"/>
      <c r="P533" s="281"/>
      <c r="Q533" s="281"/>
      <c r="R533" s="281"/>
      <c r="S533" s="281"/>
      <c r="T533" s="281"/>
      <c r="U533" s="281"/>
      <c r="V533" s="281"/>
      <c r="W533" s="281"/>
      <c r="X533" s="281"/>
      <c r="Y533" s="281"/>
      <c r="Z533" s="281"/>
      <c r="AA533" s="281"/>
      <c r="AB533" s="281"/>
      <c r="AC533" s="281"/>
      <c r="AD533" s="281"/>
      <c r="AE533" s="281"/>
      <c r="AF533" s="281"/>
      <c r="AG533" s="281"/>
      <c r="AH533" s="281"/>
      <c r="AI533" s="281"/>
      <c r="AJ533" s="281"/>
      <c r="AK533" s="281"/>
      <c r="AL533" s="281"/>
      <c r="AM533" s="281"/>
      <c r="AN533" s="281"/>
      <c r="AO533" s="281"/>
      <c r="AP533" s="281"/>
      <c r="AQ533" s="281"/>
      <c r="AR533" s="281"/>
      <c r="AS533" s="281"/>
      <c r="AT533" s="281"/>
      <c r="AU533" s="281"/>
      <c r="AV533" s="281"/>
      <c r="AW533" s="281"/>
      <c r="AX533" s="281"/>
      <c r="AY533" s="281"/>
      <c r="AZ533" s="281"/>
      <c r="BA533" s="281"/>
      <c r="BB533" s="281"/>
      <c r="BC533" s="310"/>
      <c r="BD533" s="285"/>
    </row>
    <row r="534" spans="1:56" x14ac:dyDescent="0.25">
      <c r="A534" s="285"/>
      <c r="B534" s="285"/>
      <c r="C534" s="457"/>
      <c r="D534" s="457"/>
      <c r="E534" s="457"/>
      <c r="F534" s="457"/>
      <c r="G534" s="457"/>
      <c r="H534" s="457"/>
      <c r="I534" s="457"/>
      <c r="J534" s="457"/>
      <c r="K534" s="457"/>
      <c r="L534" s="457"/>
      <c r="M534" s="457"/>
      <c r="N534" s="457"/>
      <c r="O534" s="457"/>
      <c r="P534" s="457"/>
      <c r="Q534" s="376"/>
      <c r="R534" s="457"/>
      <c r="S534" s="457"/>
      <c r="T534" s="457"/>
      <c r="U534" s="457"/>
      <c r="V534" s="457"/>
      <c r="W534" s="457"/>
      <c r="X534" s="457"/>
      <c r="Y534" s="457"/>
      <c r="Z534" s="457"/>
      <c r="AA534" s="457"/>
      <c r="AB534" s="457"/>
      <c r="AC534" s="457"/>
      <c r="AD534" s="457"/>
      <c r="AE534" s="457"/>
      <c r="AF534" s="457"/>
      <c r="AG534" s="285"/>
      <c r="AH534" s="285"/>
      <c r="AI534" s="285"/>
      <c r="AJ534" s="285"/>
      <c r="AK534" s="285"/>
      <c r="AL534" s="285"/>
      <c r="AM534" s="285"/>
      <c r="AN534" s="457"/>
      <c r="AO534" s="457"/>
      <c r="AP534" s="457"/>
      <c r="AQ534" s="457"/>
      <c r="AR534" s="457"/>
      <c r="AS534" s="457"/>
      <c r="AT534" s="457"/>
      <c r="AU534" s="457"/>
      <c r="AV534" s="457"/>
      <c r="AW534" s="457"/>
      <c r="AX534" s="457"/>
      <c r="AY534" s="285"/>
      <c r="AZ534" s="285"/>
      <c r="BA534" s="285"/>
      <c r="BB534" s="285"/>
      <c r="BC534" s="285"/>
      <c r="BD534" s="285"/>
    </row>
    <row r="535" spans="1:56" s="66" customFormat="1" x14ac:dyDescent="0.25">
      <c r="A535" s="282" t="s">
        <v>285</v>
      </c>
      <c r="B535" s="286"/>
      <c r="C535" s="458"/>
      <c r="D535" s="458"/>
      <c r="E535" s="458"/>
      <c r="F535" s="458"/>
      <c r="G535" s="458"/>
      <c r="H535" s="458"/>
      <c r="I535" s="458"/>
      <c r="J535" s="458"/>
      <c r="K535" s="458"/>
      <c r="L535" s="458"/>
      <c r="M535" s="458"/>
      <c r="N535" s="458"/>
      <c r="O535" s="458"/>
      <c r="P535" s="458"/>
      <c r="Q535" s="628"/>
      <c r="R535" s="458"/>
      <c r="S535" s="458"/>
      <c r="T535" s="458"/>
      <c r="U535" s="458"/>
      <c r="V535" s="458"/>
      <c r="W535" s="458"/>
      <c r="X535" s="458"/>
      <c r="Y535" s="458"/>
      <c r="Z535" s="458"/>
      <c r="AA535" s="458"/>
      <c r="AB535" s="458"/>
      <c r="AC535" s="458"/>
      <c r="AD535" s="458"/>
      <c r="AE535" s="458"/>
      <c r="AF535" s="458"/>
      <c r="AG535" s="287"/>
      <c r="AH535" s="287"/>
      <c r="AI535" s="287"/>
      <c r="AJ535" s="287"/>
      <c r="AK535" s="287"/>
      <c r="AL535" s="287"/>
      <c r="AM535" s="287"/>
      <c r="AN535" s="458"/>
      <c r="AO535" s="458"/>
      <c r="AP535" s="458"/>
      <c r="AQ535" s="458"/>
      <c r="AR535" s="458"/>
      <c r="AS535" s="458"/>
      <c r="AT535" s="458"/>
      <c r="AU535" s="458"/>
      <c r="AV535" s="458"/>
      <c r="AW535" s="458"/>
      <c r="AX535" s="458"/>
      <c r="AY535" s="287"/>
      <c r="AZ535" s="287"/>
      <c r="BA535" s="287"/>
      <c r="BB535" s="287"/>
      <c r="BC535" s="287"/>
      <c r="BD535" s="287"/>
    </row>
    <row r="536" spans="1:56" s="283" customFormat="1" x14ac:dyDescent="0.25">
      <c r="A536" s="288" t="s">
        <v>286</v>
      </c>
      <c r="B536" s="289">
        <f>FP.LastPrice</f>
        <v>8.1999999999999993</v>
      </c>
      <c r="C536" s="459"/>
      <c r="D536" s="459"/>
      <c r="E536" s="459"/>
      <c r="F536" s="459"/>
      <c r="G536" s="459"/>
      <c r="H536" s="459"/>
      <c r="I536" s="459"/>
      <c r="J536" s="459"/>
      <c r="K536" s="459"/>
      <c r="L536" s="459"/>
      <c r="M536" s="459"/>
      <c r="N536" s="459"/>
      <c r="O536" s="459"/>
      <c r="P536" s="459"/>
      <c r="Q536" s="500"/>
      <c r="R536" s="459"/>
      <c r="S536" s="459"/>
      <c r="T536" s="459"/>
      <c r="U536" s="459"/>
      <c r="V536" s="459"/>
      <c r="W536" s="459"/>
      <c r="X536" s="459"/>
      <c r="Y536" s="459"/>
      <c r="Z536" s="459"/>
      <c r="AA536" s="459"/>
      <c r="AB536" s="459"/>
      <c r="AC536" s="459"/>
      <c r="AD536" s="459"/>
      <c r="AE536" s="459"/>
      <c r="AF536" s="459"/>
      <c r="AG536" s="290"/>
      <c r="AH536" s="290"/>
      <c r="AI536" s="290"/>
      <c r="AJ536" s="290"/>
      <c r="AK536" s="290"/>
      <c r="AL536" s="290"/>
      <c r="AM536" s="290"/>
      <c r="AN536" s="459"/>
      <c r="AO536" s="459"/>
      <c r="AP536" s="459"/>
      <c r="AQ536" s="459"/>
      <c r="AR536" s="459"/>
      <c r="AS536" s="459"/>
      <c r="AT536" s="459"/>
      <c r="AU536" s="459"/>
      <c r="AV536" s="459"/>
      <c r="AW536" s="459"/>
      <c r="AX536" s="459"/>
      <c r="AY536" s="290"/>
      <c r="AZ536" s="290"/>
      <c r="BA536" s="290"/>
      <c r="BB536" s="290"/>
      <c r="BC536" s="290"/>
      <c r="BD536" s="290"/>
    </row>
    <row r="537" spans="1:56" x14ac:dyDescent="0.25">
      <c r="A537" s="291" t="s">
        <v>287</v>
      </c>
      <c r="B537" s="292">
        <f>FP.LastPriceDate</f>
        <v>44049</v>
      </c>
      <c r="C537" s="457"/>
      <c r="D537" s="457"/>
      <c r="E537" s="457"/>
      <c r="F537" s="457"/>
      <c r="G537" s="457"/>
      <c r="H537" s="457"/>
      <c r="I537" s="457"/>
      <c r="J537" s="457"/>
      <c r="K537" s="457"/>
      <c r="L537" s="457"/>
      <c r="M537" s="457"/>
      <c r="N537" s="457"/>
      <c r="O537" s="457"/>
      <c r="P537" s="457"/>
      <c r="Q537" s="376"/>
      <c r="R537" s="457"/>
      <c r="S537" s="457"/>
      <c r="T537" s="457"/>
      <c r="U537" s="457"/>
      <c r="V537" s="457"/>
      <c r="W537" s="457"/>
      <c r="X537" s="457"/>
      <c r="Y537" s="457"/>
      <c r="Z537" s="457"/>
      <c r="AA537" s="457"/>
      <c r="AB537" s="457"/>
      <c r="AC537" s="457"/>
      <c r="AD537" s="457"/>
      <c r="AE537" s="457"/>
      <c r="AF537" s="457"/>
      <c r="AG537" s="285"/>
      <c r="AH537" s="285"/>
      <c r="AI537" s="285"/>
      <c r="AJ537" s="285"/>
      <c r="AK537" s="285"/>
      <c r="AL537" s="285"/>
      <c r="AM537" s="285"/>
      <c r="AN537" s="457"/>
      <c r="AO537" s="457"/>
      <c r="AP537" s="457"/>
      <c r="AQ537" s="457"/>
      <c r="AR537" s="457"/>
      <c r="AS537" s="457"/>
      <c r="AT537" s="457"/>
      <c r="AU537" s="457"/>
      <c r="AV537" s="457"/>
      <c r="AW537" s="457"/>
      <c r="AX537" s="457"/>
      <c r="AY537" s="285"/>
      <c r="AZ537" s="285"/>
      <c r="BA537" s="285"/>
      <c r="BB537" s="285"/>
      <c r="BC537" s="285"/>
      <c r="BD537" s="285"/>
    </row>
    <row r="538" spans="1:56" x14ac:dyDescent="0.25">
      <c r="A538" s="291" t="s">
        <v>288</v>
      </c>
      <c r="B538" s="285" t="b">
        <f>IF(FP.RealTimeToggle="ON",TRUE,FALSE)</f>
        <v>0</v>
      </c>
      <c r="C538" s="457"/>
      <c r="D538" s="457"/>
      <c r="E538" s="457"/>
      <c r="F538" s="457"/>
      <c r="G538" s="457"/>
      <c r="H538" s="457"/>
      <c r="I538" s="457"/>
      <c r="J538" s="457"/>
      <c r="K538" s="457"/>
      <c r="L538" s="457"/>
      <c r="M538" s="457"/>
      <c r="N538" s="457"/>
      <c r="O538" s="457"/>
      <c r="P538" s="457"/>
      <c r="Q538" s="376"/>
      <c r="R538" s="457"/>
      <c r="S538" s="457"/>
      <c r="T538" s="457"/>
      <c r="U538" s="457"/>
      <c r="V538" s="457"/>
      <c r="W538" s="457"/>
      <c r="X538" s="457"/>
      <c r="Y538" s="457"/>
      <c r="Z538" s="457"/>
      <c r="AA538" s="457"/>
      <c r="AB538" s="457"/>
      <c r="AC538" s="457"/>
      <c r="AD538" s="457"/>
      <c r="AE538" s="457"/>
      <c r="AF538" s="457"/>
      <c r="AG538" s="285"/>
      <c r="AH538" s="285"/>
      <c r="AI538" s="285"/>
      <c r="AJ538" s="285"/>
      <c r="AK538" s="285"/>
      <c r="AL538" s="285"/>
      <c r="AM538" s="285"/>
      <c r="AN538" s="457"/>
      <c r="AO538" s="457"/>
      <c r="AP538" s="457"/>
      <c r="AQ538" s="457"/>
      <c r="AR538" s="457"/>
      <c r="AS538" s="457"/>
      <c r="AT538" s="457"/>
      <c r="AU538" s="457"/>
      <c r="AV538" s="457"/>
      <c r="AW538" s="457"/>
      <c r="AX538" s="457"/>
      <c r="AY538" s="285"/>
      <c r="AZ538" s="285"/>
      <c r="BA538" s="285"/>
      <c r="BB538" s="285"/>
      <c r="BC538" s="285"/>
      <c r="BD538" s="285"/>
    </row>
    <row r="539" spans="1:56" s="283" customFormat="1" x14ac:dyDescent="0.25">
      <c r="A539" s="288" t="s">
        <v>289</v>
      </c>
      <c r="B539" s="290" t="str">
        <f ca="1">IFERROR(CHOOSE(MO.DataSourceIndex,_xll.BDP(MO.Ticker.Bloomberg&amp;" EQUITY","LAST_PRICE"),_xll.CIQ(MO.Ticker.CapIQ,"IQ_LASTSALEPRICE"),_xll.FDS(MO.Ticker.FactSet,"FG_PRICE(NOW)"),_xll.TR(MO.Ticker.Thomson,"TRDPRC_1")),"N/A")</f>
        <v>N/A</v>
      </c>
      <c r="C539" s="459"/>
      <c r="D539" s="459"/>
      <c r="E539" s="459"/>
      <c r="F539" s="459"/>
      <c r="G539" s="459"/>
      <c r="H539" s="459"/>
      <c r="I539" s="459"/>
      <c r="J539" s="459"/>
      <c r="K539" s="459"/>
      <c r="L539" s="459"/>
      <c r="M539" s="459"/>
      <c r="N539" s="459"/>
      <c r="O539" s="459"/>
      <c r="P539" s="459"/>
      <c r="Q539" s="500"/>
      <c r="R539" s="459"/>
      <c r="S539" s="459"/>
      <c r="T539" s="459"/>
      <c r="U539" s="459"/>
      <c r="V539" s="459"/>
      <c r="W539" s="459"/>
      <c r="X539" s="459"/>
      <c r="Y539" s="459"/>
      <c r="Z539" s="459"/>
      <c r="AA539" s="459"/>
      <c r="AB539" s="459"/>
      <c r="AC539" s="459"/>
      <c r="AD539" s="459"/>
      <c r="AE539" s="459"/>
      <c r="AF539" s="459"/>
      <c r="AG539" s="290"/>
      <c r="AH539" s="290"/>
      <c r="AI539" s="290"/>
      <c r="AJ539" s="290"/>
      <c r="AK539" s="290"/>
      <c r="AL539" s="290"/>
      <c r="AM539" s="290"/>
      <c r="AN539" s="459"/>
      <c r="AO539" s="459"/>
      <c r="AP539" s="459"/>
      <c r="AQ539" s="459"/>
      <c r="AR539" s="459"/>
      <c r="AS539" s="459"/>
      <c r="AT539" s="459"/>
      <c r="AU539" s="459"/>
      <c r="AV539" s="459"/>
      <c r="AW539" s="459"/>
      <c r="AX539" s="459"/>
      <c r="AY539" s="290"/>
      <c r="AZ539" s="290"/>
      <c r="BA539" s="290"/>
      <c r="BB539" s="290"/>
      <c r="BC539" s="290"/>
      <c r="BD539" s="290"/>
    </row>
    <row r="540" spans="1:56" s="283" customFormat="1" x14ac:dyDescent="0.25">
      <c r="A540" s="288" t="s">
        <v>290</v>
      </c>
      <c r="B540" s="290" t="str">
        <f ca="1">IFERROR(CHOOSE(MO.DataSourceIndex,_xll.BDP(HP.Ticker&amp;" Equity","CRNCY"),_xll.CIQ(HP.Ticker,"IQ_TRADING_CURRENCY"),_xll.FDS(HP.Ticker,"P_CURRENCY(""ISO"")"),_xll.TR(HP.Ticker,"Currency")),HP.TradeCurrency.HardCoded)</f>
        <v>USD</v>
      </c>
      <c r="C540" s="459"/>
      <c r="D540" s="459"/>
      <c r="E540" s="459"/>
      <c r="F540" s="459"/>
      <c r="G540" s="459"/>
      <c r="H540" s="459"/>
      <c r="I540" s="459"/>
      <c r="J540" s="459"/>
      <c r="K540" s="459"/>
      <c r="L540" s="459"/>
      <c r="M540" s="459"/>
      <c r="N540" s="459"/>
      <c r="O540" s="459"/>
      <c r="P540" s="459"/>
      <c r="Q540" s="500"/>
      <c r="R540" s="459"/>
      <c r="S540" s="459"/>
      <c r="T540" s="459"/>
      <c r="U540" s="459"/>
      <c r="V540" s="459"/>
      <c r="W540" s="459"/>
      <c r="X540" s="459"/>
      <c r="Y540" s="459"/>
      <c r="Z540" s="459"/>
      <c r="AA540" s="459"/>
      <c r="AB540" s="459"/>
      <c r="AC540" s="459"/>
      <c r="AD540" s="459"/>
      <c r="AE540" s="459"/>
      <c r="AF540" s="459"/>
      <c r="AG540" s="290"/>
      <c r="AH540" s="290"/>
      <c r="AI540" s="290"/>
      <c r="AJ540" s="290"/>
      <c r="AK540" s="290"/>
      <c r="AL540" s="290"/>
      <c r="AM540" s="290"/>
      <c r="AN540" s="459"/>
      <c r="AO540" s="459"/>
      <c r="AP540" s="459"/>
      <c r="AQ540" s="459"/>
      <c r="AR540" s="459"/>
      <c r="AS540" s="459"/>
      <c r="AT540" s="459"/>
      <c r="AU540" s="459"/>
      <c r="AV540" s="459"/>
      <c r="AW540" s="459"/>
      <c r="AX540" s="459"/>
      <c r="AY540" s="290"/>
      <c r="AZ540" s="290"/>
      <c r="BA540" s="290"/>
      <c r="BB540" s="290"/>
      <c r="BC540" s="290"/>
      <c r="BD540" s="290"/>
    </row>
    <row r="541" spans="1:56" s="283" customFormat="1" x14ac:dyDescent="0.25">
      <c r="A541" s="288" t="s">
        <v>291</v>
      </c>
      <c r="B541" s="290" t="s">
        <v>12</v>
      </c>
      <c r="C541" s="459"/>
      <c r="D541" s="459"/>
      <c r="E541" s="459"/>
      <c r="F541" s="459"/>
      <c r="G541" s="459"/>
      <c r="H541" s="459"/>
      <c r="I541" s="459"/>
      <c r="J541" s="459"/>
      <c r="K541" s="459"/>
      <c r="L541" s="459"/>
      <c r="M541" s="459"/>
      <c r="N541" s="459"/>
      <c r="O541" s="459"/>
      <c r="P541" s="459"/>
      <c r="Q541" s="500"/>
      <c r="R541" s="459"/>
      <c r="S541" s="459"/>
      <c r="T541" s="459"/>
      <c r="U541" s="459"/>
      <c r="V541" s="459"/>
      <c r="W541" s="459"/>
      <c r="X541" s="459"/>
      <c r="Y541" s="459"/>
      <c r="Z541" s="459"/>
      <c r="AA541" s="459"/>
      <c r="AB541" s="459"/>
      <c r="AC541" s="459"/>
      <c r="AD541" s="459"/>
      <c r="AE541" s="459"/>
      <c r="AF541" s="459"/>
      <c r="AG541" s="290"/>
      <c r="AH541" s="290"/>
      <c r="AI541" s="290"/>
      <c r="AJ541" s="290"/>
      <c r="AK541" s="290"/>
      <c r="AL541" s="290"/>
      <c r="AM541" s="290"/>
      <c r="AN541" s="459"/>
      <c r="AO541" s="459"/>
      <c r="AP541" s="459"/>
      <c r="AQ541" s="459"/>
      <c r="AR541" s="459"/>
      <c r="AS541" s="459"/>
      <c r="AT541" s="459"/>
      <c r="AU541" s="459"/>
      <c r="AV541" s="459"/>
      <c r="AW541" s="459"/>
      <c r="AX541" s="459"/>
      <c r="AY541" s="290"/>
      <c r="AZ541" s="290"/>
      <c r="BA541" s="290"/>
      <c r="BB541" s="290"/>
      <c r="BC541" s="290"/>
      <c r="BD541" s="290"/>
    </row>
    <row r="542" spans="1:56" s="283" customFormat="1" x14ac:dyDescent="0.25">
      <c r="A542" s="288" t="s">
        <v>292</v>
      </c>
      <c r="B542" s="290" t="s">
        <v>12</v>
      </c>
      <c r="C542" s="459"/>
      <c r="D542" s="459"/>
      <c r="E542" s="459"/>
      <c r="F542" s="459"/>
      <c r="G542" s="459"/>
      <c r="H542" s="459"/>
      <c r="I542" s="459"/>
      <c r="J542" s="459"/>
      <c r="K542" s="459"/>
      <c r="L542" s="459"/>
      <c r="M542" s="459"/>
      <c r="N542" s="459"/>
      <c r="O542" s="459"/>
      <c r="P542" s="459"/>
      <c r="Q542" s="500"/>
      <c r="R542" s="459"/>
      <c r="S542" s="459"/>
      <c r="T542" s="459"/>
      <c r="U542" s="459"/>
      <c r="V542" s="459"/>
      <c r="W542" s="459"/>
      <c r="X542" s="459"/>
      <c r="Y542" s="459"/>
      <c r="Z542" s="459"/>
      <c r="AA542" s="459"/>
      <c r="AB542" s="459"/>
      <c r="AC542" s="459"/>
      <c r="AD542" s="459"/>
      <c r="AE542" s="459"/>
      <c r="AF542" s="459"/>
      <c r="AG542" s="290"/>
      <c r="AH542" s="290"/>
      <c r="AI542" s="290"/>
      <c r="AJ542" s="290"/>
      <c r="AK542" s="290"/>
      <c r="AL542" s="290"/>
      <c r="AM542" s="290"/>
      <c r="AN542" s="459"/>
      <c r="AO542" s="459"/>
      <c r="AP542" s="459"/>
      <c r="AQ542" s="459"/>
      <c r="AR542" s="459"/>
      <c r="AS542" s="459"/>
      <c r="AT542" s="459"/>
      <c r="AU542" s="459"/>
      <c r="AV542" s="459"/>
      <c r="AW542" s="459"/>
      <c r="AX542" s="459"/>
      <c r="AY542" s="290"/>
      <c r="AZ542" s="290"/>
      <c r="BA542" s="290"/>
      <c r="BB542" s="290"/>
      <c r="BC542" s="290"/>
      <c r="BD542" s="290"/>
    </row>
    <row r="543" spans="1:56" s="283" customFormat="1" x14ac:dyDescent="0.25">
      <c r="A543" s="288" t="s">
        <v>293</v>
      </c>
      <c r="B543" s="333">
        <f ca="1">IF(EXACT(MO.ReportFX,HP.TradeCurrency),1,IF(OR(INDEX(MO_SPT_FXAverage,1,MO.MRFPColumnNumber+1)="N/A",ISERROR(INDEX(MO_SPT_FXAverage,1,MO.MRFPColumnNumber+1))),MO.MRFX.Hardcoded,INDEX(MO_SPT_FXAverage,1,MO.MRFPColumnNumber+1)))</f>
        <v>1</v>
      </c>
      <c r="C543" s="459"/>
      <c r="D543" s="459"/>
      <c r="E543" s="459"/>
      <c r="F543" s="459"/>
      <c r="G543" s="459"/>
      <c r="H543" s="459"/>
      <c r="I543" s="459"/>
      <c r="J543" s="459"/>
      <c r="K543" s="459"/>
      <c r="L543" s="459"/>
      <c r="M543" s="459"/>
      <c r="N543" s="459"/>
      <c r="O543" s="459"/>
      <c r="P543" s="459"/>
      <c r="Q543" s="500"/>
      <c r="R543" s="459"/>
      <c r="S543" s="459"/>
      <c r="T543" s="459"/>
      <c r="U543" s="459"/>
      <c r="V543" s="459"/>
      <c r="W543" s="459"/>
      <c r="X543" s="459"/>
      <c r="Y543" s="459"/>
      <c r="Z543" s="459"/>
      <c r="AA543" s="459"/>
      <c r="AB543" s="459"/>
      <c r="AC543" s="459"/>
      <c r="AD543" s="459"/>
      <c r="AE543" s="459"/>
      <c r="AF543" s="459"/>
      <c r="AG543" s="290"/>
      <c r="AH543" s="290"/>
      <c r="AI543" s="290"/>
      <c r="AJ543" s="290"/>
      <c r="AK543" s="290"/>
      <c r="AL543" s="290"/>
      <c r="AM543" s="290"/>
      <c r="AN543" s="459"/>
      <c r="AO543" s="459"/>
      <c r="AP543" s="459"/>
      <c r="AQ543" s="459"/>
      <c r="AR543" s="459"/>
      <c r="AS543" s="459"/>
      <c r="AT543" s="459"/>
      <c r="AU543" s="459"/>
      <c r="AV543" s="459"/>
      <c r="AW543" s="459"/>
      <c r="AX543" s="459"/>
      <c r="AY543" s="290"/>
      <c r="AZ543" s="290"/>
      <c r="BA543" s="290"/>
      <c r="BB543" s="290"/>
      <c r="BC543" s="290"/>
      <c r="BD543" s="290"/>
    </row>
    <row r="544" spans="1:56" s="283" customFormat="1" x14ac:dyDescent="0.25">
      <c r="A544" s="288" t="s">
        <v>294</v>
      </c>
      <c r="B544" s="334">
        <v>1</v>
      </c>
      <c r="C544" s="459"/>
      <c r="D544" s="459"/>
      <c r="E544" s="459"/>
      <c r="F544" s="459"/>
      <c r="G544" s="459"/>
      <c r="H544" s="459"/>
      <c r="I544" s="459"/>
      <c r="J544" s="459"/>
      <c r="K544" s="459"/>
      <c r="L544" s="459"/>
      <c r="M544" s="459"/>
      <c r="N544" s="459"/>
      <c r="O544" s="459"/>
      <c r="P544" s="459"/>
      <c r="Q544" s="500"/>
      <c r="R544" s="459"/>
      <c r="S544" s="459"/>
      <c r="T544" s="459"/>
      <c r="U544" s="459"/>
      <c r="V544" s="459"/>
      <c r="W544" s="459"/>
      <c r="X544" s="459"/>
      <c r="Y544" s="459"/>
      <c r="Z544" s="459"/>
      <c r="AA544" s="459"/>
      <c r="AB544" s="459"/>
      <c r="AC544" s="459"/>
      <c r="AD544" s="459"/>
      <c r="AE544" s="459"/>
      <c r="AF544" s="459"/>
      <c r="AG544" s="290"/>
      <c r="AH544" s="290"/>
      <c r="AI544" s="290"/>
      <c r="AJ544" s="290"/>
      <c r="AK544" s="290"/>
      <c r="AL544" s="290"/>
      <c r="AM544" s="290"/>
      <c r="AN544" s="459"/>
      <c r="AO544" s="459"/>
      <c r="AP544" s="459"/>
      <c r="AQ544" s="459"/>
      <c r="AR544" s="459"/>
      <c r="AS544" s="459"/>
      <c r="AT544" s="459"/>
      <c r="AU544" s="459"/>
      <c r="AV544" s="459"/>
      <c r="AW544" s="459"/>
      <c r="AX544" s="459"/>
      <c r="AY544" s="290"/>
      <c r="AZ544" s="290"/>
      <c r="BA544" s="290"/>
      <c r="BB544" s="290"/>
      <c r="BC544" s="290"/>
      <c r="BD544" s="290"/>
    </row>
    <row r="545" spans="1:56" s="284" customFormat="1" x14ac:dyDescent="0.25">
      <c r="A545" s="293" t="s">
        <v>295</v>
      </c>
      <c r="B545" s="294">
        <f>MATCH(MO.MRFP,MO_Common_ColumnHeader,0)</f>
        <v>32</v>
      </c>
      <c r="C545" s="460"/>
      <c r="D545" s="460"/>
      <c r="E545" s="460"/>
      <c r="F545" s="460"/>
      <c r="G545" s="460"/>
      <c r="H545" s="460"/>
      <c r="I545" s="460"/>
      <c r="J545" s="460"/>
      <c r="K545" s="460"/>
      <c r="L545" s="460"/>
      <c r="M545" s="460"/>
      <c r="N545" s="460"/>
      <c r="O545" s="460"/>
      <c r="P545" s="460"/>
      <c r="Q545" s="498"/>
      <c r="R545" s="460"/>
      <c r="S545" s="460"/>
      <c r="T545" s="460"/>
      <c r="U545" s="460"/>
      <c r="V545" s="460"/>
      <c r="W545" s="460"/>
      <c r="X545" s="460"/>
      <c r="Y545" s="460"/>
      <c r="Z545" s="460"/>
      <c r="AA545" s="460"/>
      <c r="AB545" s="460"/>
      <c r="AC545" s="460"/>
      <c r="AD545" s="460"/>
      <c r="AE545" s="460"/>
      <c r="AF545" s="460"/>
      <c r="AG545" s="294"/>
      <c r="AH545" s="294"/>
      <c r="AI545" s="294"/>
      <c r="AJ545" s="294"/>
      <c r="AK545" s="294"/>
      <c r="AL545" s="294"/>
      <c r="AM545" s="294"/>
      <c r="AN545" s="460"/>
      <c r="AO545" s="460"/>
      <c r="AP545" s="460"/>
      <c r="AQ545" s="460"/>
      <c r="AR545" s="460"/>
      <c r="AS545" s="460"/>
      <c r="AT545" s="460"/>
      <c r="AU545" s="460"/>
      <c r="AV545" s="460"/>
      <c r="AW545" s="460"/>
      <c r="AX545" s="460"/>
      <c r="AY545" s="294"/>
      <c r="AZ545" s="294"/>
      <c r="BA545" s="294"/>
      <c r="BB545" s="294"/>
      <c r="BC545" s="294"/>
      <c r="BD545" s="294"/>
    </row>
    <row r="546" spans="1:56" s="284" customFormat="1" x14ac:dyDescent="0.25">
      <c r="A546" s="293" t="s">
        <v>296</v>
      </c>
      <c r="B546" s="294" t="s">
        <v>471</v>
      </c>
      <c r="C546" s="460"/>
      <c r="D546" s="460"/>
      <c r="E546" s="460"/>
      <c r="F546" s="460"/>
      <c r="G546" s="460"/>
      <c r="H546" s="460"/>
      <c r="I546" s="460"/>
      <c r="J546" s="460"/>
      <c r="K546" s="460"/>
      <c r="L546" s="460"/>
      <c r="M546" s="460"/>
      <c r="N546" s="460"/>
      <c r="O546" s="460"/>
      <c r="P546" s="460"/>
      <c r="Q546" s="498"/>
      <c r="R546" s="460"/>
      <c r="S546" s="460"/>
      <c r="T546" s="460"/>
      <c r="U546" s="460"/>
      <c r="V546" s="460"/>
      <c r="W546" s="460"/>
      <c r="X546" s="460"/>
      <c r="Y546" s="460"/>
      <c r="Z546" s="460"/>
      <c r="AA546" s="460"/>
      <c r="AB546" s="460"/>
      <c r="AC546" s="460"/>
      <c r="AD546" s="460"/>
      <c r="AE546" s="460"/>
      <c r="AF546" s="460"/>
      <c r="AG546" s="294"/>
      <c r="AH546" s="294"/>
      <c r="AI546" s="294"/>
      <c r="AJ546" s="294"/>
      <c r="AK546" s="294"/>
      <c r="AL546" s="294"/>
      <c r="AM546" s="294"/>
      <c r="AN546" s="460"/>
      <c r="AO546" s="460"/>
      <c r="AP546" s="460"/>
      <c r="AQ546" s="460"/>
      <c r="AR546" s="460"/>
      <c r="AS546" s="460"/>
      <c r="AT546" s="460"/>
      <c r="AU546" s="460"/>
      <c r="AV546" s="460"/>
      <c r="AW546" s="460"/>
      <c r="AX546" s="460"/>
      <c r="AY546" s="294"/>
      <c r="AZ546" s="294"/>
      <c r="BA546" s="294"/>
      <c r="BB546" s="294"/>
      <c r="BC546" s="294"/>
      <c r="BD546" s="294"/>
    </row>
    <row r="547" spans="1:56" s="284" customFormat="1" x14ac:dyDescent="0.25">
      <c r="A547" s="293" t="s">
        <v>297</v>
      </c>
      <c r="B547" s="294" t="str">
        <f>"FY"&amp;RIGHT(MO.MRFP,4)</f>
        <v>FY2020</v>
      </c>
      <c r="C547" s="460"/>
      <c r="D547" s="460"/>
      <c r="E547" s="460"/>
      <c r="F547" s="460"/>
      <c r="G547" s="460"/>
      <c r="H547" s="460"/>
      <c r="I547" s="460"/>
      <c r="J547" s="460"/>
      <c r="K547" s="460"/>
      <c r="L547" s="460"/>
      <c r="M547" s="460"/>
      <c r="N547" s="460"/>
      <c r="O547" s="460"/>
      <c r="P547" s="460"/>
      <c r="Q547" s="498"/>
      <c r="R547" s="460"/>
      <c r="S547" s="460"/>
      <c r="T547" s="460"/>
      <c r="U547" s="460"/>
      <c r="V547" s="460"/>
      <c r="W547" s="460"/>
      <c r="X547" s="460"/>
      <c r="Y547" s="460"/>
      <c r="Z547" s="460"/>
      <c r="AA547" s="460"/>
      <c r="AB547" s="460"/>
      <c r="AC547" s="460"/>
      <c r="AD547" s="460"/>
      <c r="AE547" s="460"/>
      <c r="AF547" s="460"/>
      <c r="AG547" s="294"/>
      <c r="AH547" s="294"/>
      <c r="AI547" s="294"/>
      <c r="AJ547" s="294"/>
      <c r="AK547" s="294"/>
      <c r="AL547" s="294"/>
      <c r="AM547" s="294"/>
      <c r="AN547" s="460"/>
      <c r="AO547" s="460"/>
      <c r="AP547" s="460"/>
      <c r="AQ547" s="460"/>
      <c r="AR547" s="460"/>
      <c r="AS547" s="460"/>
      <c r="AT547" s="460"/>
      <c r="AU547" s="460"/>
      <c r="AV547" s="460"/>
      <c r="AW547" s="460"/>
      <c r="AX547" s="460"/>
      <c r="AY547" s="294"/>
      <c r="AZ547" s="294"/>
      <c r="BA547" s="294"/>
      <c r="BB547" s="294"/>
      <c r="BC547" s="294"/>
      <c r="BD547" s="294"/>
    </row>
    <row r="548" spans="1:56" s="284" customFormat="1" x14ac:dyDescent="0.25">
      <c r="A548" s="293" t="s">
        <v>393</v>
      </c>
      <c r="B548" s="294" t="str">
        <f>"FY"&amp;RIGHT(MO.MRFP,4)+IF(LEFT(MO.MRFP,2)="FY",1,0)</f>
        <v>FY2020</v>
      </c>
      <c r="C548" s="460"/>
      <c r="D548" s="460"/>
      <c r="E548" s="460"/>
      <c r="F548" s="460"/>
      <c r="G548" s="460"/>
      <c r="H548" s="460"/>
      <c r="I548" s="460"/>
      <c r="J548" s="460"/>
      <c r="K548" s="460"/>
      <c r="L548" s="460"/>
      <c r="M548" s="460"/>
      <c r="N548" s="460"/>
      <c r="O548" s="460"/>
      <c r="P548" s="460"/>
      <c r="Q548" s="498"/>
      <c r="R548" s="460"/>
      <c r="S548" s="460"/>
      <c r="T548" s="460"/>
      <c r="U548" s="460"/>
      <c r="V548" s="460"/>
      <c r="W548" s="460"/>
      <c r="X548" s="460"/>
      <c r="Y548" s="460"/>
      <c r="Z548" s="460"/>
      <c r="AA548" s="460"/>
      <c r="AB548" s="460"/>
      <c r="AC548" s="460"/>
      <c r="AD548" s="460"/>
      <c r="AE548" s="460"/>
      <c r="AF548" s="460"/>
      <c r="AG548" s="294"/>
      <c r="AH548" s="294"/>
      <c r="AI548" s="294"/>
      <c r="AJ548" s="294"/>
      <c r="AK548" s="294"/>
      <c r="AL548" s="294"/>
      <c r="AM548" s="294"/>
      <c r="AN548" s="460"/>
      <c r="AO548" s="460"/>
      <c r="AP548" s="460"/>
      <c r="AQ548" s="460"/>
      <c r="AR548" s="460"/>
      <c r="AS548" s="460"/>
      <c r="AT548" s="460"/>
      <c r="AU548" s="460"/>
      <c r="AV548" s="460"/>
      <c r="AW548" s="460"/>
      <c r="AX548" s="460"/>
      <c r="AY548" s="294"/>
      <c r="AZ548" s="294"/>
      <c r="BA548" s="294"/>
      <c r="BB548" s="294"/>
      <c r="BC548" s="294"/>
      <c r="BD548" s="294"/>
    </row>
    <row r="549" spans="1:56" s="284" customFormat="1" x14ac:dyDescent="0.25">
      <c r="A549" s="295" t="s">
        <v>298</v>
      </c>
      <c r="B549" s="296">
        <f>IF(MO.DataSourceName="Bloomberg",1,IF(MO.DataSourceName="Capital IQ",2,IF(MO.DataSourceName="FactSet",3,IF(MO.DataSourceName="Thomson",4,1))))</f>
        <v>1</v>
      </c>
      <c r="C549" s="460"/>
      <c r="D549" s="460"/>
      <c r="E549" s="460"/>
      <c r="F549" s="460"/>
      <c r="G549" s="460"/>
      <c r="H549" s="460"/>
      <c r="I549" s="460"/>
      <c r="J549" s="460"/>
      <c r="K549" s="460"/>
      <c r="L549" s="460"/>
      <c r="M549" s="460"/>
      <c r="N549" s="460"/>
      <c r="O549" s="460"/>
      <c r="P549" s="460"/>
      <c r="Q549" s="498"/>
      <c r="R549" s="460"/>
      <c r="S549" s="460"/>
      <c r="T549" s="460"/>
      <c r="U549" s="460"/>
      <c r="V549" s="460"/>
      <c r="W549" s="460"/>
      <c r="X549" s="460"/>
      <c r="Y549" s="460"/>
      <c r="Z549" s="460"/>
      <c r="AA549" s="460"/>
      <c r="AB549" s="460"/>
      <c r="AC549" s="460"/>
      <c r="AD549" s="460"/>
      <c r="AE549" s="460"/>
      <c r="AF549" s="460"/>
      <c r="AG549" s="294"/>
      <c r="AH549" s="294"/>
      <c r="AI549" s="294"/>
      <c r="AJ549" s="294"/>
      <c r="AK549" s="294"/>
      <c r="AL549" s="294"/>
      <c r="AM549" s="294"/>
      <c r="AN549" s="460"/>
      <c r="AO549" s="460"/>
      <c r="AP549" s="460"/>
      <c r="AQ549" s="460"/>
      <c r="AR549" s="460"/>
      <c r="AS549" s="460"/>
      <c r="AT549" s="460"/>
      <c r="AU549" s="460"/>
      <c r="AV549" s="460"/>
      <c r="AW549" s="460"/>
      <c r="AX549" s="460"/>
      <c r="AY549" s="294"/>
      <c r="AZ549" s="294"/>
      <c r="BA549" s="294"/>
      <c r="BB549" s="294"/>
      <c r="BC549" s="294"/>
      <c r="BD549" s="294"/>
    </row>
    <row r="550" spans="1:56" x14ac:dyDescent="0.25">
      <c r="A550" s="285"/>
      <c r="B550" s="285"/>
      <c r="C550" s="457"/>
      <c r="D550" s="457"/>
      <c r="E550" s="457"/>
      <c r="F550" s="457"/>
      <c r="G550" s="457"/>
      <c r="H550" s="457"/>
      <c r="I550" s="457"/>
      <c r="J550" s="457"/>
      <c r="K550" s="457"/>
      <c r="L550" s="457"/>
      <c r="M550" s="457"/>
      <c r="N550" s="457"/>
      <c r="O550" s="457"/>
      <c r="P550" s="457"/>
      <c r="Q550" s="376"/>
      <c r="R550" s="457"/>
      <c r="S550" s="457"/>
      <c r="T550" s="457"/>
      <c r="U550" s="457"/>
      <c r="V550" s="457"/>
      <c r="W550" s="457"/>
      <c r="X550" s="457"/>
      <c r="Y550" s="457"/>
      <c r="Z550" s="457"/>
      <c r="AA550" s="457"/>
      <c r="AB550" s="457"/>
      <c r="AC550" s="457"/>
      <c r="AD550" s="457"/>
      <c r="AE550" s="457"/>
      <c r="AF550" s="457"/>
      <c r="AG550" s="285"/>
      <c r="AH550" s="285"/>
      <c r="AI550" s="285"/>
      <c r="AJ550" s="285"/>
      <c r="AK550" s="285"/>
      <c r="AL550" s="285"/>
      <c r="AM550" s="285"/>
      <c r="AN550" s="457"/>
      <c r="AO550" s="457"/>
      <c r="AP550" s="457"/>
      <c r="AQ550" s="457"/>
      <c r="AR550" s="457"/>
      <c r="AS550" s="457"/>
      <c r="AT550" s="457"/>
      <c r="AU550" s="457"/>
      <c r="AV550" s="457"/>
      <c r="AW550" s="457"/>
      <c r="AX550" s="457"/>
      <c r="AY550" s="285"/>
      <c r="AZ550" s="285"/>
      <c r="BA550" s="285"/>
      <c r="BB550" s="285"/>
      <c r="BC550" s="285"/>
      <c r="BD550" s="285"/>
    </row>
    <row r="551" spans="1:56" x14ac:dyDescent="0.25">
      <c r="A551" s="297" t="s">
        <v>387</v>
      </c>
      <c r="B551" s="297"/>
      <c r="C551" s="461"/>
      <c r="D551" s="461"/>
      <c r="E551" s="461"/>
      <c r="F551" s="461"/>
      <c r="G551" s="461"/>
      <c r="H551" s="461"/>
      <c r="I551" s="461"/>
      <c r="J551" s="461"/>
      <c r="K551" s="461"/>
      <c r="L551" s="461"/>
      <c r="M551" s="461"/>
      <c r="N551" s="461"/>
      <c r="O551" s="461"/>
      <c r="P551" s="461"/>
      <c r="Q551" s="461"/>
      <c r="R551" s="461"/>
      <c r="S551" s="461"/>
      <c r="T551" s="461"/>
      <c r="U551" s="461"/>
      <c r="V551" s="461"/>
      <c r="W551" s="461"/>
      <c r="X551" s="461"/>
      <c r="Y551" s="461"/>
      <c r="Z551" s="461"/>
      <c r="AA551" s="461"/>
      <c r="AB551" s="461"/>
      <c r="AC551" s="461"/>
      <c r="AD551" s="461"/>
      <c r="AE551" s="461"/>
      <c r="AF551" s="461"/>
      <c r="AG551" s="297"/>
      <c r="AH551" s="297"/>
      <c r="AI551" s="297"/>
      <c r="AJ551" s="297"/>
      <c r="AK551" s="297"/>
      <c r="AL551" s="297"/>
      <c r="AM551" s="297"/>
      <c r="AN551" s="461"/>
      <c r="AO551" s="461"/>
      <c r="AP551" s="461"/>
      <c r="AQ551" s="461"/>
      <c r="AR551" s="461"/>
      <c r="AS551" s="461"/>
      <c r="AT551" s="461"/>
      <c r="AU551" s="461"/>
      <c r="AV551" s="461"/>
      <c r="AW551" s="461"/>
      <c r="AX551" s="461"/>
      <c r="AY551" s="297"/>
      <c r="AZ551" s="297"/>
      <c r="BA551" s="297"/>
      <c r="BB551" s="297"/>
      <c r="BC551" s="297"/>
      <c r="BD551" s="285"/>
    </row>
    <row r="552" spans="1:56" x14ac:dyDescent="0.25">
      <c r="A552" s="285"/>
      <c r="B552" s="285"/>
      <c r="C552" s="285"/>
      <c r="D552" s="285"/>
      <c r="E552" s="285"/>
      <c r="F552" s="285"/>
      <c r="G552" s="285"/>
      <c r="H552" s="285"/>
      <c r="I552" s="285"/>
      <c r="J552" s="285"/>
      <c r="K552" s="285"/>
      <c r="L552" s="285"/>
      <c r="M552" s="285"/>
      <c r="N552" s="285"/>
      <c r="O552" s="285"/>
      <c r="P552" s="285"/>
      <c r="Q552" s="285"/>
      <c r="R552" s="285"/>
      <c r="S552" s="285"/>
      <c r="T552" s="285"/>
      <c r="U552" s="285"/>
      <c r="V552" s="285"/>
      <c r="W552" s="285"/>
      <c r="X552" s="101"/>
      <c r="Y552" s="285"/>
      <c r="Z552" s="285"/>
      <c r="AA552" s="285"/>
      <c r="AB552" s="285"/>
      <c r="AC552" s="285"/>
      <c r="AD552" s="285"/>
      <c r="AE552" s="285"/>
      <c r="AF552" s="285"/>
      <c r="AG552" s="285"/>
      <c r="AH552" s="285"/>
      <c r="AI552" s="285"/>
      <c r="AJ552" s="285"/>
      <c r="AK552" s="285"/>
      <c r="AL552" s="285"/>
      <c r="AM552" s="285"/>
      <c r="AN552" s="285"/>
      <c r="AO552" s="285"/>
      <c r="AP552" s="285"/>
      <c r="AQ552" s="285"/>
      <c r="AR552" s="285"/>
      <c r="AS552" s="285"/>
      <c r="AT552" s="285"/>
      <c r="AU552" s="285"/>
      <c r="AV552" s="285"/>
      <c r="AW552" s="285"/>
      <c r="AX552" s="285"/>
      <c r="AY552" s="285"/>
      <c r="AZ552" s="285"/>
      <c r="BA552" s="285"/>
      <c r="BB552" s="285"/>
      <c r="BC552" s="285"/>
      <c r="BD552" s="285"/>
    </row>
  </sheetData>
  <conditionalFormatting sqref="C462:E462 C448:O461 C463:O469 G462:O462 Q448:Q461 Q463:Q469 V457:V461 V448:V455 V463:V469 AN448:AT469 AV460:AV463 AV448:AV455 AV457:AV458 AV465:AV469">
    <cfRule type="cellIs" dxfId="211" priority="342" operator="equal">
      <formula>0</formula>
    </cfRule>
    <cfRule type="cellIs" dxfId="210" priority="343" operator="notEqual">
      <formula>0</formula>
    </cfRule>
  </conditionalFormatting>
  <conditionalFormatting sqref="C445:O445 Q445 V445 AN445:AT445 AV445">
    <cfRule type="cellIs" dxfId="209" priority="276" operator="equal">
      <formula>0</formula>
    </cfRule>
    <cfRule type="cellIs" dxfId="208" priority="277" operator="notEqual">
      <formula>0</formula>
    </cfRule>
  </conditionalFormatting>
  <conditionalFormatting sqref="C383:O383 Q383 AN383:AT383">
    <cfRule type="cellIs" dxfId="207" priority="282" operator="notEqual">
      <formula>0</formula>
    </cfRule>
    <cfRule type="cellIs" dxfId="206" priority="283" operator="equal">
      <formula>0</formula>
    </cfRule>
  </conditionalFormatting>
  <conditionalFormatting sqref="C117:O117 Q117 V117 AN117:AT117 AV117">
    <cfRule type="cellIs" dxfId="205" priority="274" operator="notEqual">
      <formula>0</formula>
    </cfRule>
    <cfRule type="cellIs" dxfId="204" priority="275" operator="equal">
      <formula>0</formula>
    </cfRule>
  </conditionalFormatting>
  <conditionalFormatting sqref="P448:P469">
    <cfRule type="cellIs" dxfId="203" priority="268" operator="equal">
      <formula>0</formula>
    </cfRule>
    <cfRule type="cellIs" dxfId="202" priority="269" operator="notEqual">
      <formula>0</formula>
    </cfRule>
  </conditionalFormatting>
  <conditionalFormatting sqref="P445">
    <cfRule type="cellIs" dxfId="201" priority="263" operator="equal">
      <formula>0</formula>
    </cfRule>
    <cfRule type="cellIs" dxfId="200" priority="264" operator="notEqual">
      <formula>0</formula>
    </cfRule>
  </conditionalFormatting>
  <conditionalFormatting sqref="P383">
    <cfRule type="cellIs" dxfId="199" priority="265" operator="notEqual">
      <formula>0</formula>
    </cfRule>
    <cfRule type="cellIs" dxfId="198" priority="266" operator="equal">
      <formula>0</formula>
    </cfRule>
  </conditionalFormatting>
  <conditionalFormatting sqref="P117">
    <cfRule type="cellIs" dxfId="197" priority="261" operator="notEqual">
      <formula>0</formula>
    </cfRule>
    <cfRule type="cellIs" dxfId="196" priority="262" operator="equal">
      <formula>0</formula>
    </cfRule>
  </conditionalFormatting>
  <conditionalFormatting sqref="R448:R469 AU448:AU463 AU465:AU469">
    <cfRule type="cellIs" dxfId="195" priority="257" operator="equal">
      <formula>0</formula>
    </cfRule>
    <cfRule type="cellIs" dxfId="194" priority="258" operator="notEqual">
      <formula>0</formula>
    </cfRule>
  </conditionalFormatting>
  <conditionalFormatting sqref="R445 AU445">
    <cfRule type="cellIs" dxfId="193" priority="247" operator="equal">
      <formula>0</formula>
    </cfRule>
    <cfRule type="cellIs" dxfId="192" priority="248" operator="notEqual">
      <formula>0</formula>
    </cfRule>
  </conditionalFormatting>
  <conditionalFormatting sqref="R383 AU383">
    <cfRule type="cellIs" dxfId="191" priority="249" operator="notEqual">
      <formula>0</formula>
    </cfRule>
    <cfRule type="cellIs" dxfId="190" priority="250" operator="equal">
      <formula>0</formula>
    </cfRule>
  </conditionalFormatting>
  <conditionalFormatting sqref="R117 AU117">
    <cfRule type="cellIs" dxfId="189" priority="245" operator="notEqual">
      <formula>0</formula>
    </cfRule>
    <cfRule type="cellIs" dxfId="188" priority="246" operator="equal">
      <formula>0</formula>
    </cfRule>
  </conditionalFormatting>
  <conditionalFormatting sqref="BC448:BC469">
    <cfRule type="cellIs" dxfId="187" priority="225" operator="equal">
      <formula>0</formula>
    </cfRule>
    <cfRule type="cellIs" dxfId="186" priority="226" operator="notEqual">
      <formula>0</formula>
    </cfRule>
  </conditionalFormatting>
  <conditionalFormatting sqref="BC445">
    <cfRule type="cellIs" dxfId="185" priority="220" operator="equal">
      <formula>0</formula>
    </cfRule>
    <cfRule type="cellIs" dxfId="184" priority="221" operator="notEqual">
      <formula>0</formula>
    </cfRule>
  </conditionalFormatting>
  <conditionalFormatting sqref="BC383">
    <cfRule type="cellIs" dxfId="183" priority="222" operator="notEqual">
      <formula>0</formula>
    </cfRule>
    <cfRule type="cellIs" dxfId="182" priority="223" operator="equal">
      <formula>0</formula>
    </cfRule>
  </conditionalFormatting>
  <conditionalFormatting sqref="BC117">
    <cfRule type="cellIs" dxfId="181" priority="218" operator="notEqual">
      <formula>0</formula>
    </cfRule>
    <cfRule type="cellIs" dxfId="180" priority="219" operator="equal">
      <formula>0</formula>
    </cfRule>
  </conditionalFormatting>
  <conditionalFormatting sqref="S448:S469">
    <cfRule type="cellIs" dxfId="179" priority="215" operator="equal">
      <formula>0</formula>
    </cfRule>
    <cfRule type="cellIs" dxfId="178" priority="216" operator="notEqual">
      <formula>0</formula>
    </cfRule>
  </conditionalFormatting>
  <conditionalFormatting sqref="S445">
    <cfRule type="cellIs" dxfId="177" priority="208" operator="equal">
      <formula>0</formula>
    </cfRule>
    <cfRule type="cellIs" dxfId="176" priority="209" operator="notEqual">
      <formula>0</formula>
    </cfRule>
  </conditionalFormatting>
  <conditionalFormatting sqref="S383">
    <cfRule type="cellIs" dxfId="175" priority="210" operator="notEqual">
      <formula>0</formula>
    </cfRule>
    <cfRule type="cellIs" dxfId="174" priority="211" operator="equal">
      <formula>0</formula>
    </cfRule>
  </conditionalFormatting>
  <conditionalFormatting sqref="S117">
    <cfRule type="cellIs" dxfId="173" priority="206" operator="notEqual">
      <formula>0</formula>
    </cfRule>
    <cfRule type="cellIs" dxfId="172" priority="207" operator="equal">
      <formula>0</formula>
    </cfRule>
  </conditionalFormatting>
  <conditionalFormatting sqref="T448:T455 T457:T469">
    <cfRule type="cellIs" dxfId="171" priority="202" operator="equal">
      <formula>0</formula>
    </cfRule>
    <cfRule type="cellIs" dxfId="170" priority="203" operator="notEqual">
      <formula>0</formula>
    </cfRule>
  </conditionalFormatting>
  <conditionalFormatting sqref="T445">
    <cfRule type="cellIs" dxfId="169" priority="197" operator="equal">
      <formula>0</formula>
    </cfRule>
    <cfRule type="cellIs" dxfId="168" priority="198" operator="notEqual">
      <formula>0</formula>
    </cfRule>
  </conditionalFormatting>
  <conditionalFormatting sqref="T383">
    <cfRule type="cellIs" dxfId="167" priority="199" operator="notEqual">
      <formula>0</formula>
    </cfRule>
    <cfRule type="cellIs" dxfId="166" priority="200" operator="equal">
      <formula>0</formula>
    </cfRule>
  </conditionalFormatting>
  <conditionalFormatting sqref="T117">
    <cfRule type="cellIs" dxfId="165" priority="195" operator="notEqual">
      <formula>0</formula>
    </cfRule>
    <cfRule type="cellIs" dxfId="164" priority="196" operator="equal">
      <formula>0</formula>
    </cfRule>
  </conditionalFormatting>
  <conditionalFormatting sqref="U448:U461 U463:U469">
    <cfRule type="cellIs" dxfId="163" priority="191" operator="equal">
      <formula>0</formula>
    </cfRule>
    <cfRule type="cellIs" dxfId="162" priority="192" operator="notEqual">
      <formula>0</formula>
    </cfRule>
  </conditionalFormatting>
  <conditionalFormatting sqref="U445">
    <cfRule type="cellIs" dxfId="161" priority="186" operator="equal">
      <formula>0</formula>
    </cfRule>
    <cfRule type="cellIs" dxfId="160" priority="187" operator="notEqual">
      <formula>0</formula>
    </cfRule>
  </conditionalFormatting>
  <conditionalFormatting sqref="U383">
    <cfRule type="cellIs" dxfId="159" priority="188" operator="notEqual">
      <formula>0</formula>
    </cfRule>
    <cfRule type="cellIs" dxfId="158" priority="189" operator="equal">
      <formula>0</formula>
    </cfRule>
  </conditionalFormatting>
  <conditionalFormatting sqref="U117">
    <cfRule type="cellIs" dxfId="157" priority="184" operator="notEqual">
      <formula>0</formula>
    </cfRule>
    <cfRule type="cellIs" dxfId="156" priority="185" operator="equal">
      <formula>0</formula>
    </cfRule>
  </conditionalFormatting>
  <conditionalFormatting sqref="AA383 AC383:AD383 AX383">
    <cfRule type="cellIs" dxfId="155" priority="175" operator="notEqual">
      <formula>0</formula>
    </cfRule>
    <cfRule type="cellIs" dxfId="154" priority="176" operator="equal">
      <formula>0</formula>
    </cfRule>
  </conditionalFormatting>
  <conditionalFormatting sqref="AV459">
    <cfRule type="cellIs" dxfId="153" priority="162" operator="equal">
      <formula>0</formula>
    </cfRule>
    <cfRule type="cellIs" dxfId="152" priority="163" operator="notEqual">
      <formula>0</formula>
    </cfRule>
  </conditionalFormatting>
  <conditionalFormatting sqref="V383 AV383">
    <cfRule type="cellIs" dxfId="151" priority="158" operator="notEqual">
      <formula>0</formula>
    </cfRule>
    <cfRule type="cellIs" dxfId="150" priority="159" operator="equal">
      <formula>0</formula>
    </cfRule>
  </conditionalFormatting>
  <conditionalFormatting sqref="BB445">
    <cfRule type="cellIs" dxfId="149" priority="146" operator="equal">
      <formula>0</formula>
    </cfRule>
    <cfRule type="cellIs" dxfId="148" priority="147" operator="notEqual">
      <formula>0</formula>
    </cfRule>
  </conditionalFormatting>
  <conditionalFormatting sqref="BB448:BB469">
    <cfRule type="cellIs" dxfId="147" priority="151" operator="equal">
      <formula>0</formula>
    </cfRule>
    <cfRule type="cellIs" dxfId="146" priority="152" operator="notEqual">
      <formula>0</formula>
    </cfRule>
  </conditionalFormatting>
  <conditionalFormatting sqref="BB383">
    <cfRule type="cellIs" dxfId="145" priority="148" operator="notEqual">
      <formula>0</formula>
    </cfRule>
    <cfRule type="cellIs" dxfId="144" priority="149" operator="equal">
      <formula>0</formula>
    </cfRule>
  </conditionalFormatting>
  <conditionalFormatting sqref="BB117">
    <cfRule type="cellIs" dxfId="143" priority="144" operator="notEqual">
      <formula>0</formula>
    </cfRule>
    <cfRule type="cellIs" dxfId="142" priority="145" operator="equal">
      <formula>0</formula>
    </cfRule>
  </conditionalFormatting>
  <conditionalFormatting sqref="W448:W455 W457:W469">
    <cfRule type="cellIs" dxfId="141" priority="142" operator="equal">
      <formula>0</formula>
    </cfRule>
    <cfRule type="cellIs" dxfId="140" priority="143" operator="notEqual">
      <formula>0</formula>
    </cfRule>
  </conditionalFormatting>
  <conditionalFormatting sqref="W445">
    <cfRule type="cellIs" dxfId="139" priority="135" operator="equal">
      <formula>0</formula>
    </cfRule>
    <cfRule type="cellIs" dxfId="138" priority="136" operator="notEqual">
      <formula>0</formula>
    </cfRule>
  </conditionalFormatting>
  <conditionalFormatting sqref="W117">
    <cfRule type="cellIs" dxfId="137" priority="133" operator="notEqual">
      <formula>0</formula>
    </cfRule>
    <cfRule type="cellIs" dxfId="136" priority="134" operator="equal">
      <formula>0</formula>
    </cfRule>
  </conditionalFormatting>
  <conditionalFormatting sqref="W383">
    <cfRule type="cellIs" dxfId="135" priority="131" operator="notEqual">
      <formula>0</formula>
    </cfRule>
    <cfRule type="cellIs" dxfId="134" priority="132" operator="equal">
      <formula>0</formula>
    </cfRule>
  </conditionalFormatting>
  <conditionalFormatting sqref="X448:X451 X457:X469 X453:X455">
    <cfRule type="cellIs" dxfId="133" priority="126" operator="equal">
      <formula>0</formula>
    </cfRule>
    <cfRule type="cellIs" dxfId="132" priority="127" operator="notEqual">
      <formula>0</formula>
    </cfRule>
  </conditionalFormatting>
  <conditionalFormatting sqref="X445">
    <cfRule type="cellIs" dxfId="131" priority="121" operator="equal">
      <formula>0</formula>
    </cfRule>
    <cfRule type="cellIs" dxfId="130" priority="122" operator="notEqual">
      <formula>0</formula>
    </cfRule>
  </conditionalFormatting>
  <conditionalFormatting sqref="X383">
    <cfRule type="cellIs" dxfId="129" priority="123" operator="notEqual">
      <formula>0</formula>
    </cfRule>
    <cfRule type="cellIs" dxfId="128" priority="124" operator="equal">
      <formula>0</formula>
    </cfRule>
  </conditionalFormatting>
  <conditionalFormatting sqref="X117">
    <cfRule type="cellIs" dxfId="127" priority="119" operator="notEqual">
      <formula>0</formula>
    </cfRule>
    <cfRule type="cellIs" dxfId="126" priority="120" operator="equal">
      <formula>0</formula>
    </cfRule>
  </conditionalFormatting>
  <conditionalFormatting sqref="Y448:Y451 Y463:Y469 Y457:Y461 Y453:Y455">
    <cfRule type="cellIs" dxfId="125" priority="117" operator="equal">
      <formula>0</formula>
    </cfRule>
    <cfRule type="cellIs" dxfId="124" priority="118" operator="notEqual">
      <formula>0</formula>
    </cfRule>
  </conditionalFormatting>
  <conditionalFormatting sqref="Y445">
    <cfRule type="cellIs" dxfId="123" priority="113" operator="equal">
      <formula>0</formula>
    </cfRule>
    <cfRule type="cellIs" dxfId="122" priority="114" operator="notEqual">
      <formula>0</formula>
    </cfRule>
  </conditionalFormatting>
  <conditionalFormatting sqref="Y383">
    <cfRule type="cellIs" dxfId="121" priority="115" operator="notEqual">
      <formula>0</formula>
    </cfRule>
    <cfRule type="cellIs" dxfId="120" priority="116" operator="equal">
      <formula>0</formula>
    </cfRule>
  </conditionalFormatting>
  <conditionalFormatting sqref="Y117">
    <cfRule type="cellIs" dxfId="119" priority="111" operator="notEqual">
      <formula>0</formula>
    </cfRule>
    <cfRule type="cellIs" dxfId="118" priority="112" operator="equal">
      <formula>0</formula>
    </cfRule>
  </conditionalFormatting>
  <conditionalFormatting sqref="AW459">
    <cfRule type="cellIs" dxfId="117" priority="99" operator="equal">
      <formula>0</formula>
    </cfRule>
    <cfRule type="cellIs" dxfId="116" priority="100" operator="notEqual">
      <formula>0</formula>
    </cfRule>
  </conditionalFormatting>
  <conditionalFormatting sqref="Z457:Z461 Z448:Z451 Z463:Z469 Z453:Z455 AW460:AW463 AW448:AW455 AW457:AW458 AW465:AW469">
    <cfRule type="cellIs" dxfId="115" priority="105" operator="equal">
      <formula>0</formula>
    </cfRule>
    <cfRule type="cellIs" dxfId="114" priority="106" operator="notEqual">
      <formula>0</formula>
    </cfRule>
  </conditionalFormatting>
  <conditionalFormatting sqref="Z445 AW445">
    <cfRule type="cellIs" dxfId="113" priority="103" operator="equal">
      <formula>0</formula>
    </cfRule>
    <cfRule type="cellIs" dxfId="112" priority="104" operator="notEqual">
      <formula>0</formula>
    </cfRule>
  </conditionalFormatting>
  <conditionalFormatting sqref="Z117 AW117">
    <cfRule type="cellIs" dxfId="111" priority="101" operator="notEqual">
      <formula>0</formula>
    </cfRule>
    <cfRule type="cellIs" dxfId="110" priority="102" operator="equal">
      <formula>0</formula>
    </cfRule>
  </conditionalFormatting>
  <conditionalFormatting sqref="Z452">
    <cfRule type="cellIs" dxfId="109" priority="73" operator="equal">
      <formula>0</formula>
    </cfRule>
    <cfRule type="cellIs" dxfId="108" priority="74" operator="notEqual">
      <formula>0</formula>
    </cfRule>
  </conditionalFormatting>
  <conditionalFormatting sqref="Z383 AW383">
    <cfRule type="cellIs" dxfId="107" priority="97" operator="notEqual">
      <formula>0</formula>
    </cfRule>
    <cfRule type="cellIs" dxfId="106" priority="98" operator="equal">
      <formula>0</formula>
    </cfRule>
  </conditionalFormatting>
  <conditionalFormatting sqref="AG448:AH469 AY448:AY458 AY460:AY469">
    <cfRule type="cellIs" dxfId="105" priority="95" operator="equal">
      <formula>0</formula>
    </cfRule>
    <cfRule type="cellIs" dxfId="104" priority="96" operator="notEqual">
      <formula>0</formula>
    </cfRule>
  </conditionalFormatting>
  <conditionalFormatting sqref="AG445:AH445 AY445">
    <cfRule type="cellIs" dxfId="103" priority="91" operator="equal">
      <formula>0</formula>
    </cfRule>
    <cfRule type="cellIs" dxfId="102" priority="92" operator="notEqual">
      <formula>0</formula>
    </cfRule>
  </conditionalFormatting>
  <conditionalFormatting sqref="AE383:AH383 AY383">
    <cfRule type="cellIs" dxfId="101" priority="93" operator="notEqual">
      <formula>0</formula>
    </cfRule>
    <cfRule type="cellIs" dxfId="100" priority="94" operator="equal">
      <formula>0</formula>
    </cfRule>
  </conditionalFormatting>
  <conditionalFormatting sqref="AG117:AH117 AY117">
    <cfRule type="cellIs" dxfId="99" priority="89" operator="notEqual">
      <formula>0</formula>
    </cfRule>
    <cfRule type="cellIs" dxfId="98" priority="90" operator="equal">
      <formula>0</formula>
    </cfRule>
  </conditionalFormatting>
  <conditionalFormatting sqref="AY459">
    <cfRule type="cellIs" dxfId="97" priority="87" operator="equal">
      <formula>0</formula>
    </cfRule>
    <cfRule type="cellIs" dxfId="96" priority="88" operator="notEqual">
      <formula>0</formula>
    </cfRule>
  </conditionalFormatting>
  <conditionalFormatting sqref="Y452">
    <cfRule type="cellIs" dxfId="95" priority="75" operator="equal">
      <formula>0</formula>
    </cfRule>
    <cfRule type="cellIs" dxfId="94" priority="76" operator="notEqual">
      <formula>0</formula>
    </cfRule>
  </conditionalFormatting>
  <conditionalFormatting sqref="X452">
    <cfRule type="cellIs" dxfId="93" priority="77" operator="equal">
      <formula>0</formula>
    </cfRule>
    <cfRule type="cellIs" dxfId="92" priority="78" operator="notEqual">
      <formula>0</formula>
    </cfRule>
  </conditionalFormatting>
  <conditionalFormatting sqref="AB117">
    <cfRule type="cellIs" dxfId="91" priority="59" operator="notEqual">
      <formula>0</formula>
    </cfRule>
    <cfRule type="cellIs" dxfId="90" priority="60" operator="equal">
      <formula>0</formula>
    </cfRule>
  </conditionalFormatting>
  <conditionalFormatting sqref="AA117">
    <cfRule type="cellIs" dxfId="89" priority="71" operator="notEqual">
      <formula>0</formula>
    </cfRule>
    <cfRule type="cellIs" dxfId="88" priority="72" operator="equal">
      <formula>0</formula>
    </cfRule>
  </conditionalFormatting>
  <conditionalFormatting sqref="AB445">
    <cfRule type="cellIs" dxfId="87" priority="61" operator="equal">
      <formula>0</formula>
    </cfRule>
    <cfRule type="cellIs" dxfId="86" priority="62" operator="notEqual">
      <formula>0</formula>
    </cfRule>
  </conditionalFormatting>
  <conditionalFormatting sqref="AB452">
    <cfRule type="cellIs" dxfId="85" priority="57" operator="equal">
      <formula>0</formula>
    </cfRule>
    <cfRule type="cellIs" dxfId="84" priority="58" operator="notEqual">
      <formula>0</formula>
    </cfRule>
  </conditionalFormatting>
  <conditionalFormatting sqref="AC117">
    <cfRule type="cellIs" dxfId="83" priority="55" operator="notEqual">
      <formula>0</formula>
    </cfRule>
    <cfRule type="cellIs" dxfId="82" priority="56" operator="equal">
      <formula>0</formula>
    </cfRule>
  </conditionalFormatting>
  <conditionalFormatting sqref="AA448:AA455 AA457:AA469">
    <cfRule type="cellIs" dxfId="81" priority="69" operator="equal">
      <formula>0</formula>
    </cfRule>
    <cfRule type="cellIs" dxfId="80" priority="70" operator="notEqual">
      <formula>0</formula>
    </cfRule>
  </conditionalFormatting>
  <conditionalFormatting sqref="AA445">
    <cfRule type="cellIs" dxfId="79" priority="67" operator="equal">
      <formula>0</formula>
    </cfRule>
    <cfRule type="cellIs" dxfId="78" priority="68" operator="notEqual">
      <formula>0</formula>
    </cfRule>
  </conditionalFormatting>
  <conditionalFormatting sqref="AB448:AB451 AB457:AB469 AB453:AB455">
    <cfRule type="cellIs" dxfId="77" priority="65" operator="equal">
      <formula>0</formula>
    </cfRule>
    <cfRule type="cellIs" dxfId="76" priority="66" operator="notEqual">
      <formula>0</formula>
    </cfRule>
  </conditionalFormatting>
  <conditionalFormatting sqref="AB383">
    <cfRule type="cellIs" dxfId="75" priority="63" operator="notEqual">
      <formula>0</formula>
    </cfRule>
    <cfRule type="cellIs" dxfId="74" priority="64" operator="equal">
      <formula>0</formula>
    </cfRule>
  </conditionalFormatting>
  <conditionalFormatting sqref="AC448:AC451 AC463:AC469 AC457:AC461 AC453:AC455">
    <cfRule type="cellIs" dxfId="73" priority="53" operator="equal">
      <formula>0</formula>
    </cfRule>
    <cfRule type="cellIs" dxfId="72" priority="54" operator="notEqual">
      <formula>0</formula>
    </cfRule>
  </conditionalFormatting>
  <conditionalFormatting sqref="AC445">
    <cfRule type="cellIs" dxfId="71" priority="51" operator="equal">
      <formula>0</formula>
    </cfRule>
    <cfRule type="cellIs" dxfId="70" priority="52" operator="notEqual">
      <formula>0</formula>
    </cfRule>
  </conditionalFormatting>
  <conditionalFormatting sqref="AC452">
    <cfRule type="cellIs" dxfId="69" priority="49" operator="equal">
      <formula>0</formula>
    </cfRule>
    <cfRule type="cellIs" dxfId="68" priority="50" operator="notEqual">
      <formula>0</formula>
    </cfRule>
  </conditionalFormatting>
  <conditionalFormatting sqref="AI448:AM469 AZ448:AZ458 AZ460:AZ469">
    <cfRule type="cellIs" dxfId="67" priority="47" operator="equal">
      <formula>0</formula>
    </cfRule>
    <cfRule type="cellIs" dxfId="66" priority="48" operator="notEqual">
      <formula>0</formula>
    </cfRule>
  </conditionalFormatting>
  <conditionalFormatting sqref="AI445:AM445 AZ445">
    <cfRule type="cellIs" dxfId="65" priority="43" operator="equal">
      <formula>0</formula>
    </cfRule>
    <cfRule type="cellIs" dxfId="64" priority="44" operator="notEqual">
      <formula>0</formula>
    </cfRule>
  </conditionalFormatting>
  <conditionalFormatting sqref="AI383:AM383 AZ383">
    <cfRule type="cellIs" dxfId="63" priority="45" operator="notEqual">
      <formula>0</formula>
    </cfRule>
    <cfRule type="cellIs" dxfId="62" priority="46" operator="equal">
      <formula>0</formula>
    </cfRule>
  </conditionalFormatting>
  <conditionalFormatting sqref="AI117:AM117 AZ117">
    <cfRule type="cellIs" dxfId="61" priority="41" operator="notEqual">
      <formula>0</formula>
    </cfRule>
    <cfRule type="cellIs" dxfId="60" priority="42" operator="equal">
      <formula>0</formula>
    </cfRule>
  </conditionalFormatting>
  <conditionalFormatting sqref="AZ459">
    <cfRule type="cellIs" dxfId="59" priority="39" operator="equal">
      <formula>0</formula>
    </cfRule>
    <cfRule type="cellIs" dxfId="58" priority="40" operator="notEqual">
      <formula>0</formula>
    </cfRule>
  </conditionalFormatting>
  <conditionalFormatting sqref="BA445">
    <cfRule type="cellIs" dxfId="57" priority="33" operator="equal">
      <formula>0</formula>
    </cfRule>
    <cfRule type="cellIs" dxfId="56" priority="34" operator="notEqual">
      <formula>0</formula>
    </cfRule>
  </conditionalFormatting>
  <conditionalFormatting sqref="BA448:BA469">
    <cfRule type="cellIs" dxfId="55" priority="37" operator="equal">
      <formula>0</formula>
    </cfRule>
    <cfRule type="cellIs" dxfId="54" priority="38" operator="notEqual">
      <formula>0</formula>
    </cfRule>
  </conditionalFormatting>
  <conditionalFormatting sqref="BA383">
    <cfRule type="cellIs" dxfId="53" priority="35" operator="notEqual">
      <formula>0</formula>
    </cfRule>
    <cfRule type="cellIs" dxfId="52" priority="36" operator="equal">
      <formula>0</formula>
    </cfRule>
  </conditionalFormatting>
  <conditionalFormatting sqref="BA117">
    <cfRule type="cellIs" dxfId="51" priority="31" operator="notEqual">
      <formula>0</formula>
    </cfRule>
    <cfRule type="cellIs" dxfId="50" priority="32" operator="equal">
      <formula>0</formula>
    </cfRule>
  </conditionalFormatting>
  <conditionalFormatting sqref="AD117">
    <cfRule type="cellIs" dxfId="49" priority="29" operator="notEqual">
      <formula>0</formula>
    </cfRule>
    <cfRule type="cellIs" dxfId="48" priority="30" operator="equal">
      <formula>0</formula>
    </cfRule>
  </conditionalFormatting>
  <conditionalFormatting sqref="AD448:AD451 AD457:AD461 AD463:AD469 AD453:AD455">
    <cfRule type="cellIs" dxfId="47" priority="27" operator="equal">
      <formula>0</formula>
    </cfRule>
    <cfRule type="cellIs" dxfId="46" priority="28" operator="notEqual">
      <formula>0</formula>
    </cfRule>
  </conditionalFormatting>
  <conditionalFormatting sqref="AD445">
    <cfRule type="cellIs" dxfId="45" priority="25" operator="equal">
      <formula>0</formula>
    </cfRule>
    <cfRule type="cellIs" dxfId="44" priority="26" operator="notEqual">
      <formula>0</formula>
    </cfRule>
  </conditionalFormatting>
  <conditionalFormatting sqref="AD452">
    <cfRule type="cellIs" dxfId="43" priority="23" operator="equal">
      <formula>0</formula>
    </cfRule>
    <cfRule type="cellIs" dxfId="42" priority="24" operator="notEqual">
      <formula>0</formula>
    </cfRule>
  </conditionalFormatting>
  <conditionalFormatting sqref="AX117">
    <cfRule type="cellIs" dxfId="41" priority="21" operator="notEqual">
      <formula>0</formula>
    </cfRule>
    <cfRule type="cellIs" dxfId="40" priority="22" operator="equal">
      <formula>0</formula>
    </cfRule>
  </conditionalFormatting>
  <conditionalFormatting sqref="AX459">
    <cfRule type="cellIs" dxfId="39" priority="15" operator="equal">
      <formula>0</formula>
    </cfRule>
    <cfRule type="cellIs" dxfId="38" priority="16" operator="notEqual">
      <formula>0</formula>
    </cfRule>
  </conditionalFormatting>
  <conditionalFormatting sqref="AX457:AX458 AX465:AX469 AX460:AX461 AX448:AX455 AX463">
    <cfRule type="cellIs" dxfId="37" priority="19" operator="equal">
      <formula>0</formula>
    </cfRule>
    <cfRule type="cellIs" dxfId="36" priority="20" operator="notEqual">
      <formula>0</formula>
    </cfRule>
  </conditionalFormatting>
  <conditionalFormatting sqref="AX445">
    <cfRule type="cellIs" dxfId="35" priority="17" operator="equal">
      <formula>0</formula>
    </cfRule>
    <cfRule type="cellIs" dxfId="34" priority="18" operator="notEqual">
      <formula>0</formula>
    </cfRule>
  </conditionalFormatting>
  <conditionalFormatting sqref="AE117">
    <cfRule type="cellIs" dxfId="33" priority="13" operator="notEqual">
      <formula>0</formula>
    </cfRule>
    <cfRule type="cellIs" dxfId="32" priority="14" operator="equal">
      <formula>0</formula>
    </cfRule>
  </conditionalFormatting>
  <conditionalFormatting sqref="AE448:AE455 AE457:AE469">
    <cfRule type="cellIs" dxfId="31" priority="11" operator="equal">
      <formula>0</formula>
    </cfRule>
    <cfRule type="cellIs" dxfId="30" priority="12" operator="notEqual">
      <formula>0</formula>
    </cfRule>
  </conditionalFormatting>
  <conditionalFormatting sqref="AE445">
    <cfRule type="cellIs" dxfId="29" priority="9" operator="equal">
      <formula>0</formula>
    </cfRule>
    <cfRule type="cellIs" dxfId="28" priority="10" operator="notEqual">
      <formula>0</formula>
    </cfRule>
  </conditionalFormatting>
  <conditionalFormatting sqref="AF117">
    <cfRule type="cellIs" dxfId="27" priority="7" operator="notEqual">
      <formula>0</formula>
    </cfRule>
    <cfRule type="cellIs" dxfId="26" priority="8" operator="equal">
      <formula>0</formula>
    </cfRule>
  </conditionalFormatting>
  <conditionalFormatting sqref="AF445">
    <cfRule type="cellIs" dxfId="25" priority="3" operator="equal">
      <formula>0</formula>
    </cfRule>
    <cfRule type="cellIs" dxfId="24" priority="4" operator="notEqual">
      <formula>0</formula>
    </cfRule>
  </conditionalFormatting>
  <conditionalFormatting sqref="AF452">
    <cfRule type="cellIs" dxfId="23" priority="1" operator="equal">
      <formula>0</formula>
    </cfRule>
    <cfRule type="cellIs" dxfId="22" priority="2" operator="notEqual">
      <formula>0</formula>
    </cfRule>
  </conditionalFormatting>
  <conditionalFormatting sqref="AF448:AF451 AF457:AF469 AF453:AF455">
    <cfRule type="cellIs" dxfId="21" priority="5" operator="equal">
      <formula>0</formula>
    </cfRule>
    <cfRule type="cellIs" dxfId="20" priority="6" operator="notEqual">
      <formula>0</formula>
    </cfRule>
  </conditionalFormatting>
  <dataValidations count="1">
    <dataValidation type="list" showInputMessage="1" showErrorMessage="1" sqref="B246" xr:uid="{00000000-0002-0000-0200-000000000000}">
      <formula1>$A$480:$A$482</formula1>
    </dataValidation>
  </dataValidations>
  <hyperlinks>
    <hyperlink ref="A1" r:id="rId1" xr:uid="{00000000-0004-0000-0200-000000000000}"/>
  </hyperlinks>
  <pageMargins left="0" right="0" top="0.39370078740157499" bottom="0" header="0.196850393700787" footer="0"/>
  <pageSetup fitToHeight="0" orientation="landscape" r:id="rId2"/>
  <headerFooter>
    <oddHeader>&amp;CGP Strategies Corp.&amp;RPage &amp;P</oddHeader>
  </headerFooter>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63E0B8-8B59-4C64-BDB6-2951E3EF1F76}">
  <dimension ref="A1:T10"/>
  <sheetViews>
    <sheetView workbookViewId="0">
      <pane ySplit="5" topLeftCell="A6" activePane="bottomLeft" state="frozen"/>
      <selection pane="bottomLeft"/>
    </sheetView>
  </sheetViews>
  <sheetFormatPr defaultColWidth="8.85546875" defaultRowHeight="15" outlineLevelCol="1" x14ac:dyDescent="0.25"/>
  <cols>
    <col min="1" max="1" width="3" style="539" bestFit="1" customWidth="1"/>
    <col min="2" max="2" width="9.28515625" style="534" bestFit="1" customWidth="1"/>
    <col min="3" max="3" width="2.7109375" style="534" customWidth="1"/>
    <col min="4" max="4" width="23.85546875" style="26" bestFit="1" customWidth="1"/>
    <col min="5" max="5" width="21.7109375" style="540" hidden="1" customWidth="1" outlineLevel="1"/>
    <col min="6" max="6" width="14.42578125" style="534" bestFit="1" customWidth="1" collapsed="1"/>
    <col min="7" max="7" width="2.7109375" style="534" customWidth="1"/>
    <col min="8" max="10" width="9.42578125" style="534" bestFit="1" customWidth="1"/>
    <col min="11" max="11" width="2.7109375" style="534" customWidth="1"/>
    <col min="12" max="12" width="8.7109375" style="534" bestFit="1" customWidth="1"/>
    <col min="13" max="13" width="11.85546875" style="26" bestFit="1" customWidth="1"/>
    <col min="14" max="14" width="2.7109375" style="534" customWidth="1"/>
    <col min="15" max="15" width="13.42578125" style="534" bestFit="1" customWidth="1"/>
    <col min="16" max="16" width="14.28515625" style="541" bestFit="1" customWidth="1"/>
    <col min="17" max="17" width="2.7109375" style="534" customWidth="1"/>
    <col min="18" max="18" width="10.42578125" style="542" bestFit="1" customWidth="1"/>
    <col min="19" max="19" width="13.28515625" style="543" bestFit="1" customWidth="1"/>
  </cols>
  <sheetData>
    <row r="1" spans="1:20" s="534" customFormat="1" ht="28.5" x14ac:dyDescent="0.45">
      <c r="A1" s="544"/>
      <c r="B1" s="560" t="str">
        <f>MO.CompanyName</f>
        <v>GP Strategies Corp.</v>
      </c>
      <c r="C1" s="335"/>
      <c r="D1" s="335"/>
      <c r="E1" s="562"/>
      <c r="F1" s="335"/>
      <c r="G1" s="335"/>
      <c r="H1" s="335"/>
      <c r="I1" s="335"/>
      <c r="J1" s="335"/>
      <c r="K1" s="335"/>
      <c r="L1" s="335"/>
      <c r="M1" s="335"/>
      <c r="N1" s="335"/>
      <c r="O1" s="335"/>
      <c r="P1" s="127"/>
      <c r="Q1" s="335"/>
      <c r="R1" s="563"/>
      <c r="S1" s="335"/>
      <c r="T1" s="335"/>
    </row>
    <row r="2" spans="1:20" s="534" customFormat="1" x14ac:dyDescent="0.25">
      <c r="A2" s="544"/>
      <c r="B2" s="561" t="s">
        <v>395</v>
      </c>
      <c r="C2" s="335"/>
      <c r="D2" s="335"/>
      <c r="E2" s="562"/>
      <c r="F2" s="335" t="str">
        <f>UL.MRQ</f>
        <v>Q2-2020</v>
      </c>
      <c r="G2" s="335"/>
      <c r="H2" s="335"/>
      <c r="I2" s="335"/>
      <c r="J2" s="335"/>
      <c r="K2" s="335"/>
      <c r="L2" s="335"/>
      <c r="M2" s="335"/>
      <c r="N2" s="335"/>
      <c r="O2" s="335"/>
      <c r="P2" s="127"/>
      <c r="Q2" s="335"/>
      <c r="R2" s="563"/>
      <c r="S2" s="335"/>
      <c r="T2" s="335"/>
    </row>
    <row r="3" spans="1:20" s="534" customFormat="1" x14ac:dyDescent="0.25">
      <c r="A3" s="544"/>
      <c r="B3" s="335"/>
      <c r="C3" s="335"/>
      <c r="D3" s="335"/>
      <c r="E3" s="562"/>
      <c r="F3" s="335"/>
      <c r="G3" s="335"/>
      <c r="H3" s="335"/>
      <c r="I3" s="335"/>
      <c r="J3" s="335"/>
      <c r="K3" s="335"/>
      <c r="L3" s="335"/>
      <c r="M3" s="335"/>
      <c r="N3" s="335"/>
      <c r="O3" s="335"/>
      <c r="P3" s="127"/>
      <c r="Q3" s="335"/>
      <c r="R3" s="335"/>
      <c r="S3" s="335"/>
      <c r="T3" s="335"/>
    </row>
    <row r="4" spans="1:20" s="535" customFormat="1" x14ac:dyDescent="0.25">
      <c r="A4" s="544"/>
      <c r="B4" s="569"/>
      <c r="C4" s="578"/>
      <c r="D4" s="569"/>
      <c r="E4" s="569"/>
      <c r="F4" s="569"/>
      <c r="G4" s="578"/>
      <c r="H4" s="570" t="s">
        <v>396</v>
      </c>
      <c r="I4" s="570"/>
      <c r="J4" s="570"/>
      <c r="K4" s="578"/>
      <c r="L4" s="570" t="s">
        <v>397</v>
      </c>
      <c r="M4" s="570"/>
      <c r="N4" s="578"/>
      <c r="O4" s="570" t="s">
        <v>398</v>
      </c>
      <c r="P4" s="570"/>
      <c r="Q4" s="578"/>
      <c r="R4" s="570" t="s">
        <v>399</v>
      </c>
      <c r="S4" s="570"/>
      <c r="T4" s="563"/>
    </row>
    <row r="5" spans="1:20" s="536" customFormat="1" x14ac:dyDescent="0.25">
      <c r="A5" s="544"/>
      <c r="B5" s="569" t="s">
        <v>400</v>
      </c>
      <c r="C5" s="579"/>
      <c r="D5" s="569" t="s">
        <v>401</v>
      </c>
      <c r="E5" s="569" t="s">
        <v>402</v>
      </c>
      <c r="F5" s="569" t="s">
        <v>403</v>
      </c>
      <c r="G5" s="579"/>
      <c r="H5" s="571" t="s">
        <v>275</v>
      </c>
      <c r="I5" s="571" t="s">
        <v>274</v>
      </c>
      <c r="J5" s="571" t="s">
        <v>404</v>
      </c>
      <c r="K5" s="579"/>
      <c r="L5" s="569" t="s">
        <v>400</v>
      </c>
      <c r="M5" s="571" t="s">
        <v>405</v>
      </c>
      <c r="N5" s="579"/>
      <c r="O5" s="571" t="s">
        <v>406</v>
      </c>
      <c r="P5" s="572" t="s">
        <v>407</v>
      </c>
      <c r="Q5" s="579"/>
      <c r="R5" s="571" t="s">
        <v>408</v>
      </c>
      <c r="S5" s="571" t="s">
        <v>409</v>
      </c>
      <c r="T5" s="566"/>
    </row>
    <row r="6" spans="1:20" x14ac:dyDescent="0.25">
      <c r="A6" s="544">
        <v>3</v>
      </c>
      <c r="B6" s="573" t="str">
        <f>IF(MATCH(F6,MO_Common_ColumnHeader,0)&gt;UL.MRQColNum,"Forward","Historical")</f>
        <v>Historical</v>
      </c>
      <c r="C6" s="335"/>
      <c r="D6" s="580" t="str">
        <f t="shared" ref="D6" ca="1" si="0">INDEX(INDIRECT(E6),0,COLUMN(MO_Common_Column_A))</f>
        <v>Adjusted EBITDA</v>
      </c>
      <c r="E6" s="574" t="s">
        <v>470</v>
      </c>
      <c r="F6" s="573" t="s">
        <v>471</v>
      </c>
      <c r="G6" s="335"/>
      <c r="H6" s="617">
        <v>3.4239999999999999</v>
      </c>
      <c r="I6" s="617">
        <v>3.4239999999999999</v>
      </c>
      <c r="J6" s="617">
        <f>AVERAGE(H6:I6)</f>
        <v>3.4239999999999999</v>
      </c>
      <c r="K6" s="335"/>
      <c r="L6" s="573" t="str">
        <f>IF(MATCH(F6,MO_Common_ColumnHeader,0)&gt;UL.MRQColNum,"Estimate","Actual")</f>
        <v>Actual</v>
      </c>
      <c r="M6" s="618">
        <f ca="1">IFERROR(INDEX(INDIRECT(E6),0,MATCH(F6,MO_Common_ColumnHeader,0)),"N/A")</f>
        <v>5.9840000000000071</v>
      </c>
      <c r="N6" s="335"/>
      <c r="O6" s="619">
        <f ca="1">IF(ISNUMBER(M6),M6-J6,"N/A")</f>
        <v>2.5600000000000072</v>
      </c>
      <c r="P6" s="581">
        <f ca="1">IFERROR(IF(ISNUMBER(M6),M6/J6-1,"N/A"),"N/A")</f>
        <v>0.74766355140187124</v>
      </c>
      <c r="Q6" s="335"/>
      <c r="R6" s="577">
        <v>43962</v>
      </c>
      <c r="S6" s="582" t="s">
        <v>410</v>
      </c>
      <c r="T6" s="335"/>
    </row>
    <row r="7" spans="1:20" x14ac:dyDescent="0.25">
      <c r="A7" s="544">
        <v>2</v>
      </c>
      <c r="B7" s="335"/>
      <c r="C7" s="335"/>
      <c r="D7" s="561"/>
      <c r="E7" s="562"/>
      <c r="F7" s="335"/>
      <c r="G7" s="335"/>
      <c r="H7" s="630"/>
      <c r="I7" s="630"/>
      <c r="J7" s="630"/>
      <c r="K7" s="335"/>
      <c r="L7" s="335"/>
      <c r="M7" s="630"/>
      <c r="N7" s="335"/>
      <c r="O7" s="622"/>
      <c r="P7" s="621"/>
      <c r="Q7" s="335"/>
      <c r="R7" s="564"/>
      <c r="S7" s="620"/>
      <c r="T7" s="335"/>
    </row>
    <row r="8" spans="1:20" x14ac:dyDescent="0.25">
      <c r="A8" s="544">
        <v>1</v>
      </c>
      <c r="B8" s="573" t="str">
        <f>IF(MATCH(F8,MO_Common_ColumnHeader,0)&gt;UL.MRQColNum,"Forward","Historical")</f>
        <v>Forward</v>
      </c>
      <c r="C8" s="335"/>
      <c r="D8" s="580" t="s">
        <v>411</v>
      </c>
      <c r="E8" s="574"/>
      <c r="F8" s="573" t="s">
        <v>412</v>
      </c>
      <c r="G8" s="335"/>
      <c r="H8" s="575">
        <v>0.05</v>
      </c>
      <c r="I8" s="575">
        <v>0.05</v>
      </c>
      <c r="J8" s="575">
        <f>AVERAGE(H8:I8)</f>
        <v>0.05</v>
      </c>
      <c r="K8" s="335"/>
      <c r="L8" s="573" t="str">
        <f>IF(MATCH(F8,MO_Common_ColumnHeader,0)&gt;UL.MRQColNum,"Estimate","Actual")</f>
        <v>Estimate</v>
      </c>
      <c r="M8" s="576" t="str">
        <f ca="1">IFERROR(INDEX(INDIRECT(E8),0,MATCH(F8,MO_Common_ColumnHeader,0)),"N/A")</f>
        <v>N/A</v>
      </c>
      <c r="N8" s="335"/>
      <c r="O8" s="581" t="str">
        <f ca="1">IF(ISNUMBER(M8),M8-J8,"N/A")</f>
        <v>N/A</v>
      </c>
      <c r="P8" s="581" t="str">
        <f ca="1">IFERROR(IF(ISNUMBER(M8),M8/J8-1,"N/A"),"N/A")</f>
        <v>N/A</v>
      </c>
      <c r="Q8" s="335"/>
      <c r="R8" s="577">
        <v>43776</v>
      </c>
      <c r="S8" s="582" t="s">
        <v>410</v>
      </c>
      <c r="T8" s="335"/>
    </row>
    <row r="9" spans="1:20" x14ac:dyDescent="0.25">
      <c r="A9" s="544">
        <v>0</v>
      </c>
      <c r="B9" s="335"/>
      <c r="C9" s="335"/>
      <c r="D9" s="335"/>
      <c r="E9" s="562"/>
      <c r="F9" s="335"/>
      <c r="G9" s="335"/>
      <c r="H9" s="630"/>
      <c r="I9" s="630"/>
      <c r="J9" s="630"/>
      <c r="K9" s="335"/>
      <c r="L9" s="335"/>
      <c r="M9" s="630"/>
      <c r="N9" s="335"/>
      <c r="O9" s="568"/>
      <c r="P9" s="567"/>
      <c r="Q9" s="335"/>
      <c r="R9" s="564"/>
      <c r="S9" s="565"/>
      <c r="T9" s="335"/>
    </row>
    <row r="10" spans="1:20" x14ac:dyDescent="0.25">
      <c r="A10" s="529"/>
      <c r="B10" s="530"/>
      <c r="C10" s="530"/>
      <c r="D10" s="25"/>
      <c r="E10" s="531"/>
      <c r="F10" s="530"/>
      <c r="G10" s="530"/>
      <c r="H10" s="530"/>
      <c r="I10" s="530"/>
      <c r="J10" s="530"/>
      <c r="K10" s="530"/>
      <c r="L10" s="530"/>
      <c r="M10" s="25"/>
      <c r="N10" s="530"/>
      <c r="O10" s="530"/>
      <c r="P10" s="532"/>
      <c r="Q10" s="530"/>
      <c r="R10" s="533"/>
      <c r="S10" s="538"/>
      <c r="T10" s="537"/>
    </row>
  </sheetData>
  <autoFilter ref="A5:T5" xr:uid="{00000000-0009-0000-0000-000003000000}"/>
  <conditionalFormatting sqref="P1:P3 P5 P8:P10">
    <cfRule type="colorScale" priority="4">
      <colorScale>
        <cfvo type="num" val="-0.1"/>
        <cfvo type="num" val="0"/>
        <cfvo type="num" val="0.1"/>
        <color rgb="FFF8696B"/>
        <color rgb="FFFFEB84"/>
        <color rgb="FF63BE7B"/>
      </colorScale>
    </cfRule>
  </conditionalFormatting>
  <conditionalFormatting sqref="P7">
    <cfRule type="colorScale" priority="2">
      <colorScale>
        <cfvo type="num" val="-0.1"/>
        <cfvo type="num" val="0"/>
        <cfvo type="num" val="0.1"/>
        <color rgb="FFF8696B"/>
        <color rgb="FFFFEB84"/>
        <color rgb="FF63BE7B"/>
      </colorScale>
    </cfRule>
  </conditionalFormatting>
  <conditionalFormatting sqref="P6">
    <cfRule type="colorScale" priority="1">
      <colorScale>
        <cfvo type="num" val="-0.1"/>
        <cfvo type="num" val="0"/>
        <cfvo type="num" val="0.1"/>
        <color rgb="FFF8696B"/>
        <color rgb="FFFFEB84"/>
        <color rgb="FF63BE7B"/>
      </colorScale>
    </cfRule>
  </conditionalFormatting>
  <hyperlinks>
    <hyperlink ref="S8" r:id="rId1" xr:uid="{00000000-0004-0000-0300-000000000000}"/>
    <hyperlink ref="S6" r:id="rId2" xr:uid="{00000000-0004-0000-0300-000001000000}"/>
  </hyperlinks>
  <pageMargins left="0.7" right="0.7" top="0.75" bottom="0.75" header="0.3" footer="0.3"/>
  <pageSetup orientation="portrait" r:id="rId3"/>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A0F21A-E31A-4CC5-99FA-CA78A760FB6C}">
  <sheetPr codeName="Sheet1">
    <pageSetUpPr fitToPage="1"/>
  </sheetPr>
  <dimension ref="A1:BD118"/>
  <sheetViews>
    <sheetView workbookViewId="0">
      <pane xSplit="2" ySplit="2" topLeftCell="C3" activePane="bottomRight" state="frozen"/>
      <selection pane="topRight" activeCell="C1" sqref="C1"/>
      <selection pane="bottomLeft" activeCell="A3" sqref="A3"/>
      <selection pane="bottomRight"/>
    </sheetView>
  </sheetViews>
  <sheetFormatPr defaultColWidth="9.140625" defaultRowHeight="15" outlineLevelRow="1" outlineLevelCol="1" x14ac:dyDescent="0.25"/>
  <cols>
    <col min="1" max="1" width="41.28515625" style="14" customWidth="1"/>
    <col min="2" max="2" width="9.7109375" style="14" customWidth="1"/>
    <col min="3" max="10" width="9.5703125" style="14" hidden="1" customWidth="1" outlineLevel="1"/>
    <col min="11" max="11" width="9.5703125" style="14" hidden="1" customWidth="1" outlineLevel="1" collapsed="1"/>
    <col min="12" max="15" width="9.5703125" style="14" hidden="1" customWidth="1" outlineLevel="1"/>
    <col min="16" max="16" width="9.5703125" style="14" hidden="1" customWidth="1" outlineLevel="1" collapsed="1"/>
    <col min="17" max="20" width="9.5703125" style="14" hidden="1" customWidth="1" outlineLevel="1"/>
    <col min="21" max="21" width="9.5703125" style="14" hidden="1" customWidth="1" outlineLevel="1" collapsed="1"/>
    <col min="22" max="25" width="9.5703125" style="14" hidden="1" customWidth="1" outlineLevel="1"/>
    <col min="26" max="26" width="9.5703125" style="14" hidden="1" customWidth="1" outlineLevel="1" collapsed="1"/>
    <col min="27" max="30" width="9.5703125" style="14" customWidth="1"/>
    <col min="31" max="31" width="9.5703125" style="14" customWidth="1" collapsed="1"/>
    <col min="32" max="35" width="9.5703125" style="14" customWidth="1"/>
    <col min="36" max="36" width="9.5703125" style="14" customWidth="1" collapsed="1"/>
    <col min="37" max="38" width="9.5703125" style="14" customWidth="1"/>
    <col min="39" max="39" width="9.5703125" style="14"/>
    <col min="40" max="41" width="9.5703125" style="14" hidden="1" customWidth="1" outlineLevel="1"/>
    <col min="42" max="42" width="9.5703125" style="14" hidden="1" customWidth="1" outlineLevel="1" collapsed="1"/>
    <col min="43" max="47" width="9.5703125" style="14" hidden="1" customWidth="1" outlineLevel="1"/>
    <col min="48" max="51" width="9.5703125" style="14" customWidth="1"/>
    <col min="52" max="52" width="9.5703125" style="14" customWidth="1" collapsed="1"/>
    <col min="53" max="55" width="9.5703125" style="14" customWidth="1"/>
    <col min="56" max="56" width="9.7109375" style="14" customWidth="1"/>
    <col min="57" max="57" width="9.140625" style="14" customWidth="1"/>
    <col min="58" max="16384" width="9.140625" style="14"/>
  </cols>
  <sheetData>
    <row r="1" spans="1:56" ht="28.5" customHeight="1" x14ac:dyDescent="0.45">
      <c r="A1" s="242" t="str">
        <f>MO.CompanyName</f>
        <v>GP Strategies Corp.</v>
      </c>
      <c r="B1" s="684"/>
      <c r="C1" s="467">
        <f t="shared" ref="C1:AL1" si="0">INDEX(MO_Common_QEndDate,0,COLUMN())</f>
        <v>41364</v>
      </c>
      <c r="D1" s="467">
        <f t="shared" si="0"/>
        <v>41455</v>
      </c>
      <c r="E1" s="467">
        <f t="shared" si="0"/>
        <v>41547</v>
      </c>
      <c r="F1" s="467">
        <f t="shared" si="0"/>
        <v>41639</v>
      </c>
      <c r="G1" s="467">
        <f t="shared" si="0"/>
        <v>41729</v>
      </c>
      <c r="H1" s="467">
        <f t="shared" si="0"/>
        <v>41820</v>
      </c>
      <c r="I1" s="467">
        <f t="shared" si="0"/>
        <v>41912</v>
      </c>
      <c r="J1" s="467">
        <f t="shared" si="0"/>
        <v>42004</v>
      </c>
      <c r="K1" s="467">
        <f t="shared" si="0"/>
        <v>42094</v>
      </c>
      <c r="L1" s="467">
        <f t="shared" si="0"/>
        <v>42185</v>
      </c>
      <c r="M1" s="467">
        <f t="shared" si="0"/>
        <v>42277</v>
      </c>
      <c r="N1" s="467">
        <f t="shared" si="0"/>
        <v>42369</v>
      </c>
      <c r="O1" s="467">
        <f t="shared" si="0"/>
        <v>42460</v>
      </c>
      <c r="P1" s="467">
        <f t="shared" si="0"/>
        <v>42551</v>
      </c>
      <c r="Q1" s="467">
        <f t="shared" si="0"/>
        <v>42643</v>
      </c>
      <c r="R1" s="467">
        <f t="shared" si="0"/>
        <v>42735</v>
      </c>
      <c r="S1" s="467">
        <f t="shared" si="0"/>
        <v>42825</v>
      </c>
      <c r="T1" s="467">
        <f t="shared" si="0"/>
        <v>42916</v>
      </c>
      <c r="U1" s="467">
        <f t="shared" si="0"/>
        <v>43008</v>
      </c>
      <c r="V1" s="467">
        <f t="shared" si="0"/>
        <v>43100</v>
      </c>
      <c r="W1" s="467">
        <f t="shared" si="0"/>
        <v>43190</v>
      </c>
      <c r="X1" s="467">
        <f t="shared" si="0"/>
        <v>43281</v>
      </c>
      <c r="Y1" s="467">
        <f t="shared" si="0"/>
        <v>43373</v>
      </c>
      <c r="Z1" s="467">
        <f t="shared" si="0"/>
        <v>43465</v>
      </c>
      <c r="AA1" s="467">
        <f t="shared" si="0"/>
        <v>43555</v>
      </c>
      <c r="AB1" s="467">
        <f t="shared" si="0"/>
        <v>43646</v>
      </c>
      <c r="AC1" s="467">
        <f t="shared" si="0"/>
        <v>43738</v>
      </c>
      <c r="AD1" s="467">
        <f t="shared" si="0"/>
        <v>43830</v>
      </c>
      <c r="AE1" s="467">
        <f t="shared" si="0"/>
        <v>43921</v>
      </c>
      <c r="AF1" s="687">
        <f t="shared" si="0"/>
        <v>44012</v>
      </c>
      <c r="AG1" s="230">
        <f t="shared" si="0"/>
        <v>44104</v>
      </c>
      <c r="AH1" s="230">
        <f t="shared" si="0"/>
        <v>44196</v>
      </c>
      <c r="AI1" s="230">
        <f t="shared" si="0"/>
        <v>44286</v>
      </c>
      <c r="AJ1" s="230">
        <f t="shared" si="0"/>
        <v>44377</v>
      </c>
      <c r="AK1" s="230">
        <f t="shared" si="0"/>
        <v>44469</v>
      </c>
      <c r="AL1" s="230">
        <f t="shared" si="0"/>
        <v>44561</v>
      </c>
      <c r="AM1" s="230"/>
      <c r="AN1" s="466">
        <f t="shared" ref="AN1:BC1" si="1">INDEX(MO_Common_QEndDate,0,COLUMN())</f>
        <v>40178</v>
      </c>
      <c r="AO1" s="467">
        <f t="shared" si="1"/>
        <v>40543</v>
      </c>
      <c r="AP1" s="467">
        <f t="shared" si="1"/>
        <v>40908</v>
      </c>
      <c r="AQ1" s="467">
        <f t="shared" si="1"/>
        <v>41274</v>
      </c>
      <c r="AR1" s="467">
        <f t="shared" si="1"/>
        <v>41639</v>
      </c>
      <c r="AS1" s="467">
        <f t="shared" si="1"/>
        <v>42004</v>
      </c>
      <c r="AT1" s="467">
        <f t="shared" si="1"/>
        <v>42369</v>
      </c>
      <c r="AU1" s="467">
        <f t="shared" si="1"/>
        <v>42735</v>
      </c>
      <c r="AV1" s="467">
        <f t="shared" si="1"/>
        <v>43100</v>
      </c>
      <c r="AW1" s="467">
        <f t="shared" si="1"/>
        <v>43465</v>
      </c>
      <c r="AX1" s="687">
        <f t="shared" si="1"/>
        <v>43830</v>
      </c>
      <c r="AY1" s="230">
        <f t="shared" si="1"/>
        <v>44196</v>
      </c>
      <c r="AZ1" s="230">
        <f t="shared" si="1"/>
        <v>44561</v>
      </c>
      <c r="BA1" s="230">
        <f t="shared" si="1"/>
        <v>44926</v>
      </c>
      <c r="BB1" s="230">
        <f t="shared" si="1"/>
        <v>45291</v>
      </c>
      <c r="BC1" s="230">
        <f t="shared" si="1"/>
        <v>45657</v>
      </c>
      <c r="BD1" s="243"/>
    </row>
    <row r="2" spans="1:56" s="56" customFormat="1" x14ac:dyDescent="0.25">
      <c r="A2" s="244" t="s">
        <v>299</v>
      </c>
      <c r="B2" s="245" t="str">
        <f>MO.ReportFX</f>
        <v>USD</v>
      </c>
      <c r="C2" s="468" t="str">
        <f t="shared" ref="C2:AL2" si="2">INDEX(MO_Common_ColumnHeader,0,COLUMN())</f>
        <v>Q1-2013</v>
      </c>
      <c r="D2" s="468" t="str">
        <f t="shared" si="2"/>
        <v>Q2-2013</v>
      </c>
      <c r="E2" s="468" t="str">
        <f t="shared" si="2"/>
        <v>Q3-2013</v>
      </c>
      <c r="F2" s="468" t="str">
        <f t="shared" si="2"/>
        <v>Q4-2013</v>
      </c>
      <c r="G2" s="468" t="str">
        <f t="shared" si="2"/>
        <v>Q1-2014</v>
      </c>
      <c r="H2" s="468" t="str">
        <f t="shared" si="2"/>
        <v>Q2-2014</v>
      </c>
      <c r="I2" s="468" t="str">
        <f t="shared" si="2"/>
        <v>Q3-2014</v>
      </c>
      <c r="J2" s="468" t="str">
        <f t="shared" si="2"/>
        <v>Q4-2014</v>
      </c>
      <c r="K2" s="468" t="str">
        <f t="shared" si="2"/>
        <v>Q1-2015</v>
      </c>
      <c r="L2" s="468" t="str">
        <f t="shared" si="2"/>
        <v>Q2-2015</v>
      </c>
      <c r="M2" s="468" t="str">
        <f t="shared" si="2"/>
        <v>Q3-2015</v>
      </c>
      <c r="N2" s="468" t="str">
        <f t="shared" si="2"/>
        <v>Q4-2015</v>
      </c>
      <c r="O2" s="468" t="str">
        <f t="shared" si="2"/>
        <v>Q1-2016</v>
      </c>
      <c r="P2" s="468" t="str">
        <f t="shared" si="2"/>
        <v>Q2-2016</v>
      </c>
      <c r="Q2" s="468" t="str">
        <f t="shared" si="2"/>
        <v>Q3-2016</v>
      </c>
      <c r="R2" s="468" t="str">
        <f t="shared" si="2"/>
        <v>Q4-2016</v>
      </c>
      <c r="S2" s="468" t="str">
        <f t="shared" si="2"/>
        <v>Q1-2017</v>
      </c>
      <c r="T2" s="468" t="str">
        <f t="shared" si="2"/>
        <v>Q2-2017</v>
      </c>
      <c r="U2" s="468" t="str">
        <f t="shared" si="2"/>
        <v>Q3-2017</v>
      </c>
      <c r="V2" s="468" t="str">
        <f t="shared" si="2"/>
        <v>Q4-2017</v>
      </c>
      <c r="W2" s="468" t="str">
        <f t="shared" si="2"/>
        <v>Q1-2018</v>
      </c>
      <c r="X2" s="468" t="str">
        <f t="shared" si="2"/>
        <v>Q2-2018</v>
      </c>
      <c r="Y2" s="468" t="str">
        <f t="shared" si="2"/>
        <v>Q3-2018</v>
      </c>
      <c r="Z2" s="468" t="str">
        <f t="shared" si="2"/>
        <v>Q4-2018</v>
      </c>
      <c r="AA2" s="468" t="str">
        <f t="shared" si="2"/>
        <v>Q1-2019</v>
      </c>
      <c r="AB2" s="468" t="str">
        <f t="shared" si="2"/>
        <v>Q2-2019</v>
      </c>
      <c r="AC2" s="468" t="str">
        <f t="shared" si="2"/>
        <v>Q3-2019</v>
      </c>
      <c r="AD2" s="468" t="str">
        <f t="shared" si="2"/>
        <v>Q4-2019</v>
      </c>
      <c r="AE2" s="468" t="str">
        <f t="shared" si="2"/>
        <v>Q1-2020</v>
      </c>
      <c r="AF2" s="688" t="str">
        <f t="shared" si="2"/>
        <v>Q2-2020</v>
      </c>
      <c r="AG2" s="133" t="str">
        <f t="shared" si="2"/>
        <v>Q3-2020</v>
      </c>
      <c r="AH2" s="133" t="str">
        <f t="shared" si="2"/>
        <v>Q4-2020</v>
      </c>
      <c r="AI2" s="133" t="str">
        <f t="shared" si="2"/>
        <v>Q1-2021</v>
      </c>
      <c r="AJ2" s="133" t="str">
        <f t="shared" si="2"/>
        <v>Q2-2021</v>
      </c>
      <c r="AK2" s="133" t="str">
        <f t="shared" si="2"/>
        <v>Q3-2021</v>
      </c>
      <c r="AL2" s="133" t="str">
        <f t="shared" si="2"/>
        <v>Q4-2021</v>
      </c>
      <c r="AM2" s="133"/>
      <c r="AN2" s="524" t="str">
        <f t="shared" ref="AN2:BC2" si="3">INDEX(MO_Common_ColumnHeader,0,COLUMN())</f>
        <v>FY2009</v>
      </c>
      <c r="AO2" s="468" t="str">
        <f t="shared" si="3"/>
        <v>FY2010</v>
      </c>
      <c r="AP2" s="468" t="str">
        <f t="shared" si="3"/>
        <v>FY2011</v>
      </c>
      <c r="AQ2" s="468" t="str">
        <f t="shared" si="3"/>
        <v>FY2012</v>
      </c>
      <c r="AR2" s="468" t="str">
        <f t="shared" si="3"/>
        <v>FY2013</v>
      </c>
      <c r="AS2" s="468" t="str">
        <f t="shared" si="3"/>
        <v>FY2014</v>
      </c>
      <c r="AT2" s="468" t="str">
        <f t="shared" si="3"/>
        <v>FY2015</v>
      </c>
      <c r="AU2" s="468" t="str">
        <f t="shared" si="3"/>
        <v>FY2016</v>
      </c>
      <c r="AV2" s="468" t="str">
        <f t="shared" si="3"/>
        <v>FY2017</v>
      </c>
      <c r="AW2" s="468" t="str">
        <f t="shared" si="3"/>
        <v>FY2018</v>
      </c>
      <c r="AX2" s="688" t="str">
        <f t="shared" si="3"/>
        <v>FY2019</v>
      </c>
      <c r="AY2" s="133" t="str">
        <f t="shared" si="3"/>
        <v>FY2020</v>
      </c>
      <c r="AZ2" s="133" t="str">
        <f t="shared" si="3"/>
        <v>FY2021</v>
      </c>
      <c r="BA2" s="133" t="str">
        <f t="shared" si="3"/>
        <v>FY2022</v>
      </c>
      <c r="BB2" s="133" t="str">
        <f t="shared" si="3"/>
        <v>FY2023</v>
      </c>
      <c r="BC2" s="133" t="str">
        <f t="shared" si="3"/>
        <v>FY2024</v>
      </c>
      <c r="BD2" s="684"/>
    </row>
    <row r="3" spans="1:56" x14ac:dyDescent="0.25">
      <c r="A3" s="129" t="s">
        <v>300</v>
      </c>
      <c r="B3" s="129"/>
      <c r="C3" s="469"/>
      <c r="D3" s="469"/>
      <c r="E3" s="469"/>
      <c r="F3" s="469"/>
      <c r="G3" s="469"/>
      <c r="H3" s="469"/>
      <c r="I3" s="469"/>
      <c r="J3" s="469"/>
      <c r="K3" s="469"/>
      <c r="L3" s="469"/>
      <c r="M3" s="469"/>
      <c r="N3" s="469"/>
      <c r="O3" s="469"/>
      <c r="P3" s="469"/>
      <c r="Q3" s="469"/>
      <c r="R3" s="469"/>
      <c r="S3" s="469"/>
      <c r="T3" s="469"/>
      <c r="U3" s="469"/>
      <c r="V3" s="469"/>
      <c r="W3" s="469"/>
      <c r="X3" s="469"/>
      <c r="Y3" s="469"/>
      <c r="Z3" s="469"/>
      <c r="AA3" s="469"/>
      <c r="AB3" s="469"/>
      <c r="AC3" s="469"/>
      <c r="AD3" s="469"/>
      <c r="AE3" s="469"/>
      <c r="AF3" s="689"/>
      <c r="AG3" s="129"/>
      <c r="AH3" s="129"/>
      <c r="AI3" s="129"/>
      <c r="AJ3" s="129"/>
      <c r="AK3" s="129"/>
      <c r="AL3" s="129"/>
      <c r="AM3" s="129"/>
      <c r="AN3" s="469"/>
      <c r="AO3" s="469"/>
      <c r="AP3" s="469"/>
      <c r="AQ3" s="469"/>
      <c r="AR3" s="469"/>
      <c r="AS3" s="469"/>
      <c r="AT3" s="469"/>
      <c r="AU3" s="469"/>
      <c r="AV3" s="469"/>
      <c r="AW3" s="469"/>
      <c r="AX3" s="689"/>
      <c r="AY3" s="129"/>
      <c r="AZ3" s="129"/>
      <c r="BA3" s="129"/>
      <c r="BB3" s="129"/>
      <c r="BC3" s="129"/>
      <c r="BD3" s="263"/>
    </row>
    <row r="4" spans="1:56" s="57" customFormat="1" x14ac:dyDescent="0.25">
      <c r="A4" s="246" t="str">
        <f>"Stock Price - "&amp;SP.ValuationToggle</f>
        <v>Stock Price - Avg</v>
      </c>
      <c r="B4" s="231" t="s">
        <v>147</v>
      </c>
      <c r="C4" s="471">
        <f t="shared" ref="C4:AL4" ca="1" si="4">IF(INDEX(MO_SNA_IsHistoricalPeriod,1,COLUMN())=FALSE,MO.LastPrice/HP.MRFX,CHOOSE(VLOOKUP(SP.ValuationToggle,tb_ValuationToggle,COLUMNS(tb_ValuationToggle),FALSE),INDEX(MO_SPT_StockHigh,1,COLUMN()),INDEX(MO_SPT_StockLow,1,COLUMN()),INDEX(MO_SPT_StockAverage,1,COLUMN()))/IF(INDEX(MO_SPT_FXAverage,1,COLUMN())=0,1,INDEX(MO_SPT_FXAverage,1,COLUMN())))</f>
        <v>22.085000000000001</v>
      </c>
      <c r="D4" s="471">
        <f t="shared" ca="1" si="4"/>
        <v>23.125</v>
      </c>
      <c r="E4" s="471">
        <f t="shared" ca="1" si="4"/>
        <v>25.465</v>
      </c>
      <c r="F4" s="471">
        <f t="shared" ca="1" si="4"/>
        <v>27.745000000000001</v>
      </c>
      <c r="G4" s="471">
        <f t="shared" ca="1" si="4"/>
        <v>28.07</v>
      </c>
      <c r="H4" s="471">
        <f t="shared" ca="1" si="4"/>
        <v>25.83</v>
      </c>
      <c r="I4" s="471">
        <f t="shared" ca="1" si="4"/>
        <v>26.21</v>
      </c>
      <c r="J4" s="471">
        <f t="shared" ca="1" si="4"/>
        <v>30.87</v>
      </c>
      <c r="K4" s="471">
        <f t="shared" ca="1" si="4"/>
        <v>29.43</v>
      </c>
      <c r="L4" s="471">
        <f t="shared" ca="1" si="4"/>
        <v>33.615000000000002</v>
      </c>
      <c r="M4" s="471">
        <f t="shared" ca="1" si="4"/>
        <v>28.73</v>
      </c>
      <c r="N4" s="471">
        <f t="shared" ca="1" si="4"/>
        <v>25.58</v>
      </c>
      <c r="O4" s="471">
        <f t="shared" ca="1" si="4"/>
        <v>24.875</v>
      </c>
      <c r="P4" s="471">
        <f t="shared" ca="1" si="4"/>
        <v>23.71</v>
      </c>
      <c r="Q4" s="471">
        <f t="shared" ca="1" si="4"/>
        <v>22.545000000000002</v>
      </c>
      <c r="R4" s="471">
        <f t="shared" ca="1" si="4"/>
        <v>26.875</v>
      </c>
      <c r="S4" s="471">
        <f t="shared" ca="1" si="4"/>
        <v>26.175000000000001</v>
      </c>
      <c r="T4" s="471">
        <f t="shared" ca="1" si="4"/>
        <v>25.675000000000001</v>
      </c>
      <c r="U4" s="471">
        <f t="shared" ca="1" si="4"/>
        <v>28.5</v>
      </c>
      <c r="V4" s="471">
        <f t="shared" ca="1" si="4"/>
        <v>26.774999999999999</v>
      </c>
      <c r="W4" s="471">
        <f t="shared" ca="1" si="4"/>
        <v>23.4155737704918</v>
      </c>
      <c r="X4" s="471">
        <f t="shared" ca="1" si="4"/>
        <v>20.366250000000001</v>
      </c>
      <c r="Y4" s="471">
        <f t="shared" ca="1" si="4"/>
        <v>18.4206349206349</v>
      </c>
      <c r="Z4" s="471">
        <f t="shared" ca="1" si="4"/>
        <v>14.2795238095238</v>
      </c>
      <c r="AA4" s="471">
        <f t="shared" ca="1" si="4"/>
        <v>14.5911475409836</v>
      </c>
      <c r="AB4" s="471">
        <f t="shared" ca="1" si="4"/>
        <v>13.7668253968254</v>
      </c>
      <c r="AC4" s="471">
        <f t="shared" ca="1" si="4"/>
        <v>14.08984375</v>
      </c>
      <c r="AD4" s="471">
        <f t="shared" ca="1" si="4"/>
        <v>12.4028125</v>
      </c>
      <c r="AE4" s="471">
        <f t="shared" ca="1" si="4"/>
        <v>11.657096774193599</v>
      </c>
      <c r="AF4" s="690">
        <f t="shared" ca="1" si="4"/>
        <v>7.1984126984127004</v>
      </c>
      <c r="AG4" s="134">
        <f t="shared" ca="1" si="4"/>
        <v>8.1999999999999993</v>
      </c>
      <c r="AH4" s="134">
        <f t="shared" ca="1" si="4"/>
        <v>8.1999999999999993</v>
      </c>
      <c r="AI4" s="134">
        <f t="shared" ca="1" si="4"/>
        <v>8.1999999999999993</v>
      </c>
      <c r="AJ4" s="134">
        <f t="shared" ca="1" si="4"/>
        <v>8.1999999999999993</v>
      </c>
      <c r="AK4" s="134">
        <f t="shared" ca="1" si="4"/>
        <v>8.1999999999999993</v>
      </c>
      <c r="AL4" s="134">
        <f t="shared" ca="1" si="4"/>
        <v>8.1999999999999993</v>
      </c>
      <c r="AM4" s="134"/>
      <c r="AN4" s="470">
        <f t="shared" ref="AN4:BC4" ca="1" si="5">IF(INDEX(MO_SNA_IsHistoricalPeriod,1,COLUMN())=FALSE,MO.LastPrice/HP.MRFX,CHOOSE(VLOOKUP(SP.ValuationToggle,tb_ValuationToggle,COLUMNS(tb_ValuationToggle),FALSE),INDEX(MO_SPT_StockHigh,1,COLUMN()),INDEX(MO_SPT_StockLow,1,COLUMN()),INDEX(MO_SPT_StockAverage,1,COLUMN()))/IF(INDEX(MO_SPT_FXAverage,1,COLUMN())=0,1,INDEX(MO_SPT_FXAverage,1,COLUMN())))</f>
        <v>5.65625</v>
      </c>
      <c r="AO4" s="470">
        <f t="shared" ca="1" si="5"/>
        <v>8.2650000000000006</v>
      </c>
      <c r="AP4" s="470">
        <f t="shared" ca="1" si="5"/>
        <v>12.03</v>
      </c>
      <c r="AQ4" s="470">
        <f t="shared" ca="1" si="5"/>
        <v>17.61375</v>
      </c>
      <c r="AR4" s="470">
        <f t="shared" ca="1" si="5"/>
        <v>24.605</v>
      </c>
      <c r="AS4" s="470">
        <f t="shared" ca="1" si="5"/>
        <v>27.745000000000001</v>
      </c>
      <c r="AT4" s="470">
        <f t="shared" ca="1" si="5"/>
        <v>29.338750000000001</v>
      </c>
      <c r="AU4" s="472">
        <f t="shared" ca="1" si="5"/>
        <v>24.501249999999999</v>
      </c>
      <c r="AV4" s="472">
        <f t="shared" ca="1" si="5"/>
        <v>26.78125</v>
      </c>
      <c r="AW4" s="472">
        <f t="shared" ca="1" si="5"/>
        <v>19.091235059761001</v>
      </c>
      <c r="AX4" s="964">
        <f t="shared" ca="1" si="5"/>
        <v>13.701984126984099</v>
      </c>
      <c r="AY4" s="135">
        <f t="shared" ca="1" si="5"/>
        <v>8.1999999999999993</v>
      </c>
      <c r="AZ4" s="135">
        <f t="shared" ca="1" si="5"/>
        <v>8.1999999999999993</v>
      </c>
      <c r="BA4" s="135">
        <f t="shared" ca="1" si="5"/>
        <v>8.1999999999999993</v>
      </c>
      <c r="BB4" s="135">
        <f t="shared" ca="1" si="5"/>
        <v>8.1999999999999993</v>
      </c>
      <c r="BC4" s="135">
        <f t="shared" ca="1" si="5"/>
        <v>8.1999999999999993</v>
      </c>
      <c r="BD4" s="140"/>
    </row>
    <row r="5" spans="1:56" s="56" customFormat="1" x14ac:dyDescent="0.25">
      <c r="A5" s="248" t="str">
        <f>INDEX(MO_RIS_ShareCount_WAD_Adj,0,COLUMN())</f>
        <v>Adjusted Shares Outstanding - WAD</v>
      </c>
      <c r="B5" s="249"/>
      <c r="C5" s="814">
        <f t="shared" ref="C5:AL5" si="6">INDEX(MO_RIS_ShareCount_WAD_Adj,0,COLUMN())</f>
        <v>19.295999999999999</v>
      </c>
      <c r="D5" s="814">
        <f t="shared" si="6"/>
        <v>19.334</v>
      </c>
      <c r="E5" s="814">
        <f t="shared" si="6"/>
        <v>19.404</v>
      </c>
      <c r="F5" s="814">
        <f t="shared" si="6"/>
        <v>19.416</v>
      </c>
      <c r="G5" s="814">
        <f t="shared" si="6"/>
        <v>19.422000000000001</v>
      </c>
      <c r="H5" s="814">
        <f t="shared" si="6"/>
        <v>19.414999999999999</v>
      </c>
      <c r="I5" s="814">
        <f t="shared" si="6"/>
        <v>19.390999999999998</v>
      </c>
      <c r="J5" s="814">
        <f t="shared" si="6"/>
        <v>17.335999999999999</v>
      </c>
      <c r="K5" s="814">
        <f t="shared" si="6"/>
        <v>17.312999999999999</v>
      </c>
      <c r="L5" s="814">
        <f t="shared" si="6"/>
        <v>17.353999999999999</v>
      </c>
      <c r="M5" s="814">
        <f t="shared" si="6"/>
        <v>17.271999999999998</v>
      </c>
      <c r="N5" s="814">
        <f t="shared" si="6"/>
        <v>17.119</v>
      </c>
      <c r="O5" s="814">
        <f t="shared" si="6"/>
        <v>16.831</v>
      </c>
      <c r="P5" s="814">
        <f t="shared" si="6"/>
        <v>16.831</v>
      </c>
      <c r="Q5" s="814">
        <f t="shared" si="6"/>
        <v>16.747</v>
      </c>
      <c r="R5" s="814">
        <f t="shared" si="6"/>
        <v>16.82</v>
      </c>
      <c r="S5" s="814">
        <f t="shared" si="6"/>
        <v>16.841000000000001</v>
      </c>
      <c r="T5" s="814">
        <f t="shared" si="6"/>
        <v>16.832999999999998</v>
      </c>
      <c r="U5" s="814">
        <f t="shared" si="6"/>
        <v>16.896000000000001</v>
      </c>
      <c r="V5" s="814">
        <f t="shared" si="6"/>
        <v>16.917000000000002</v>
      </c>
      <c r="W5" s="814">
        <f t="shared" si="6"/>
        <v>16.713000000000001</v>
      </c>
      <c r="X5" s="814">
        <f t="shared" si="6"/>
        <v>16.600999999999999</v>
      </c>
      <c r="Y5" s="814">
        <f t="shared" si="6"/>
        <v>16.628</v>
      </c>
      <c r="Z5" s="814">
        <f t="shared" si="6"/>
        <v>16.652000000000001</v>
      </c>
      <c r="AA5" s="814">
        <f t="shared" si="6"/>
        <v>16.702999999999999</v>
      </c>
      <c r="AB5" s="814">
        <f t="shared" si="6"/>
        <v>16.78</v>
      </c>
      <c r="AC5" s="814">
        <f t="shared" si="6"/>
        <v>16.939</v>
      </c>
      <c r="AD5" s="814">
        <f t="shared" si="6"/>
        <v>17.02</v>
      </c>
      <c r="AE5" s="814">
        <f t="shared" si="6"/>
        <v>17.117000000000001</v>
      </c>
      <c r="AF5" s="815">
        <f t="shared" si="6"/>
        <v>17.207000000000001</v>
      </c>
      <c r="AG5" s="816">
        <f t="shared" ca="1" si="6"/>
        <v>17.207000000000001</v>
      </c>
      <c r="AH5" s="816">
        <f t="shared" ca="1" si="6"/>
        <v>17.207000000000001</v>
      </c>
      <c r="AI5" s="816">
        <f t="shared" ca="1" si="6"/>
        <v>17.207000000000001</v>
      </c>
      <c r="AJ5" s="816">
        <f t="shared" ca="1" si="6"/>
        <v>17.207000000000001</v>
      </c>
      <c r="AK5" s="816">
        <f t="shared" ca="1" si="6"/>
        <v>17.207000000000001</v>
      </c>
      <c r="AL5" s="816">
        <f t="shared" ca="1" si="6"/>
        <v>17.207000000000001</v>
      </c>
      <c r="AM5" s="816"/>
      <c r="AN5" s="813">
        <f t="shared" ref="AN5:BC5" si="7">INDEX(MO_RIS_ShareCount_WAD_Adj,0,COLUMN())</f>
        <v>15.911</v>
      </c>
      <c r="AO5" s="813">
        <f t="shared" si="7"/>
        <v>18.728999999999999</v>
      </c>
      <c r="AP5" s="813">
        <f t="shared" si="7"/>
        <v>19.010000000000002</v>
      </c>
      <c r="AQ5" s="813">
        <f t="shared" si="7"/>
        <v>19.274999999999999</v>
      </c>
      <c r="AR5" s="813">
        <f t="shared" si="7"/>
        <v>19.361999999999998</v>
      </c>
      <c r="AS5" s="813">
        <f t="shared" si="7"/>
        <v>18.887</v>
      </c>
      <c r="AT5" s="813">
        <f t="shared" si="7"/>
        <v>17.263999999999999</v>
      </c>
      <c r="AU5" s="813">
        <f t="shared" si="7"/>
        <v>16.791</v>
      </c>
      <c r="AV5" s="813">
        <f t="shared" si="7"/>
        <v>16.873000000000001</v>
      </c>
      <c r="AW5" s="813">
        <f t="shared" si="7"/>
        <v>16.696000000000002</v>
      </c>
      <c r="AX5" s="965">
        <f t="shared" si="7"/>
        <v>16.861000000000001</v>
      </c>
      <c r="AY5" s="817">
        <f t="shared" ca="1" si="7"/>
        <v>17.1845</v>
      </c>
      <c r="AZ5" s="817">
        <f t="shared" ca="1" si="7"/>
        <v>17.207000000000001</v>
      </c>
      <c r="BA5" s="817">
        <f t="shared" ca="1" si="7"/>
        <v>17.207000000000001</v>
      </c>
      <c r="BB5" s="817">
        <f t="shared" ca="1" si="7"/>
        <v>17.207000000000001</v>
      </c>
      <c r="BC5" s="817">
        <f t="shared" ca="1" si="7"/>
        <v>17.207000000000001</v>
      </c>
      <c r="BD5" s="684"/>
    </row>
    <row r="6" spans="1:56" s="58" customFormat="1" x14ac:dyDescent="0.25">
      <c r="A6" s="250" t="str">
        <f>"Market Cap - "&amp;SP.ValuationToggle</f>
        <v>Market Cap - Avg</v>
      </c>
      <c r="B6" s="251"/>
      <c r="C6" s="819">
        <f t="shared" ref="C6:AL6" ca="1" si="8">INDEX(SP_CS_StockPrice,0,COLUMN())*INDEX(SP_CS_ShareCount,0,COLUMN())</f>
        <v>426.15215999999998</v>
      </c>
      <c r="D6" s="819">
        <f t="shared" ca="1" si="8"/>
        <v>447.09875</v>
      </c>
      <c r="E6" s="819">
        <f t="shared" ca="1" si="8"/>
        <v>494.12286</v>
      </c>
      <c r="F6" s="819">
        <f t="shared" ca="1" si="8"/>
        <v>538.69691999999998</v>
      </c>
      <c r="G6" s="819">
        <f t="shared" ca="1" si="8"/>
        <v>545.17554000000007</v>
      </c>
      <c r="H6" s="819">
        <f t="shared" ca="1" si="8"/>
        <v>501.48944999999992</v>
      </c>
      <c r="I6" s="819">
        <f t="shared" ca="1" si="8"/>
        <v>508.23810999999995</v>
      </c>
      <c r="J6" s="819">
        <f t="shared" ca="1" si="8"/>
        <v>535.16232000000002</v>
      </c>
      <c r="K6" s="819">
        <f t="shared" ca="1" si="8"/>
        <v>509.52158999999995</v>
      </c>
      <c r="L6" s="819">
        <f t="shared" ca="1" si="8"/>
        <v>583.35470999999995</v>
      </c>
      <c r="M6" s="819">
        <f t="shared" ca="1" si="8"/>
        <v>496.22455999999994</v>
      </c>
      <c r="N6" s="819">
        <f t="shared" ca="1" si="8"/>
        <v>437.90401999999995</v>
      </c>
      <c r="O6" s="819">
        <f t="shared" ca="1" si="8"/>
        <v>418.67112499999996</v>
      </c>
      <c r="P6" s="819">
        <f t="shared" ca="1" si="8"/>
        <v>399.06301000000002</v>
      </c>
      <c r="Q6" s="819">
        <f t="shared" ca="1" si="8"/>
        <v>377.56111500000003</v>
      </c>
      <c r="R6" s="819">
        <f t="shared" ca="1" si="8"/>
        <v>452.03750000000002</v>
      </c>
      <c r="S6" s="819">
        <f t="shared" ca="1" si="8"/>
        <v>440.81317500000006</v>
      </c>
      <c r="T6" s="819">
        <f t="shared" ca="1" si="8"/>
        <v>432.18727499999994</v>
      </c>
      <c r="U6" s="819">
        <f t="shared" ca="1" si="8"/>
        <v>481.536</v>
      </c>
      <c r="V6" s="819">
        <f t="shared" ca="1" si="8"/>
        <v>452.952675</v>
      </c>
      <c r="W6" s="819">
        <f t="shared" ca="1" si="8"/>
        <v>391.34448442622949</v>
      </c>
      <c r="X6" s="819">
        <f t="shared" ca="1" si="8"/>
        <v>338.10011624999999</v>
      </c>
      <c r="Y6" s="819">
        <f t="shared" ca="1" si="8"/>
        <v>306.29831746031709</v>
      </c>
      <c r="Z6" s="819">
        <f t="shared" ca="1" si="8"/>
        <v>237.78263047619035</v>
      </c>
      <c r="AA6" s="819">
        <f t="shared" ca="1" si="8"/>
        <v>243.71593737704907</v>
      </c>
      <c r="AB6" s="819">
        <f t="shared" ca="1" si="8"/>
        <v>231.00733015873024</v>
      </c>
      <c r="AC6" s="819">
        <f t="shared" ca="1" si="8"/>
        <v>238.66786328124999</v>
      </c>
      <c r="AD6" s="819">
        <f t="shared" ca="1" si="8"/>
        <v>211.09586874999999</v>
      </c>
      <c r="AE6" s="819">
        <f t="shared" ca="1" si="8"/>
        <v>199.53452548387185</v>
      </c>
      <c r="AF6" s="820">
        <f t="shared" ca="1" si="8"/>
        <v>123.86308730158734</v>
      </c>
      <c r="AG6" s="819">
        <f t="shared" ca="1" si="8"/>
        <v>141.09739999999999</v>
      </c>
      <c r="AH6" s="819">
        <f t="shared" ca="1" si="8"/>
        <v>141.09739999999999</v>
      </c>
      <c r="AI6" s="819">
        <f t="shared" ca="1" si="8"/>
        <v>141.09739999999999</v>
      </c>
      <c r="AJ6" s="819">
        <f t="shared" ca="1" si="8"/>
        <v>141.09739999999999</v>
      </c>
      <c r="AK6" s="819">
        <f t="shared" ca="1" si="8"/>
        <v>141.09739999999999</v>
      </c>
      <c r="AL6" s="819">
        <f t="shared" ca="1" si="8"/>
        <v>141.09739999999999</v>
      </c>
      <c r="AM6" s="819"/>
      <c r="AN6" s="818">
        <f t="shared" ref="AN6:BC6" ca="1" si="9">INDEX(SP_CS_StockPrice,0,COLUMN())*INDEX(SP_CS_ShareCount,0,COLUMN())</f>
        <v>89.996593750000002</v>
      </c>
      <c r="AO6" s="818">
        <f t="shared" ca="1" si="9"/>
        <v>154.795185</v>
      </c>
      <c r="AP6" s="818">
        <f t="shared" ca="1" si="9"/>
        <v>228.69030000000001</v>
      </c>
      <c r="AQ6" s="818">
        <f t="shared" ca="1" si="9"/>
        <v>339.50503124999994</v>
      </c>
      <c r="AR6" s="818">
        <f t="shared" ca="1" si="9"/>
        <v>476.40200999999996</v>
      </c>
      <c r="AS6" s="818">
        <f t="shared" ca="1" si="9"/>
        <v>524.01981499999999</v>
      </c>
      <c r="AT6" s="818">
        <f t="shared" ca="1" si="9"/>
        <v>506.50418000000002</v>
      </c>
      <c r="AU6" s="818">
        <f t="shared" ca="1" si="9"/>
        <v>411.40048874999997</v>
      </c>
      <c r="AV6" s="818">
        <f t="shared" ca="1" si="9"/>
        <v>451.88003125</v>
      </c>
      <c r="AW6" s="818">
        <f t="shared" ca="1" si="9"/>
        <v>318.74726055776972</v>
      </c>
      <c r="AX6" s="966">
        <f t="shared" ca="1" si="9"/>
        <v>231.02915436507891</v>
      </c>
      <c r="AY6" s="818">
        <f t="shared" ca="1" si="9"/>
        <v>140.91289999999998</v>
      </c>
      <c r="AZ6" s="818">
        <f t="shared" ca="1" si="9"/>
        <v>141.09739999999999</v>
      </c>
      <c r="BA6" s="818">
        <f t="shared" ca="1" si="9"/>
        <v>141.09739999999999</v>
      </c>
      <c r="BB6" s="818">
        <f t="shared" ca="1" si="9"/>
        <v>141.09739999999999</v>
      </c>
      <c r="BC6" s="818">
        <f t="shared" ca="1" si="9"/>
        <v>141.09739999999999</v>
      </c>
      <c r="BD6" s="685"/>
    </row>
    <row r="7" spans="1:56" s="56" customFormat="1" x14ac:dyDescent="0.25">
      <c r="A7" s="248" t="str">
        <f>INDEX(MO_BSS_Cash,0,COLUMN())</f>
        <v>Cash</v>
      </c>
      <c r="B7" s="249"/>
      <c r="C7" s="814">
        <f t="shared" ref="C7:AL7" si="10">INDEX(MO_BSS_Cash,0,COLUMN())</f>
        <v>11.047000000000001</v>
      </c>
      <c r="D7" s="814">
        <f t="shared" si="10"/>
        <v>5.1920000000000002</v>
      </c>
      <c r="E7" s="814">
        <f t="shared" si="10"/>
        <v>4.3730000000000002</v>
      </c>
      <c r="F7" s="814">
        <f t="shared" si="10"/>
        <v>5.6470000000000002</v>
      </c>
      <c r="G7" s="814">
        <f t="shared" si="10"/>
        <v>5.2270000000000003</v>
      </c>
      <c r="H7" s="814">
        <f t="shared" si="10"/>
        <v>6.0259999999999998</v>
      </c>
      <c r="I7" s="814">
        <f t="shared" si="10"/>
        <v>9.1180000000000003</v>
      </c>
      <c r="J7" s="814">
        <f t="shared" si="10"/>
        <v>14.541</v>
      </c>
      <c r="K7" s="814">
        <f t="shared" si="10"/>
        <v>12.135</v>
      </c>
      <c r="L7" s="814">
        <f t="shared" si="10"/>
        <v>12.34</v>
      </c>
      <c r="M7" s="814">
        <f t="shared" si="10"/>
        <v>13.631</v>
      </c>
      <c r="N7" s="814">
        <f t="shared" si="10"/>
        <v>21.03</v>
      </c>
      <c r="O7" s="814">
        <f t="shared" si="10"/>
        <v>16.47</v>
      </c>
      <c r="P7" s="814">
        <f t="shared" si="10"/>
        <v>14.86</v>
      </c>
      <c r="Q7" s="814">
        <f t="shared" si="10"/>
        <v>15.695</v>
      </c>
      <c r="R7" s="814">
        <f t="shared" si="10"/>
        <v>16.346</v>
      </c>
      <c r="S7" s="814">
        <f t="shared" si="10"/>
        <v>15.452</v>
      </c>
      <c r="T7" s="814">
        <f t="shared" si="10"/>
        <v>23.713999999999999</v>
      </c>
      <c r="U7" s="814">
        <f t="shared" si="10"/>
        <v>18.02</v>
      </c>
      <c r="V7" s="814">
        <f t="shared" si="10"/>
        <v>23.611999999999998</v>
      </c>
      <c r="W7" s="814">
        <f t="shared" si="10"/>
        <v>16.945</v>
      </c>
      <c r="X7" s="814">
        <f t="shared" si="10"/>
        <v>14.134</v>
      </c>
      <c r="Y7" s="814">
        <f t="shared" si="10"/>
        <v>10.323</v>
      </c>
      <c r="Z7" s="814">
        <f t="shared" si="10"/>
        <v>13.417</v>
      </c>
      <c r="AA7" s="814">
        <f t="shared" si="10"/>
        <v>8.4269999999999996</v>
      </c>
      <c r="AB7" s="814">
        <f t="shared" si="10"/>
        <v>6.1109999999999998</v>
      </c>
      <c r="AC7" s="814">
        <f t="shared" si="10"/>
        <v>7.7389999999999999</v>
      </c>
      <c r="AD7" s="814">
        <f t="shared" si="10"/>
        <v>8.1590000000000007</v>
      </c>
      <c r="AE7" s="814">
        <f t="shared" si="10"/>
        <v>9.0250000000000004</v>
      </c>
      <c r="AF7" s="815">
        <f t="shared" si="10"/>
        <v>12.097</v>
      </c>
      <c r="AG7" s="816">
        <f t="shared" ca="1" si="10"/>
        <v>10.89746852890833</v>
      </c>
      <c r="AH7" s="816">
        <f t="shared" ca="1" si="10"/>
        <v>19.621465831161704</v>
      </c>
      <c r="AI7" s="816">
        <f t="shared" ca="1" si="10"/>
        <v>14.278098288899596</v>
      </c>
      <c r="AJ7" s="816">
        <f t="shared" ca="1" si="10"/>
        <v>28.908349917226953</v>
      </c>
      <c r="AK7" s="816">
        <f t="shared" ca="1" si="10"/>
        <v>25.954825680337841</v>
      </c>
      <c r="AL7" s="816">
        <f t="shared" ca="1" si="10"/>
        <v>34.391001674894277</v>
      </c>
      <c r="AM7" s="816"/>
      <c r="AN7" s="813">
        <f t="shared" ref="AN7:BC7" si="11">INDEX(MO_BSS_Cash,0,COLUMN())</f>
        <v>10.803000000000001</v>
      </c>
      <c r="AO7" s="813">
        <f t="shared" si="11"/>
        <v>28.902000000000001</v>
      </c>
      <c r="AP7" s="813">
        <f t="shared" si="11"/>
        <v>4.1509999999999998</v>
      </c>
      <c r="AQ7" s="813">
        <f t="shared" si="11"/>
        <v>7.7610000000000001</v>
      </c>
      <c r="AR7" s="813">
        <f t="shared" si="11"/>
        <v>5.6470000000000002</v>
      </c>
      <c r="AS7" s="813">
        <f t="shared" si="11"/>
        <v>14.541</v>
      </c>
      <c r="AT7" s="813">
        <f t="shared" si="11"/>
        <v>21.03</v>
      </c>
      <c r="AU7" s="813">
        <f t="shared" si="11"/>
        <v>16.346</v>
      </c>
      <c r="AV7" s="813">
        <f t="shared" si="11"/>
        <v>23.611999999999998</v>
      </c>
      <c r="AW7" s="813">
        <f t="shared" si="11"/>
        <v>13.417</v>
      </c>
      <c r="AX7" s="965">
        <f t="shared" si="11"/>
        <v>8.1590000000000007</v>
      </c>
      <c r="AY7" s="817">
        <f t="shared" ca="1" si="11"/>
        <v>19.621465831161704</v>
      </c>
      <c r="AZ7" s="817">
        <f t="shared" ca="1" si="11"/>
        <v>34.391001674894277</v>
      </c>
      <c r="BA7" s="817">
        <f t="shared" ca="1" si="11"/>
        <v>53.42996097664976</v>
      </c>
      <c r="BB7" s="817">
        <f t="shared" ca="1" si="11"/>
        <v>79.0544755300444</v>
      </c>
      <c r="BC7" s="817">
        <f t="shared" ca="1" si="11"/>
        <v>111.15367088258914</v>
      </c>
      <c r="BD7" s="684"/>
    </row>
    <row r="8" spans="1:56" s="56" customFormat="1" x14ac:dyDescent="0.25">
      <c r="A8" s="248" t="str">
        <f>INDEX(MO_BSS_Debt,0,COLUMN())</f>
        <v>Debt</v>
      </c>
      <c r="B8" s="249"/>
      <c r="C8" s="814">
        <f t="shared" ref="C8:AL8" si="12">INDEX(MO_BSS_Debt,0,COLUMN())</f>
        <v>0</v>
      </c>
      <c r="D8" s="814">
        <f t="shared" si="12"/>
        <v>6.77</v>
      </c>
      <c r="E8" s="814">
        <f t="shared" si="12"/>
        <v>4.82</v>
      </c>
      <c r="F8" s="814">
        <f t="shared" si="12"/>
        <v>0.40699999999999997</v>
      </c>
      <c r="G8" s="814">
        <f t="shared" si="12"/>
        <v>2.7770000000000001</v>
      </c>
      <c r="H8" s="814">
        <f t="shared" si="12"/>
        <v>17.771000000000001</v>
      </c>
      <c r="I8" s="814">
        <f t="shared" si="12"/>
        <v>4.88</v>
      </c>
      <c r="J8" s="814">
        <f t="shared" si="12"/>
        <v>58.575999999999993</v>
      </c>
      <c r="K8" s="814">
        <f t="shared" si="12"/>
        <v>55.977999999999994</v>
      </c>
      <c r="L8" s="814">
        <f t="shared" si="12"/>
        <v>59.908999999999999</v>
      </c>
      <c r="M8" s="814">
        <f t="shared" si="12"/>
        <v>60.683999999999997</v>
      </c>
      <c r="N8" s="814">
        <f t="shared" si="12"/>
        <v>58.528000000000006</v>
      </c>
      <c r="O8" s="814">
        <f t="shared" si="12"/>
        <v>54.202999999999996</v>
      </c>
      <c r="P8" s="814">
        <f t="shared" si="12"/>
        <v>60.259</v>
      </c>
      <c r="Q8" s="814">
        <f t="shared" si="12"/>
        <v>59.292999999999992</v>
      </c>
      <c r="R8" s="814">
        <f t="shared" si="12"/>
        <v>57.694000000000003</v>
      </c>
      <c r="S8" s="814">
        <f t="shared" si="12"/>
        <v>60.528999999999996</v>
      </c>
      <c r="T8" s="814">
        <f t="shared" si="12"/>
        <v>58.483000000000004</v>
      </c>
      <c r="U8" s="814">
        <f t="shared" si="12"/>
        <v>58.506</v>
      </c>
      <c r="V8" s="814">
        <f t="shared" si="12"/>
        <v>65.695999999999998</v>
      </c>
      <c r="W8" s="814">
        <f t="shared" si="12"/>
        <v>68.706000000000003</v>
      </c>
      <c r="X8" s="814">
        <f t="shared" si="12"/>
        <v>101.82300000000001</v>
      </c>
      <c r="Y8" s="814">
        <f t="shared" si="12"/>
        <v>106.044</v>
      </c>
      <c r="Z8" s="814">
        <f t="shared" si="12"/>
        <v>116.5</v>
      </c>
      <c r="AA8" s="814">
        <f t="shared" si="12"/>
        <v>116.607</v>
      </c>
      <c r="AB8" s="814">
        <f t="shared" si="12"/>
        <v>119.65</v>
      </c>
      <c r="AC8" s="814">
        <f t="shared" si="12"/>
        <v>113.15</v>
      </c>
      <c r="AD8" s="814">
        <f t="shared" si="12"/>
        <v>82.87</v>
      </c>
      <c r="AE8" s="814">
        <f t="shared" si="12"/>
        <v>74.837000000000003</v>
      </c>
      <c r="AF8" s="815">
        <f t="shared" si="12"/>
        <v>57.65</v>
      </c>
      <c r="AG8" s="816">
        <f t="shared" si="12"/>
        <v>57.65</v>
      </c>
      <c r="AH8" s="816">
        <f t="shared" si="12"/>
        <v>57.65</v>
      </c>
      <c r="AI8" s="816">
        <f t="shared" si="12"/>
        <v>57.65</v>
      </c>
      <c r="AJ8" s="816">
        <f t="shared" si="12"/>
        <v>57.65</v>
      </c>
      <c r="AK8" s="816">
        <f t="shared" si="12"/>
        <v>57.65</v>
      </c>
      <c r="AL8" s="816">
        <f t="shared" si="12"/>
        <v>57.65</v>
      </c>
      <c r="AM8" s="816"/>
      <c r="AN8" s="813">
        <f t="shared" ref="AN8:BC8" si="13">INDEX(MO_BSS_Debt,0,COLUMN())</f>
        <v>0</v>
      </c>
      <c r="AO8" s="813">
        <f t="shared" si="13"/>
        <v>0</v>
      </c>
      <c r="AP8" s="813">
        <f t="shared" si="13"/>
        <v>0</v>
      </c>
      <c r="AQ8" s="813">
        <f t="shared" si="13"/>
        <v>0</v>
      </c>
      <c r="AR8" s="813">
        <f t="shared" si="13"/>
        <v>0.40699999999999997</v>
      </c>
      <c r="AS8" s="813">
        <f t="shared" si="13"/>
        <v>58.575999999999993</v>
      </c>
      <c r="AT8" s="813">
        <f t="shared" si="13"/>
        <v>58.528000000000006</v>
      </c>
      <c r="AU8" s="813">
        <f t="shared" si="13"/>
        <v>57.694000000000003</v>
      </c>
      <c r="AV8" s="813">
        <f t="shared" si="13"/>
        <v>65.695999999999998</v>
      </c>
      <c r="AW8" s="813">
        <f t="shared" si="13"/>
        <v>116.5</v>
      </c>
      <c r="AX8" s="965">
        <f t="shared" si="13"/>
        <v>82.87</v>
      </c>
      <c r="AY8" s="817">
        <f t="shared" si="13"/>
        <v>57.65</v>
      </c>
      <c r="AZ8" s="817">
        <f t="shared" si="13"/>
        <v>57.65</v>
      </c>
      <c r="BA8" s="817">
        <f t="shared" si="13"/>
        <v>57.65</v>
      </c>
      <c r="BB8" s="817">
        <f t="shared" si="13"/>
        <v>57.65</v>
      </c>
      <c r="BC8" s="817">
        <f t="shared" si="13"/>
        <v>57.65</v>
      </c>
      <c r="BD8" s="684"/>
    </row>
    <row r="9" spans="1:56" s="56" customFormat="1" x14ac:dyDescent="0.25">
      <c r="A9" s="248" t="s">
        <v>414</v>
      </c>
      <c r="B9" s="249"/>
      <c r="C9" s="814">
        <f t="shared" ref="C9:AL9" si="14">INDEX(MO_BSS_OL,0,COLUMN())</f>
        <v>0</v>
      </c>
      <c r="D9" s="814">
        <f t="shared" si="14"/>
        <v>0</v>
      </c>
      <c r="E9" s="814">
        <f t="shared" si="14"/>
        <v>0</v>
      </c>
      <c r="F9" s="814">
        <f t="shared" si="14"/>
        <v>0</v>
      </c>
      <c r="G9" s="814">
        <f t="shared" si="14"/>
        <v>0</v>
      </c>
      <c r="H9" s="814">
        <f t="shared" si="14"/>
        <v>0</v>
      </c>
      <c r="I9" s="814">
        <f t="shared" si="14"/>
        <v>0</v>
      </c>
      <c r="J9" s="814">
        <f t="shared" si="14"/>
        <v>0</v>
      </c>
      <c r="K9" s="814">
        <f t="shared" si="14"/>
        <v>0</v>
      </c>
      <c r="L9" s="814">
        <f t="shared" si="14"/>
        <v>0</v>
      </c>
      <c r="M9" s="814">
        <f t="shared" si="14"/>
        <v>0</v>
      </c>
      <c r="N9" s="814">
        <f t="shared" si="14"/>
        <v>0</v>
      </c>
      <c r="O9" s="814">
        <f t="shared" si="14"/>
        <v>0</v>
      </c>
      <c r="P9" s="814">
        <f t="shared" si="14"/>
        <v>0</v>
      </c>
      <c r="Q9" s="814">
        <f t="shared" si="14"/>
        <v>0</v>
      </c>
      <c r="R9" s="814">
        <f t="shared" si="14"/>
        <v>0</v>
      </c>
      <c r="S9" s="814">
        <f t="shared" si="14"/>
        <v>0</v>
      </c>
      <c r="T9" s="814">
        <f t="shared" si="14"/>
        <v>0</v>
      </c>
      <c r="U9" s="814">
        <f t="shared" si="14"/>
        <v>0</v>
      </c>
      <c r="V9" s="814">
        <f t="shared" si="14"/>
        <v>0</v>
      </c>
      <c r="W9" s="814">
        <f t="shared" si="14"/>
        <v>0</v>
      </c>
      <c r="X9" s="814">
        <f t="shared" si="14"/>
        <v>0</v>
      </c>
      <c r="Y9" s="814">
        <f t="shared" si="14"/>
        <v>0</v>
      </c>
      <c r="Z9" s="814">
        <f t="shared" si="14"/>
        <v>0</v>
      </c>
      <c r="AA9" s="814">
        <f t="shared" si="14"/>
        <v>33.055</v>
      </c>
      <c r="AB9" s="814">
        <f t="shared" si="14"/>
        <v>32.492999999999995</v>
      </c>
      <c r="AC9" s="814">
        <f t="shared" si="14"/>
        <v>30.625</v>
      </c>
      <c r="AD9" s="814">
        <f t="shared" si="14"/>
        <v>30.03</v>
      </c>
      <c r="AE9" s="814">
        <f t="shared" si="14"/>
        <v>28.515000000000001</v>
      </c>
      <c r="AF9" s="815">
        <f t="shared" si="14"/>
        <v>26.531000000000002</v>
      </c>
      <c r="AG9" s="816">
        <f t="shared" si="14"/>
        <v>26.531000000000002</v>
      </c>
      <c r="AH9" s="816">
        <f t="shared" si="14"/>
        <v>26.531000000000002</v>
      </c>
      <c r="AI9" s="816">
        <f t="shared" si="14"/>
        <v>26.531000000000002</v>
      </c>
      <c r="AJ9" s="816">
        <f t="shared" si="14"/>
        <v>26.531000000000002</v>
      </c>
      <c r="AK9" s="816">
        <f t="shared" si="14"/>
        <v>26.531000000000002</v>
      </c>
      <c r="AL9" s="816">
        <f t="shared" si="14"/>
        <v>26.531000000000002</v>
      </c>
      <c r="AM9" s="816"/>
      <c r="AN9" s="813">
        <f t="shared" ref="AN9:BC9" si="15">INDEX(MO_BSS_OL,0,COLUMN())</f>
        <v>0</v>
      </c>
      <c r="AO9" s="813">
        <f t="shared" si="15"/>
        <v>0</v>
      </c>
      <c r="AP9" s="813">
        <f t="shared" si="15"/>
        <v>0</v>
      </c>
      <c r="AQ9" s="813">
        <f t="shared" si="15"/>
        <v>0</v>
      </c>
      <c r="AR9" s="813">
        <f t="shared" si="15"/>
        <v>0</v>
      </c>
      <c r="AS9" s="813">
        <f t="shared" si="15"/>
        <v>0</v>
      </c>
      <c r="AT9" s="813">
        <f t="shared" si="15"/>
        <v>0</v>
      </c>
      <c r="AU9" s="813">
        <f t="shared" si="15"/>
        <v>0</v>
      </c>
      <c r="AV9" s="813">
        <f t="shared" si="15"/>
        <v>0</v>
      </c>
      <c r="AW9" s="813">
        <f t="shared" si="15"/>
        <v>0</v>
      </c>
      <c r="AX9" s="965">
        <f t="shared" si="15"/>
        <v>30.03</v>
      </c>
      <c r="AY9" s="817">
        <f t="shared" si="15"/>
        <v>26.531000000000002</v>
      </c>
      <c r="AZ9" s="817">
        <f t="shared" si="15"/>
        <v>26.531000000000002</v>
      </c>
      <c r="BA9" s="817">
        <f t="shared" si="15"/>
        <v>26.531000000000002</v>
      </c>
      <c r="BB9" s="817">
        <f t="shared" si="15"/>
        <v>26.531000000000002</v>
      </c>
      <c r="BC9" s="817">
        <f t="shared" si="15"/>
        <v>26.531000000000002</v>
      </c>
      <c r="BD9" s="684"/>
    </row>
    <row r="10" spans="1:56" s="56" customFormat="1" x14ac:dyDescent="0.25">
      <c r="A10" s="248" t="s">
        <v>151</v>
      </c>
      <c r="B10" s="249"/>
      <c r="C10" s="814">
        <f t="shared" ref="C10:AL10" si="16">INDEX(MO_VA_EVCalc_NCI,0,COLUMN())+INDEX(MO_VA_EVCalc_Prefs,0,COLUMN())+INDEX(MO_VA_EVCalc_Other,0,COLUMN())</f>
        <v>0</v>
      </c>
      <c r="D10" s="814">
        <f t="shared" si="16"/>
        <v>0</v>
      </c>
      <c r="E10" s="814">
        <f t="shared" si="16"/>
        <v>0</v>
      </c>
      <c r="F10" s="814">
        <f t="shared" si="16"/>
        <v>0</v>
      </c>
      <c r="G10" s="814">
        <f t="shared" si="16"/>
        <v>0</v>
      </c>
      <c r="H10" s="814">
        <f t="shared" si="16"/>
        <v>0</v>
      </c>
      <c r="I10" s="814">
        <f t="shared" si="16"/>
        <v>0</v>
      </c>
      <c r="J10" s="814">
        <f t="shared" si="16"/>
        <v>0</v>
      </c>
      <c r="K10" s="814">
        <f t="shared" si="16"/>
        <v>0</v>
      </c>
      <c r="L10" s="814">
        <f t="shared" si="16"/>
        <v>0</v>
      </c>
      <c r="M10" s="814">
        <f t="shared" si="16"/>
        <v>0</v>
      </c>
      <c r="N10" s="814">
        <f t="shared" si="16"/>
        <v>0</v>
      </c>
      <c r="O10" s="814">
        <f t="shared" si="16"/>
        <v>0</v>
      </c>
      <c r="P10" s="814">
        <f t="shared" si="16"/>
        <v>0</v>
      </c>
      <c r="Q10" s="814">
        <f t="shared" si="16"/>
        <v>0</v>
      </c>
      <c r="R10" s="814">
        <f t="shared" si="16"/>
        <v>0</v>
      </c>
      <c r="S10" s="814">
        <f t="shared" si="16"/>
        <v>0</v>
      </c>
      <c r="T10" s="814">
        <f t="shared" si="16"/>
        <v>0</v>
      </c>
      <c r="U10" s="814">
        <f t="shared" si="16"/>
        <v>0</v>
      </c>
      <c r="V10" s="814">
        <f t="shared" si="16"/>
        <v>0</v>
      </c>
      <c r="W10" s="814">
        <f t="shared" si="16"/>
        <v>0</v>
      </c>
      <c r="X10" s="814">
        <f t="shared" si="16"/>
        <v>0</v>
      </c>
      <c r="Y10" s="814">
        <f t="shared" si="16"/>
        <v>0</v>
      </c>
      <c r="Z10" s="814">
        <f t="shared" si="16"/>
        <v>0</v>
      </c>
      <c r="AA10" s="814">
        <f t="shared" si="16"/>
        <v>0</v>
      </c>
      <c r="AB10" s="814">
        <f t="shared" si="16"/>
        <v>0</v>
      </c>
      <c r="AC10" s="814">
        <f t="shared" si="16"/>
        <v>0</v>
      </c>
      <c r="AD10" s="814">
        <f t="shared" si="16"/>
        <v>0</v>
      </c>
      <c r="AE10" s="814">
        <f t="shared" si="16"/>
        <v>0</v>
      </c>
      <c r="AF10" s="815">
        <f t="shared" si="16"/>
        <v>0</v>
      </c>
      <c r="AG10" s="816">
        <f t="shared" si="16"/>
        <v>0</v>
      </c>
      <c r="AH10" s="816">
        <f t="shared" si="16"/>
        <v>0</v>
      </c>
      <c r="AI10" s="816">
        <f t="shared" si="16"/>
        <v>0</v>
      </c>
      <c r="AJ10" s="816">
        <f t="shared" si="16"/>
        <v>0</v>
      </c>
      <c r="AK10" s="816">
        <f t="shared" si="16"/>
        <v>0</v>
      </c>
      <c r="AL10" s="816">
        <f t="shared" si="16"/>
        <v>0</v>
      </c>
      <c r="AM10" s="816"/>
      <c r="AN10" s="813">
        <f t="shared" ref="AN10:BC10" si="17">INDEX(MO_VA_EVCalc_NCI,0,COLUMN())+INDEX(MO_VA_EVCalc_Prefs,0,COLUMN())+INDEX(MO_VA_EVCalc_Other,0,COLUMN())</f>
        <v>0</v>
      </c>
      <c r="AO10" s="813">
        <f t="shared" si="17"/>
        <v>0</v>
      </c>
      <c r="AP10" s="813">
        <f t="shared" si="17"/>
        <v>0</v>
      </c>
      <c r="AQ10" s="813">
        <f t="shared" si="17"/>
        <v>0</v>
      </c>
      <c r="AR10" s="813">
        <f t="shared" si="17"/>
        <v>0</v>
      </c>
      <c r="AS10" s="813">
        <f t="shared" si="17"/>
        <v>0</v>
      </c>
      <c r="AT10" s="813">
        <f t="shared" si="17"/>
        <v>0</v>
      </c>
      <c r="AU10" s="813">
        <f t="shared" si="17"/>
        <v>0</v>
      </c>
      <c r="AV10" s="813">
        <f t="shared" si="17"/>
        <v>0</v>
      </c>
      <c r="AW10" s="813">
        <f t="shared" si="17"/>
        <v>0</v>
      </c>
      <c r="AX10" s="965">
        <f t="shared" si="17"/>
        <v>0</v>
      </c>
      <c r="AY10" s="817">
        <f t="shared" si="17"/>
        <v>0</v>
      </c>
      <c r="AZ10" s="817">
        <f t="shared" si="17"/>
        <v>0</v>
      </c>
      <c r="BA10" s="817">
        <f t="shared" si="17"/>
        <v>0</v>
      </c>
      <c r="BB10" s="817">
        <f t="shared" si="17"/>
        <v>0</v>
      </c>
      <c r="BC10" s="817">
        <f t="shared" si="17"/>
        <v>0</v>
      </c>
      <c r="BD10" s="684"/>
    </row>
    <row r="11" spans="1:56" s="58" customFormat="1" x14ac:dyDescent="0.25">
      <c r="A11" s="250" t="str">
        <f>"Enterprise Value - "&amp;SP.ValuationToggle</f>
        <v>Enterprise Value - Avg</v>
      </c>
      <c r="B11" s="251"/>
      <c r="C11" s="819">
        <f t="shared" ref="C11:AL11" ca="1" si="18">INDEX(SP_CS_MarketCap,0,COLUMN())-INDEX(SP_CS_Cash,0,COLUMN())+INDEX(SP_CS_Debt,0,COLUMN())+INDEX(SP_CS_OL,0,COLUMN())+INDEX(SP_CS_EVCalc_Other,0,COLUMN())</f>
        <v>415.10515999999996</v>
      </c>
      <c r="D11" s="819">
        <f t="shared" ca="1" si="18"/>
        <v>448.67674999999997</v>
      </c>
      <c r="E11" s="819">
        <f t="shared" ca="1" si="18"/>
        <v>494.56986000000001</v>
      </c>
      <c r="F11" s="819">
        <f t="shared" ca="1" si="18"/>
        <v>533.45691999999997</v>
      </c>
      <c r="G11" s="819">
        <f t="shared" ca="1" si="18"/>
        <v>542.72554000000014</v>
      </c>
      <c r="H11" s="819">
        <f t="shared" ca="1" si="18"/>
        <v>513.23444999999992</v>
      </c>
      <c r="I11" s="819">
        <f t="shared" ca="1" si="18"/>
        <v>504.00010999999995</v>
      </c>
      <c r="J11" s="819">
        <f t="shared" ca="1" si="18"/>
        <v>579.19731999999999</v>
      </c>
      <c r="K11" s="819">
        <f t="shared" ca="1" si="18"/>
        <v>553.36458999999991</v>
      </c>
      <c r="L11" s="819">
        <f t="shared" ca="1" si="18"/>
        <v>630.92370999999991</v>
      </c>
      <c r="M11" s="819">
        <f t="shared" ca="1" si="18"/>
        <v>543.27755999999988</v>
      </c>
      <c r="N11" s="819">
        <f t="shared" ca="1" si="18"/>
        <v>475.40201999999999</v>
      </c>
      <c r="O11" s="819">
        <f t="shared" ca="1" si="18"/>
        <v>456.40412499999991</v>
      </c>
      <c r="P11" s="819">
        <f t="shared" ca="1" si="18"/>
        <v>444.46201000000002</v>
      </c>
      <c r="Q11" s="819">
        <f t="shared" ca="1" si="18"/>
        <v>421.15911500000004</v>
      </c>
      <c r="R11" s="819">
        <f t="shared" ca="1" si="18"/>
        <v>493.38550000000004</v>
      </c>
      <c r="S11" s="819">
        <f t="shared" ca="1" si="18"/>
        <v>485.89017500000006</v>
      </c>
      <c r="T11" s="819">
        <f t="shared" ca="1" si="18"/>
        <v>466.95627499999995</v>
      </c>
      <c r="U11" s="819">
        <f t="shared" ca="1" si="18"/>
        <v>522.02200000000005</v>
      </c>
      <c r="V11" s="819">
        <f t="shared" ca="1" si="18"/>
        <v>495.03667499999995</v>
      </c>
      <c r="W11" s="819">
        <f t="shared" ca="1" si="18"/>
        <v>443.10548442622951</v>
      </c>
      <c r="X11" s="819">
        <f t="shared" ca="1" si="18"/>
        <v>425.78911625000001</v>
      </c>
      <c r="Y11" s="819">
        <f t="shared" ca="1" si="18"/>
        <v>402.0193174603171</v>
      </c>
      <c r="Z11" s="819">
        <f t="shared" ca="1" si="18"/>
        <v>340.86563047619035</v>
      </c>
      <c r="AA11" s="819">
        <f t="shared" ca="1" si="18"/>
        <v>384.95093737704912</v>
      </c>
      <c r="AB11" s="819">
        <f t="shared" ca="1" si="18"/>
        <v>377.03933015873025</v>
      </c>
      <c r="AC11" s="819">
        <f t="shared" ca="1" si="18"/>
        <v>374.70386328124999</v>
      </c>
      <c r="AD11" s="819">
        <f t="shared" ca="1" si="18"/>
        <v>315.83686875000001</v>
      </c>
      <c r="AE11" s="819">
        <f t="shared" ca="1" si="18"/>
        <v>293.86152548387184</v>
      </c>
      <c r="AF11" s="820">
        <f t="shared" ca="1" si="18"/>
        <v>195.94708730158735</v>
      </c>
      <c r="AG11" s="819">
        <f t="shared" ca="1" si="18"/>
        <v>214.38093147109169</v>
      </c>
      <c r="AH11" s="819">
        <f t="shared" ca="1" si="18"/>
        <v>205.65693416883829</v>
      </c>
      <c r="AI11" s="819">
        <f t="shared" ca="1" si="18"/>
        <v>211.00030171110041</v>
      </c>
      <c r="AJ11" s="819">
        <f t="shared" ca="1" si="18"/>
        <v>196.37005008277305</v>
      </c>
      <c r="AK11" s="819">
        <f t="shared" ca="1" si="18"/>
        <v>199.32357431966216</v>
      </c>
      <c r="AL11" s="819">
        <f t="shared" ca="1" si="18"/>
        <v>190.88739832510572</v>
      </c>
      <c r="AM11" s="819"/>
      <c r="AN11" s="818">
        <f t="shared" ref="AN11:BC11" ca="1" si="19">INDEX(SP_CS_MarketCap,0,COLUMN())-INDEX(SP_CS_Cash,0,COLUMN())+INDEX(SP_CS_Debt,0,COLUMN())+INDEX(SP_CS_OL,0,COLUMN())+INDEX(SP_CS_EVCalc_Other,0,COLUMN())</f>
        <v>79.193593750000005</v>
      </c>
      <c r="AO11" s="818">
        <f t="shared" ca="1" si="19"/>
        <v>125.893185</v>
      </c>
      <c r="AP11" s="818">
        <f t="shared" ca="1" si="19"/>
        <v>224.5393</v>
      </c>
      <c r="AQ11" s="818">
        <f t="shared" ca="1" si="19"/>
        <v>331.74403124999992</v>
      </c>
      <c r="AR11" s="818">
        <f t="shared" ca="1" si="19"/>
        <v>471.16200999999995</v>
      </c>
      <c r="AS11" s="818">
        <f t="shared" ca="1" si="19"/>
        <v>568.05481499999996</v>
      </c>
      <c r="AT11" s="818">
        <f t="shared" ca="1" si="19"/>
        <v>544.00218000000007</v>
      </c>
      <c r="AU11" s="818">
        <f t="shared" ca="1" si="19"/>
        <v>452.74848874999998</v>
      </c>
      <c r="AV11" s="818">
        <f t="shared" ca="1" si="19"/>
        <v>493.96403124999995</v>
      </c>
      <c r="AW11" s="818">
        <f t="shared" ca="1" si="19"/>
        <v>421.83026055776975</v>
      </c>
      <c r="AX11" s="966">
        <f t="shared" ca="1" si="19"/>
        <v>335.77015436507895</v>
      </c>
      <c r="AY11" s="818">
        <f t="shared" ca="1" si="19"/>
        <v>205.47243416883828</v>
      </c>
      <c r="AZ11" s="818">
        <f t="shared" ca="1" si="19"/>
        <v>190.88739832510572</v>
      </c>
      <c r="BA11" s="818">
        <f t="shared" ca="1" si="19"/>
        <v>171.84843902335024</v>
      </c>
      <c r="BB11" s="818">
        <f t="shared" ca="1" si="19"/>
        <v>146.22392446995559</v>
      </c>
      <c r="BC11" s="818">
        <f t="shared" ca="1" si="19"/>
        <v>114.12472911741085</v>
      </c>
      <c r="BD11" s="685"/>
    </row>
    <row r="12" spans="1:56" s="58" customFormat="1" x14ac:dyDescent="0.25">
      <c r="A12" s="247"/>
      <c r="B12" s="252"/>
      <c r="C12" s="822"/>
      <c r="D12" s="822"/>
      <c r="E12" s="822"/>
      <c r="F12" s="822"/>
      <c r="G12" s="822"/>
      <c r="H12" s="822"/>
      <c r="I12" s="822"/>
      <c r="J12" s="822"/>
      <c r="K12" s="822"/>
      <c r="L12" s="822"/>
      <c r="M12" s="822"/>
      <c r="N12" s="822"/>
      <c r="O12" s="822"/>
      <c r="P12" s="822"/>
      <c r="Q12" s="822"/>
      <c r="R12" s="822"/>
      <c r="S12" s="822"/>
      <c r="T12" s="822"/>
      <c r="U12" s="822"/>
      <c r="V12" s="822"/>
      <c r="W12" s="822"/>
      <c r="X12" s="822"/>
      <c r="Y12" s="822"/>
      <c r="Z12" s="822"/>
      <c r="AA12" s="822"/>
      <c r="AB12" s="822"/>
      <c r="AC12" s="822"/>
      <c r="AD12" s="822"/>
      <c r="AE12" s="822"/>
      <c r="AF12" s="823"/>
      <c r="AG12" s="824"/>
      <c r="AH12" s="824"/>
      <c r="AI12" s="824"/>
      <c r="AJ12" s="824"/>
      <c r="AK12" s="824"/>
      <c r="AL12" s="824"/>
      <c r="AM12" s="824"/>
      <c r="AN12" s="821"/>
      <c r="AO12" s="821"/>
      <c r="AP12" s="821"/>
      <c r="AQ12" s="821"/>
      <c r="AR12" s="821"/>
      <c r="AS12" s="821"/>
      <c r="AT12" s="821"/>
      <c r="AU12" s="821"/>
      <c r="AV12" s="821"/>
      <c r="AW12" s="821"/>
      <c r="AX12" s="967"/>
      <c r="AY12" s="825"/>
      <c r="AZ12" s="825"/>
      <c r="BA12" s="825"/>
      <c r="BB12" s="825"/>
      <c r="BC12" s="825"/>
      <c r="BD12" s="685"/>
    </row>
    <row r="13" spans="1:56" x14ac:dyDescent="0.25">
      <c r="A13" s="129" t="s">
        <v>301</v>
      </c>
      <c r="B13" s="686"/>
      <c r="C13" s="826"/>
      <c r="D13" s="826"/>
      <c r="E13" s="826"/>
      <c r="F13" s="826"/>
      <c r="G13" s="826"/>
      <c r="H13" s="826"/>
      <c r="I13" s="826"/>
      <c r="J13" s="826"/>
      <c r="K13" s="826"/>
      <c r="L13" s="826"/>
      <c r="M13" s="826"/>
      <c r="N13" s="826"/>
      <c r="O13" s="826"/>
      <c r="P13" s="826"/>
      <c r="Q13" s="826"/>
      <c r="R13" s="826"/>
      <c r="S13" s="826"/>
      <c r="T13" s="826"/>
      <c r="U13" s="826"/>
      <c r="V13" s="826"/>
      <c r="W13" s="826"/>
      <c r="X13" s="826"/>
      <c r="Y13" s="826"/>
      <c r="Z13" s="826"/>
      <c r="AA13" s="826"/>
      <c r="AB13" s="826"/>
      <c r="AC13" s="826"/>
      <c r="AD13" s="826"/>
      <c r="AE13" s="826"/>
      <c r="AF13" s="827"/>
      <c r="AG13" s="828"/>
      <c r="AH13" s="828"/>
      <c r="AI13" s="828"/>
      <c r="AJ13" s="828"/>
      <c r="AK13" s="828"/>
      <c r="AL13" s="828"/>
      <c r="AM13" s="828"/>
      <c r="AN13" s="826"/>
      <c r="AO13" s="826"/>
      <c r="AP13" s="826"/>
      <c r="AQ13" s="826"/>
      <c r="AR13" s="826"/>
      <c r="AS13" s="826"/>
      <c r="AT13" s="826"/>
      <c r="AU13" s="826"/>
      <c r="AV13" s="826"/>
      <c r="AW13" s="826"/>
      <c r="AX13" s="827"/>
      <c r="AY13" s="828"/>
      <c r="AZ13" s="828"/>
      <c r="BA13" s="828"/>
      <c r="BB13" s="828"/>
      <c r="BC13" s="828"/>
      <c r="BD13" s="684"/>
    </row>
    <row r="14" spans="1:56" s="32" customFormat="1" x14ac:dyDescent="0.25">
      <c r="A14" s="253" t="str">
        <f>Model!A7</f>
        <v>Workforce Excellence revenue growth, %</v>
      </c>
      <c r="B14" s="254"/>
      <c r="C14" s="473">
        <f>Model!C7</f>
        <v>0</v>
      </c>
      <c r="D14" s="473">
        <f>Model!D7</f>
        <v>0</v>
      </c>
      <c r="E14" s="473">
        <f>Model!E7</f>
        <v>0</v>
      </c>
      <c r="F14" s="473">
        <f>Model!F7</f>
        <v>0</v>
      </c>
      <c r="G14" s="473">
        <f>Model!G7</f>
        <v>0</v>
      </c>
      <c r="H14" s="473">
        <f>Model!H7</f>
        <v>0</v>
      </c>
      <c r="I14" s="473">
        <f>Model!I7</f>
        <v>0</v>
      </c>
      <c r="J14" s="473">
        <f>Model!J7</f>
        <v>0</v>
      </c>
      <c r="K14" s="473">
        <f>Model!K7</f>
        <v>0</v>
      </c>
      <c r="L14" s="473">
        <f>Model!L7</f>
        <v>0</v>
      </c>
      <c r="M14" s="473">
        <f>Model!M7</f>
        <v>0</v>
      </c>
      <c r="N14" s="473">
        <f>Model!N7</f>
        <v>0</v>
      </c>
      <c r="O14" s="473">
        <f>Model!O7</f>
        <v>0</v>
      </c>
      <c r="P14" s="473">
        <f>Model!P7</f>
        <v>0</v>
      </c>
      <c r="Q14" s="473">
        <f>Model!Q7</f>
        <v>0</v>
      </c>
      <c r="R14" s="473">
        <f>Model!R7</f>
        <v>0</v>
      </c>
      <c r="S14" s="473">
        <f>Model!S7</f>
        <v>0</v>
      </c>
      <c r="T14" s="473">
        <f>Model!T7</f>
        <v>0</v>
      </c>
      <c r="U14" s="473">
        <f>Model!U7</f>
        <v>0</v>
      </c>
      <c r="V14" s="473">
        <f>Model!V7</f>
        <v>0</v>
      </c>
      <c r="W14" s="473">
        <f>Model!W7</f>
        <v>4.0367331534880924E-2</v>
      </c>
      <c r="X14" s="473">
        <f>Model!X7</f>
        <v>5.555555555555558E-2</v>
      </c>
      <c r="Y14" s="473">
        <f>Model!Y7</f>
        <v>4.5363662330243359E-2</v>
      </c>
      <c r="Z14" s="473">
        <f>Model!Z7</f>
        <v>-2.4515311611006729E-2</v>
      </c>
      <c r="AA14" s="473">
        <f>Model!AA7</f>
        <v>6.7431580927301837E-2</v>
      </c>
      <c r="AB14" s="473">
        <f>Model!AB7</f>
        <v>1.0005482456140413E-2</v>
      </c>
      <c r="AC14" s="473">
        <f>Model!AC7</f>
        <v>2.451686621292648E-2</v>
      </c>
      <c r="AD14" s="473">
        <f>Model!AD7</f>
        <v>6.3533102155346688E-2</v>
      </c>
      <c r="AE14" s="473">
        <f>Model!AE7</f>
        <v>-8.7140086894621827E-2</v>
      </c>
      <c r="AF14" s="691">
        <f>Model!AF7</f>
        <v>-0.21562995363693782</v>
      </c>
      <c r="AG14" s="137">
        <f>Model!AG7</f>
        <v>0</v>
      </c>
      <c r="AH14" s="137">
        <f>Model!AH7</f>
        <v>0</v>
      </c>
      <c r="AI14" s="137">
        <f>Model!AI7</f>
        <v>7.0000000000000007E-2</v>
      </c>
      <c r="AJ14" s="137">
        <f>Model!AJ7</f>
        <v>0.12</v>
      </c>
      <c r="AK14" s="137">
        <f>Model!AK7</f>
        <v>0.01</v>
      </c>
      <c r="AL14" s="137">
        <f>Model!AL7</f>
        <v>0.01</v>
      </c>
      <c r="AM14" s="137"/>
      <c r="AN14" s="434">
        <f>Model!AN7</f>
        <v>0</v>
      </c>
      <c r="AO14" s="434">
        <f>Model!AO7</f>
        <v>0</v>
      </c>
      <c r="AP14" s="434">
        <f>Model!AP7</f>
        <v>0</v>
      </c>
      <c r="AQ14" s="434">
        <f>Model!AQ7</f>
        <v>0</v>
      </c>
      <c r="AR14" s="434">
        <f>Model!AR7</f>
        <v>0</v>
      </c>
      <c r="AS14" s="434">
        <f>Model!AS7</f>
        <v>0</v>
      </c>
      <c r="AT14" s="434">
        <f>Model!AT7</f>
        <v>0</v>
      </c>
      <c r="AU14" s="434">
        <f>Model!AU7</f>
        <v>0</v>
      </c>
      <c r="AV14" s="434">
        <f>Model!AV7</f>
        <v>0</v>
      </c>
      <c r="AW14" s="434">
        <f>Model!AW7</f>
        <v>2.7752636581575896E-2</v>
      </c>
      <c r="AX14" s="957">
        <f>Model!AX7</f>
        <v>4.097356808726893E-2</v>
      </c>
      <c r="AY14" s="136">
        <f>Model!AY7</f>
        <v>0</v>
      </c>
      <c r="AZ14" s="136">
        <f>Model!AZ7</f>
        <v>4.8343092313287706E-2</v>
      </c>
      <c r="BA14" s="136">
        <f>Model!BA7</f>
        <v>0.1</v>
      </c>
      <c r="BB14" s="136">
        <f>Model!BB7</f>
        <v>0.1</v>
      </c>
      <c r="BC14" s="136">
        <f>Model!BC7</f>
        <v>0.05</v>
      </c>
      <c r="BD14" s="127"/>
    </row>
    <row r="15" spans="1:56" s="32" customFormat="1" x14ac:dyDescent="0.25">
      <c r="A15" s="253" t="str">
        <f>Model!A8</f>
        <v>Business Transformation Services revenue growth, %</v>
      </c>
      <c r="B15" s="254"/>
      <c r="C15" s="473">
        <f>Model!C8</f>
        <v>0</v>
      </c>
      <c r="D15" s="473">
        <f>Model!D8</f>
        <v>0</v>
      </c>
      <c r="E15" s="473">
        <f>Model!E8</f>
        <v>0</v>
      </c>
      <c r="F15" s="473">
        <f>Model!F8</f>
        <v>0</v>
      </c>
      <c r="G15" s="473">
        <f>Model!G8</f>
        <v>0</v>
      </c>
      <c r="H15" s="473">
        <f>Model!H8</f>
        <v>0</v>
      </c>
      <c r="I15" s="473">
        <f>Model!I8</f>
        <v>0</v>
      </c>
      <c r="J15" s="473">
        <f>Model!J8</f>
        <v>0</v>
      </c>
      <c r="K15" s="473">
        <f>Model!K8</f>
        <v>0</v>
      </c>
      <c r="L15" s="473">
        <f>Model!L8</f>
        <v>0</v>
      </c>
      <c r="M15" s="473">
        <f>Model!M8</f>
        <v>0</v>
      </c>
      <c r="N15" s="473">
        <f>Model!N8</f>
        <v>0</v>
      </c>
      <c r="O15" s="473">
        <f>Model!O8</f>
        <v>0</v>
      </c>
      <c r="P15" s="473">
        <f>Model!P8</f>
        <v>0</v>
      </c>
      <c r="Q15" s="473">
        <f>Model!Q8</f>
        <v>0</v>
      </c>
      <c r="R15" s="473">
        <f>Model!R8</f>
        <v>0</v>
      </c>
      <c r="S15" s="473">
        <f>Model!S8</f>
        <v>0</v>
      </c>
      <c r="T15" s="473">
        <f>Model!T8</f>
        <v>0</v>
      </c>
      <c r="U15" s="473">
        <f>Model!U8</f>
        <v>0</v>
      </c>
      <c r="V15" s="473">
        <f>Model!V8</f>
        <v>0</v>
      </c>
      <c r="W15" s="473">
        <f>Model!W8</f>
        <v>-5.9523809523810423E-3</v>
      </c>
      <c r="X15" s="473">
        <f>Model!X8</f>
        <v>-3.072792903916266E-2</v>
      </c>
      <c r="Y15" s="473">
        <f>Model!Y8</f>
        <v>-8.5501858736059644E-2</v>
      </c>
      <c r="Z15" s="473">
        <f>Model!Z8</f>
        <v>7.1465897451975957E-2</v>
      </c>
      <c r="AA15" s="473">
        <f>Model!AA8</f>
        <v>0.18620185371830611</v>
      </c>
      <c r="AB15" s="473">
        <f>Model!AB8</f>
        <v>0.27919902685505749</v>
      </c>
      <c r="AC15" s="473">
        <f>Model!AC8</f>
        <v>0.31277584204413489</v>
      </c>
      <c r="AD15" s="473">
        <f>Model!AD8</f>
        <v>0.33833398361295397</v>
      </c>
      <c r="AE15" s="473">
        <f>Model!AE8</f>
        <v>-7.0557806707474802E-2</v>
      </c>
      <c r="AF15" s="691">
        <f>Model!AF8</f>
        <v>-0.38432300412150822</v>
      </c>
      <c r="AG15" s="137">
        <f>Model!AG8</f>
        <v>0</v>
      </c>
      <c r="AH15" s="137">
        <f>Model!AH8</f>
        <v>0</v>
      </c>
      <c r="AI15" s="137">
        <f>Model!AI8</f>
        <v>7.0000000000000007E-2</v>
      </c>
      <c r="AJ15" s="137">
        <f>Model!AJ8</f>
        <v>0.33</v>
      </c>
      <c r="AK15" s="137">
        <f>Model!AK8</f>
        <v>0.03</v>
      </c>
      <c r="AL15" s="137">
        <f>Model!AL8</f>
        <v>0.03</v>
      </c>
      <c r="AM15" s="137"/>
      <c r="AN15" s="434">
        <f>Model!AN8</f>
        <v>0</v>
      </c>
      <c r="AO15" s="434">
        <f>Model!AO8</f>
        <v>0</v>
      </c>
      <c r="AP15" s="434">
        <f>Model!AP8</f>
        <v>0</v>
      </c>
      <c r="AQ15" s="434">
        <f>Model!AQ8</f>
        <v>0</v>
      </c>
      <c r="AR15" s="434">
        <f>Model!AR8</f>
        <v>0</v>
      </c>
      <c r="AS15" s="434">
        <f>Model!AS8</f>
        <v>0</v>
      </c>
      <c r="AT15" s="434">
        <f>Model!AT8</f>
        <v>0</v>
      </c>
      <c r="AU15" s="434">
        <f>Model!AU8</f>
        <v>0</v>
      </c>
      <c r="AV15" s="434">
        <f>Model!AV8</f>
        <v>0</v>
      </c>
      <c r="AW15" s="434">
        <f>Model!AW8</f>
        <v>-1.2953535474175104E-2</v>
      </c>
      <c r="AX15" s="957">
        <f>Model!AX8</f>
        <v>0.2780444274147198</v>
      </c>
      <c r="AY15" s="136">
        <f>Model!AY8</f>
        <v>0</v>
      </c>
      <c r="AZ15" s="136">
        <f>Model!AZ8</f>
        <v>9.9124789076591835E-2</v>
      </c>
      <c r="BA15" s="136">
        <f>Model!BA8</f>
        <v>0.1</v>
      </c>
      <c r="BB15" s="136">
        <f>Model!BB8</f>
        <v>0.1</v>
      </c>
      <c r="BC15" s="136">
        <f>Model!BC8</f>
        <v>0.05</v>
      </c>
      <c r="BD15" s="127"/>
    </row>
    <row r="16" spans="1:56" s="31" customFormat="1" x14ac:dyDescent="0.25">
      <c r="A16" s="255" t="str">
        <f>Model!A13</f>
        <v>Total Revenue Growth, %</v>
      </c>
      <c r="B16" s="124"/>
      <c r="C16" s="36">
        <f>Model!C13</f>
        <v>0</v>
      </c>
      <c r="D16" s="36">
        <f>Model!D13</f>
        <v>0</v>
      </c>
      <c r="E16" s="36">
        <f>Model!E13</f>
        <v>0</v>
      </c>
      <c r="F16" s="36">
        <f>Model!F13</f>
        <v>0</v>
      </c>
      <c r="G16" s="36">
        <f>Model!G13</f>
        <v>0.16283428526333421</v>
      </c>
      <c r="H16" s="36">
        <f>Model!H13</f>
        <v>0.28617050686851164</v>
      </c>
      <c r="I16" s="36">
        <f>Model!I13</f>
        <v>9.4278116911225451E-2</v>
      </c>
      <c r="J16" s="36">
        <f>Model!J13</f>
        <v>6.8077119945401776E-2</v>
      </c>
      <c r="K16" s="36">
        <f>Model!K13</f>
        <v>-2.2285374957583981E-2</v>
      </c>
      <c r="L16" s="36">
        <f>Model!L13</f>
        <v>-6.8582398197423622E-2</v>
      </c>
      <c r="M16" s="36">
        <f>Model!M13</f>
        <v>-7.5725161259072582E-3</v>
      </c>
      <c r="N16" s="36">
        <f>Model!N13</f>
        <v>9.8322683706066893E-3</v>
      </c>
      <c r="O16" s="36">
        <f>Model!O13</f>
        <v>4.3643115580505043E-3</v>
      </c>
      <c r="P16" s="36">
        <f>Model!P13</f>
        <v>-9.7879282218604757E-4</v>
      </c>
      <c r="Q16" s="36">
        <f>Model!Q13</f>
        <v>-7.7523163400606832E-3</v>
      </c>
      <c r="R16" s="36">
        <f>Model!R13</f>
        <v>6.7388536039423297E-3</v>
      </c>
      <c r="S16" s="36">
        <f>Model!S13</f>
        <v>5.7802619302671054E-2</v>
      </c>
      <c r="T16" s="36">
        <f>Model!T13</f>
        <v>4.4757929617179837E-2</v>
      </c>
      <c r="U16" s="36">
        <f>Model!U13</f>
        <v>1.7371985112069499E-2</v>
      </c>
      <c r="V16" s="36">
        <f>Model!V13</f>
        <v>3.3154466818035688E-2</v>
      </c>
      <c r="W16" s="36">
        <f>Model!W13</f>
        <v>2.1111174630656482E-2</v>
      </c>
      <c r="X16" s="36">
        <f>Model!X13</f>
        <v>1.9289270438621164E-2</v>
      </c>
      <c r="Y16" s="36">
        <f>Model!Y13</f>
        <v>-4.2789108519947217E-3</v>
      </c>
      <c r="Z16" s="36">
        <f>Model!Z13</f>
        <v>1.0402804498756302E-2</v>
      </c>
      <c r="AA16" s="36">
        <f>Model!AA13</f>
        <v>0.11549843240130531</v>
      </c>
      <c r="AB16" s="36">
        <f>Model!AB13</f>
        <v>0.11759953923599942</v>
      </c>
      <c r="AC16" s="36">
        <f>Model!AC13</f>
        <v>0.12494537332275857</v>
      </c>
      <c r="AD16" s="36">
        <f>Model!AD13</f>
        <v>0.1695479073688011</v>
      </c>
      <c r="AE16" s="36">
        <f>Model!AE13</f>
        <v>-8.0244921956221016E-2</v>
      </c>
      <c r="AF16" s="649">
        <f>Model!AF13</f>
        <v>-0.28959327501623022</v>
      </c>
      <c r="AG16" s="36">
        <f>Model!AG13</f>
        <v>-6.4781842379770471E-2</v>
      </c>
      <c r="AH16" s="36">
        <f>Model!AH13</f>
        <v>-5.4047966846633155E-2</v>
      </c>
      <c r="AI16" s="36">
        <f>Model!AI13</f>
        <v>7.0000000000000062E-2</v>
      </c>
      <c r="AJ16" s="36">
        <f>Model!AJ13</f>
        <v>0.19979659707567077</v>
      </c>
      <c r="AK16" s="36">
        <f>Model!AK13</f>
        <v>1.7692307692307674E-2</v>
      </c>
      <c r="AL16" s="36">
        <f>Model!AL13</f>
        <v>1.8435374149659678E-2</v>
      </c>
      <c r="AM16" s="36"/>
      <c r="AN16" s="37">
        <f>Model!AN13</f>
        <v>0</v>
      </c>
      <c r="AO16" s="37">
        <f>Model!AO13</f>
        <v>0.18557744937055265</v>
      </c>
      <c r="AP16" s="37">
        <f>Model!AP13</f>
        <v>0.28177635173087712</v>
      </c>
      <c r="AQ16" s="37">
        <f>Model!AQ13</f>
        <v>0.20531745340925123</v>
      </c>
      <c r="AR16" s="37">
        <f>Model!AR13</f>
        <v>8.7448826113374567E-2</v>
      </c>
      <c r="AS16" s="37">
        <f>Model!AS13</f>
        <v>0.14925496176913078</v>
      </c>
      <c r="AT16" s="37">
        <f>Model!AT13</f>
        <v>-2.3087790191425261E-2</v>
      </c>
      <c r="AU16" s="37">
        <f>Model!AU13</f>
        <v>5.6906257648692282E-4</v>
      </c>
      <c r="AV16" s="37">
        <f>Model!AV13</f>
        <v>3.801581461149417E-2</v>
      </c>
      <c r="AW16" s="37">
        <f>Model!AW13</f>
        <v>1.1688740161191369E-2</v>
      </c>
      <c r="AX16" s="930">
        <f>Model!AX13</f>
        <v>0.13225017470300493</v>
      </c>
      <c r="AY16" s="37">
        <f>Model!AY13</f>
        <v>-0.12320629532479543</v>
      </c>
      <c r="AZ16" s="37">
        <f>Model!AZ13</f>
        <v>6.8821195678740787E-2</v>
      </c>
      <c r="BA16" s="37">
        <f>Model!BA13</f>
        <v>0.10000000000000009</v>
      </c>
      <c r="BB16" s="37">
        <f>Model!BB13</f>
        <v>0.10000000000000009</v>
      </c>
      <c r="BC16" s="37">
        <f>Model!BC13</f>
        <v>5.0000000000000044E-2</v>
      </c>
      <c r="BD16" s="308"/>
    </row>
    <row r="17" spans="1:56" s="59" customFormat="1" x14ac:dyDescent="0.25">
      <c r="A17" s="256"/>
      <c r="B17" s="257"/>
      <c r="C17" s="475"/>
      <c r="D17" s="475"/>
      <c r="E17" s="475"/>
      <c r="F17" s="475"/>
      <c r="G17" s="475"/>
      <c r="H17" s="475"/>
      <c r="I17" s="475"/>
      <c r="J17" s="475"/>
      <c r="K17" s="475"/>
      <c r="L17" s="475"/>
      <c r="M17" s="475"/>
      <c r="N17" s="475"/>
      <c r="O17" s="475"/>
      <c r="P17" s="475"/>
      <c r="Q17" s="475"/>
      <c r="R17" s="475"/>
      <c r="S17" s="475"/>
      <c r="T17" s="475"/>
      <c r="U17" s="475"/>
      <c r="V17" s="475"/>
      <c r="W17" s="475"/>
      <c r="X17" s="475"/>
      <c r="Y17" s="475"/>
      <c r="Z17" s="475"/>
      <c r="AA17" s="475"/>
      <c r="AB17" s="475"/>
      <c r="AC17" s="475"/>
      <c r="AD17" s="475"/>
      <c r="AE17" s="475"/>
      <c r="AF17" s="692"/>
      <c r="AG17" s="139"/>
      <c r="AH17" s="139"/>
      <c r="AI17" s="139"/>
      <c r="AJ17" s="139"/>
      <c r="AK17" s="139"/>
      <c r="AL17" s="139"/>
      <c r="AM17" s="139"/>
      <c r="AN17" s="474"/>
      <c r="AO17" s="474"/>
      <c r="AP17" s="474"/>
      <c r="AQ17" s="474"/>
      <c r="AR17" s="474"/>
      <c r="AS17" s="474"/>
      <c r="AT17" s="474"/>
      <c r="AU17" s="474"/>
      <c r="AV17" s="474"/>
      <c r="AW17" s="474"/>
      <c r="AX17" s="968"/>
      <c r="AY17" s="138"/>
      <c r="AZ17" s="138"/>
      <c r="BA17" s="138"/>
      <c r="BB17" s="138"/>
      <c r="BC17" s="138"/>
      <c r="BD17" s="139"/>
    </row>
    <row r="18" spans="1:56" s="56" customFormat="1" x14ac:dyDescent="0.25">
      <c r="A18" s="258" t="str">
        <f>Model!A27</f>
        <v>Workforce Excellence revenue, mm</v>
      </c>
      <c r="B18" s="249"/>
      <c r="C18" s="814">
        <f>Model!C27</f>
        <v>0</v>
      </c>
      <c r="D18" s="814">
        <f>Model!D27</f>
        <v>0</v>
      </c>
      <c r="E18" s="814">
        <f>Model!E27</f>
        <v>0</v>
      </c>
      <c r="F18" s="814">
        <f>Model!F27</f>
        <v>0</v>
      </c>
      <c r="G18" s="814">
        <f>Model!G27</f>
        <v>0</v>
      </c>
      <c r="H18" s="814">
        <f>Model!H27</f>
        <v>0</v>
      </c>
      <c r="I18" s="814">
        <f>Model!I27</f>
        <v>0</v>
      </c>
      <c r="J18" s="814">
        <f>Model!J27</f>
        <v>0</v>
      </c>
      <c r="K18" s="814">
        <f>Model!K27</f>
        <v>0</v>
      </c>
      <c r="L18" s="814">
        <f>Model!L27</f>
        <v>0</v>
      </c>
      <c r="M18" s="814">
        <f>Model!M27</f>
        <v>0</v>
      </c>
      <c r="N18" s="814">
        <f>Model!N27</f>
        <v>0</v>
      </c>
      <c r="O18" s="814">
        <f>Model!O27</f>
        <v>0</v>
      </c>
      <c r="P18" s="814">
        <f>Model!P27</f>
        <v>0</v>
      </c>
      <c r="Q18" s="814">
        <f>Model!Q27</f>
        <v>0</v>
      </c>
      <c r="R18" s="814">
        <f>Model!R27</f>
        <v>0</v>
      </c>
      <c r="S18" s="814">
        <f>Model!S27</f>
        <v>71.543000000000006</v>
      </c>
      <c r="T18" s="814">
        <f>Model!T27</f>
        <v>76.031999999999996</v>
      </c>
      <c r="U18" s="814">
        <f>Model!U27</f>
        <v>77.022000000000006</v>
      </c>
      <c r="V18" s="814">
        <f>Model!V27</f>
        <v>83.662000000000035</v>
      </c>
      <c r="W18" s="814">
        <f>Model!W27</f>
        <v>74.430999999999997</v>
      </c>
      <c r="X18" s="814">
        <f>Model!X27</f>
        <v>80.256</v>
      </c>
      <c r="Y18" s="814">
        <f>Model!Y27</f>
        <v>80.516000000000005</v>
      </c>
      <c r="Z18" s="814">
        <f>Model!Z27</f>
        <v>81.61099999999999</v>
      </c>
      <c r="AA18" s="814">
        <f>Model!AA27</f>
        <v>79.45</v>
      </c>
      <c r="AB18" s="814">
        <f>Model!AB27</f>
        <v>81.058999999999997</v>
      </c>
      <c r="AC18" s="814">
        <f>Model!AC27</f>
        <v>82.49</v>
      </c>
      <c r="AD18" s="814">
        <f>Model!AD27</f>
        <v>86.795999999999992</v>
      </c>
      <c r="AE18" s="814">
        <f>Model!AE27</f>
        <v>74.378</v>
      </c>
      <c r="AF18" s="815">
        <f>Model!AF27</f>
        <v>65.811000000000007</v>
      </c>
      <c r="AG18" s="816">
        <f>Model!AG27</f>
        <v>80</v>
      </c>
      <c r="AH18" s="816">
        <f>Model!AH27</f>
        <v>85</v>
      </c>
      <c r="AI18" s="816">
        <f>Model!AI27</f>
        <v>79.584460000000007</v>
      </c>
      <c r="AJ18" s="816">
        <f>Model!AJ27</f>
        <v>73.708320000000015</v>
      </c>
      <c r="AK18" s="816">
        <f>Model!AK27</f>
        <v>80.8</v>
      </c>
      <c r="AL18" s="816">
        <f>Model!AL27</f>
        <v>85.85</v>
      </c>
      <c r="AM18" s="816"/>
      <c r="AN18" s="813">
        <f>Model!AN27</f>
        <v>0</v>
      </c>
      <c r="AO18" s="813">
        <f>Model!AO27</f>
        <v>0</v>
      </c>
      <c r="AP18" s="813">
        <f>Model!AP27</f>
        <v>0</v>
      </c>
      <c r="AQ18" s="813">
        <f>Model!AQ27</f>
        <v>0</v>
      </c>
      <c r="AR18" s="813">
        <f>Model!AR27</f>
        <v>0</v>
      </c>
      <c r="AS18" s="813">
        <f>Model!AS27</f>
        <v>0</v>
      </c>
      <c r="AT18" s="813">
        <f>Model!AT27</f>
        <v>0</v>
      </c>
      <c r="AU18" s="813">
        <f>Model!AU27</f>
        <v>0</v>
      </c>
      <c r="AV18" s="813">
        <f>Model!AV27</f>
        <v>308.25900000000001</v>
      </c>
      <c r="AW18" s="813">
        <f>Model!AW27</f>
        <v>316.81400000000002</v>
      </c>
      <c r="AX18" s="965">
        <f>Model!AX27</f>
        <v>329.79500000000002</v>
      </c>
      <c r="AY18" s="817">
        <f>Model!AY27</f>
        <v>305.18900000000002</v>
      </c>
      <c r="AZ18" s="817">
        <f>Model!AZ27</f>
        <v>319.94277999999997</v>
      </c>
      <c r="BA18" s="817">
        <f>Model!BA27</f>
        <v>351.93705799999998</v>
      </c>
      <c r="BB18" s="817">
        <f>Model!BB27</f>
        <v>387.13076380000001</v>
      </c>
      <c r="BC18" s="817">
        <f>Model!BC27</f>
        <v>406.48730199000005</v>
      </c>
      <c r="BD18" s="684"/>
    </row>
    <row r="19" spans="1:56" s="56" customFormat="1" x14ac:dyDescent="0.25">
      <c r="A19" s="258" t="str">
        <f>Model!A28</f>
        <v>Business Transformation Services revenue, mm</v>
      </c>
      <c r="B19" s="249"/>
      <c r="C19" s="814">
        <f>Model!C28</f>
        <v>0</v>
      </c>
      <c r="D19" s="814">
        <f>Model!D28</f>
        <v>0</v>
      </c>
      <c r="E19" s="814">
        <f>Model!E28</f>
        <v>0</v>
      </c>
      <c r="F19" s="814">
        <f>Model!F28</f>
        <v>0</v>
      </c>
      <c r="G19" s="814">
        <f>Model!G28</f>
        <v>0</v>
      </c>
      <c r="H19" s="814">
        <f>Model!H28</f>
        <v>0</v>
      </c>
      <c r="I19" s="814">
        <f>Model!I28</f>
        <v>0</v>
      </c>
      <c r="J19" s="814">
        <f>Model!J28</f>
        <v>0</v>
      </c>
      <c r="K19" s="814">
        <f>Model!K28</f>
        <v>0</v>
      </c>
      <c r="L19" s="814">
        <f>Model!L28</f>
        <v>0</v>
      </c>
      <c r="M19" s="814">
        <f>Model!M28</f>
        <v>0</v>
      </c>
      <c r="N19" s="814">
        <f>Model!N28</f>
        <v>0</v>
      </c>
      <c r="O19" s="814">
        <f>Model!O28</f>
        <v>0</v>
      </c>
      <c r="P19" s="814">
        <f>Model!P28</f>
        <v>0</v>
      </c>
      <c r="Q19" s="814">
        <f>Model!Q28</f>
        <v>0</v>
      </c>
      <c r="R19" s="814">
        <f>Model!R28</f>
        <v>0</v>
      </c>
      <c r="S19" s="814">
        <f>Model!S28</f>
        <v>50.904000000000003</v>
      </c>
      <c r="T19" s="814">
        <f>Model!T28</f>
        <v>55.128999999999998</v>
      </c>
      <c r="U19" s="814">
        <f>Model!U28</f>
        <v>47.075000000000003</v>
      </c>
      <c r="V19" s="814">
        <f>Model!V28</f>
        <v>47.841000000000008</v>
      </c>
      <c r="W19" s="814">
        <f>Model!W28</f>
        <v>50.600999999999999</v>
      </c>
      <c r="X19" s="814">
        <f>Model!X28</f>
        <v>53.435000000000002</v>
      </c>
      <c r="Y19" s="814">
        <f>Model!Y28</f>
        <v>43.05</v>
      </c>
      <c r="Z19" s="814">
        <f>Model!Z28</f>
        <v>51.259999999999991</v>
      </c>
      <c r="AA19" s="814">
        <f>Model!AA28</f>
        <v>60.023000000000003</v>
      </c>
      <c r="AB19" s="814">
        <f>Model!AB28</f>
        <v>68.353999999999999</v>
      </c>
      <c r="AC19" s="814">
        <f>Model!AC28</f>
        <v>56.515000000000001</v>
      </c>
      <c r="AD19" s="814">
        <f>Model!AD28</f>
        <v>68.603000000000009</v>
      </c>
      <c r="AE19" s="814">
        <f>Model!AE28</f>
        <v>53.902999999999999</v>
      </c>
      <c r="AF19" s="815">
        <f>Model!AF28</f>
        <v>40.332999999999998</v>
      </c>
      <c r="AG19" s="816">
        <f>Model!AG28</f>
        <v>50</v>
      </c>
      <c r="AH19" s="816">
        <f>Model!AH28</f>
        <v>62</v>
      </c>
      <c r="AI19" s="816">
        <f>Model!AI28</f>
        <v>57.676210000000005</v>
      </c>
      <c r="AJ19" s="816">
        <f>Model!AJ28</f>
        <v>53.642890000000001</v>
      </c>
      <c r="AK19" s="816">
        <f>Model!AK28</f>
        <v>51.5</v>
      </c>
      <c r="AL19" s="816">
        <f>Model!AL28</f>
        <v>63.86</v>
      </c>
      <c r="AM19" s="816"/>
      <c r="AN19" s="813">
        <f>Model!AN28</f>
        <v>0</v>
      </c>
      <c r="AO19" s="813">
        <f>Model!AO28</f>
        <v>0</v>
      </c>
      <c r="AP19" s="813">
        <f>Model!AP28</f>
        <v>0</v>
      </c>
      <c r="AQ19" s="813">
        <f>Model!AQ28</f>
        <v>0</v>
      </c>
      <c r="AR19" s="813">
        <f>Model!AR28</f>
        <v>0</v>
      </c>
      <c r="AS19" s="813">
        <f>Model!AS28</f>
        <v>0</v>
      </c>
      <c r="AT19" s="813">
        <f>Model!AT28</f>
        <v>0</v>
      </c>
      <c r="AU19" s="813">
        <f>Model!AU28</f>
        <v>0</v>
      </c>
      <c r="AV19" s="813">
        <f>Model!AV28</f>
        <v>200.94900000000001</v>
      </c>
      <c r="AW19" s="813">
        <f>Model!AW28</f>
        <v>198.346</v>
      </c>
      <c r="AX19" s="965">
        <f>Model!AX28</f>
        <v>253.495</v>
      </c>
      <c r="AY19" s="817">
        <f>Model!AY28</f>
        <v>206.23599999999999</v>
      </c>
      <c r="AZ19" s="817">
        <f>Model!AZ28</f>
        <v>226.67910000000001</v>
      </c>
      <c r="BA19" s="817">
        <f>Model!BA28</f>
        <v>249.34701000000004</v>
      </c>
      <c r="BB19" s="817">
        <f>Model!BB28</f>
        <v>274.28171100000009</v>
      </c>
      <c r="BC19" s="817">
        <f>Model!BC28</f>
        <v>287.99579655000008</v>
      </c>
      <c r="BD19" s="684"/>
    </row>
    <row r="20" spans="1:56" s="39" customFormat="1" x14ac:dyDescent="0.25">
      <c r="A20" s="259" t="str">
        <f>Model!A47</f>
        <v>Total Revenue, mm</v>
      </c>
      <c r="B20" s="260"/>
      <c r="C20" s="747">
        <f>Model!C160</f>
        <v>101.373</v>
      </c>
      <c r="D20" s="747">
        <f>Model!D160</f>
        <v>104.899</v>
      </c>
      <c r="E20" s="747">
        <f>Model!E160</f>
        <v>113.197</v>
      </c>
      <c r="F20" s="747">
        <f>Model!F160</f>
        <v>117.22000000000003</v>
      </c>
      <c r="G20" s="747">
        <f>Model!G160</f>
        <v>117.88</v>
      </c>
      <c r="H20" s="747">
        <f>Model!H160</f>
        <v>134.91800000000001</v>
      </c>
      <c r="I20" s="747">
        <f>Model!I160</f>
        <v>123.869</v>
      </c>
      <c r="J20" s="747">
        <f>Model!J160</f>
        <v>125.20000000000002</v>
      </c>
      <c r="K20" s="747">
        <f>Model!K160</f>
        <v>115.253</v>
      </c>
      <c r="L20" s="747">
        <f>Model!L160</f>
        <v>125.66500000000001</v>
      </c>
      <c r="M20" s="747">
        <f>Model!M160</f>
        <v>122.931</v>
      </c>
      <c r="N20" s="747">
        <f>Model!N160</f>
        <v>126.43099999999997</v>
      </c>
      <c r="O20" s="747">
        <f>Model!O160</f>
        <v>115.756</v>
      </c>
      <c r="P20" s="747">
        <f>Model!P160</f>
        <v>125.542</v>
      </c>
      <c r="Q20" s="747">
        <f>Model!Q160</f>
        <v>121.97799999999999</v>
      </c>
      <c r="R20" s="747">
        <f>Model!R160</f>
        <v>127.283</v>
      </c>
      <c r="S20" s="747">
        <f>Model!S160</f>
        <v>122.447</v>
      </c>
      <c r="T20" s="747">
        <f>Model!T160</f>
        <v>131.161</v>
      </c>
      <c r="U20" s="747">
        <f>Model!U160</f>
        <v>124.09699999999999</v>
      </c>
      <c r="V20" s="747">
        <f>Model!V160</f>
        <v>131.50300000000004</v>
      </c>
      <c r="W20" s="747">
        <f>Model!W160</f>
        <v>125.032</v>
      </c>
      <c r="X20" s="747">
        <f>Model!X160</f>
        <v>133.691</v>
      </c>
      <c r="Y20" s="747">
        <f>Model!Y160</f>
        <v>123.566</v>
      </c>
      <c r="Z20" s="747">
        <f>Model!Z160</f>
        <v>132.87099999999998</v>
      </c>
      <c r="AA20" s="747">
        <f>Model!AA160</f>
        <v>139.47300000000001</v>
      </c>
      <c r="AB20" s="747">
        <f>Model!AB160</f>
        <v>149.41300000000001</v>
      </c>
      <c r="AC20" s="747">
        <f>Model!AC160</f>
        <v>139.005</v>
      </c>
      <c r="AD20" s="747">
        <f>Model!AD160</f>
        <v>155.39899999999994</v>
      </c>
      <c r="AE20" s="747">
        <f>Model!AE160</f>
        <v>128.28100000000001</v>
      </c>
      <c r="AF20" s="772">
        <f>Model!AF160</f>
        <v>106.14400000000001</v>
      </c>
      <c r="AG20" s="747">
        <f>Model!AG160</f>
        <v>130</v>
      </c>
      <c r="AH20" s="747">
        <f>Model!AH160</f>
        <v>147</v>
      </c>
      <c r="AI20" s="747">
        <f>Model!AI160</f>
        <v>137.26067</v>
      </c>
      <c r="AJ20" s="747">
        <f>Model!AJ160</f>
        <v>127.35121000000001</v>
      </c>
      <c r="AK20" s="747">
        <f>Model!AK160</f>
        <v>132.30000000000001</v>
      </c>
      <c r="AL20" s="747">
        <f>Model!AL160</f>
        <v>149.70999999999998</v>
      </c>
      <c r="AM20" s="747"/>
      <c r="AN20" s="748">
        <f>Model!AN160</f>
        <v>219.24</v>
      </c>
      <c r="AO20" s="748">
        <f>Model!AO160</f>
        <v>259.92599999999999</v>
      </c>
      <c r="AP20" s="748">
        <f>Model!AP160</f>
        <v>333.16699999999997</v>
      </c>
      <c r="AQ20" s="748">
        <f>Model!AQ160</f>
        <v>401.572</v>
      </c>
      <c r="AR20" s="748">
        <f>Model!AR160</f>
        <v>436.68900000000002</v>
      </c>
      <c r="AS20" s="748">
        <f>Model!AS160</f>
        <v>501.86700000000002</v>
      </c>
      <c r="AT20" s="748">
        <f>Model!AT160</f>
        <v>490.28</v>
      </c>
      <c r="AU20" s="748">
        <f>Model!AU160</f>
        <v>490.55900000000003</v>
      </c>
      <c r="AV20" s="748">
        <f>Model!AV160</f>
        <v>509.20800000000003</v>
      </c>
      <c r="AW20" s="748">
        <f>Model!AW160</f>
        <v>515.16</v>
      </c>
      <c r="AX20" s="960">
        <f>Model!AX160</f>
        <v>583.29</v>
      </c>
      <c r="AY20" s="748">
        <f>Model!AY160</f>
        <v>511.42500000000001</v>
      </c>
      <c r="AZ20" s="748">
        <f>Model!AZ160</f>
        <v>546.62188000000003</v>
      </c>
      <c r="BA20" s="748">
        <f>Model!BA160</f>
        <v>601.28406800000005</v>
      </c>
      <c r="BB20" s="748">
        <f>Model!BB160</f>
        <v>661.41247480000015</v>
      </c>
      <c r="BC20" s="748">
        <f>Model!BC160</f>
        <v>694.48309854000013</v>
      </c>
      <c r="BD20" s="630"/>
    </row>
    <row r="21" spans="1:56" s="59" customFormat="1" x14ac:dyDescent="0.25">
      <c r="A21" s="256"/>
      <c r="B21" s="257"/>
      <c r="C21" s="475"/>
      <c r="D21" s="475"/>
      <c r="E21" s="475"/>
      <c r="F21" s="475"/>
      <c r="G21" s="475"/>
      <c r="H21" s="475"/>
      <c r="I21" s="475"/>
      <c r="J21" s="475"/>
      <c r="K21" s="475"/>
      <c r="L21" s="475"/>
      <c r="M21" s="475"/>
      <c r="N21" s="475"/>
      <c r="O21" s="475"/>
      <c r="P21" s="475"/>
      <c r="Q21" s="475"/>
      <c r="R21" s="475"/>
      <c r="S21" s="475"/>
      <c r="T21" s="475"/>
      <c r="U21" s="475"/>
      <c r="V21" s="475"/>
      <c r="W21" s="475"/>
      <c r="X21" s="475"/>
      <c r="Y21" s="475"/>
      <c r="Z21" s="475"/>
      <c r="AA21" s="475"/>
      <c r="AB21" s="475"/>
      <c r="AC21" s="475"/>
      <c r="AD21" s="475"/>
      <c r="AE21" s="475"/>
      <c r="AF21" s="692"/>
      <c r="AG21" s="139"/>
      <c r="AH21" s="139"/>
      <c r="AI21" s="139"/>
      <c r="AJ21" s="139"/>
      <c r="AK21" s="139"/>
      <c r="AL21" s="139"/>
      <c r="AM21" s="139"/>
      <c r="AN21" s="474"/>
      <c r="AO21" s="474"/>
      <c r="AP21" s="474"/>
      <c r="AQ21" s="474"/>
      <c r="AR21" s="474"/>
      <c r="AS21" s="474"/>
      <c r="AT21" s="474"/>
      <c r="AU21" s="474"/>
      <c r="AV21" s="474"/>
      <c r="AW21" s="474"/>
      <c r="AX21" s="968"/>
      <c r="AY21" s="138"/>
      <c r="AZ21" s="138"/>
      <c r="BA21" s="138"/>
      <c r="BB21" s="138"/>
      <c r="BC21" s="138"/>
      <c r="BD21" s="139"/>
    </row>
    <row r="22" spans="1:56" x14ac:dyDescent="0.25">
      <c r="A22" s="129" t="s">
        <v>302</v>
      </c>
      <c r="B22" s="686"/>
      <c r="C22" s="826"/>
      <c r="D22" s="826"/>
      <c r="E22" s="826"/>
      <c r="F22" s="826"/>
      <c r="G22" s="826"/>
      <c r="H22" s="826"/>
      <c r="I22" s="826"/>
      <c r="J22" s="826"/>
      <c r="K22" s="826"/>
      <c r="L22" s="826"/>
      <c r="M22" s="826"/>
      <c r="N22" s="826"/>
      <c r="O22" s="826"/>
      <c r="P22" s="826"/>
      <c r="Q22" s="826"/>
      <c r="R22" s="826"/>
      <c r="S22" s="826"/>
      <c r="T22" s="826"/>
      <c r="U22" s="826"/>
      <c r="V22" s="826"/>
      <c r="W22" s="826"/>
      <c r="X22" s="826"/>
      <c r="Y22" s="826"/>
      <c r="Z22" s="826"/>
      <c r="AA22" s="826"/>
      <c r="AB22" s="826"/>
      <c r="AC22" s="826"/>
      <c r="AD22" s="826"/>
      <c r="AE22" s="826"/>
      <c r="AF22" s="827"/>
      <c r="AG22" s="828"/>
      <c r="AH22" s="828"/>
      <c r="AI22" s="828"/>
      <c r="AJ22" s="828"/>
      <c r="AK22" s="828"/>
      <c r="AL22" s="828"/>
      <c r="AM22" s="828"/>
      <c r="AN22" s="826"/>
      <c r="AO22" s="826"/>
      <c r="AP22" s="826"/>
      <c r="AQ22" s="826"/>
      <c r="AR22" s="826"/>
      <c r="AS22" s="826"/>
      <c r="AT22" s="826"/>
      <c r="AU22" s="826"/>
      <c r="AV22" s="826"/>
      <c r="AW22" s="826"/>
      <c r="AX22" s="827"/>
      <c r="AY22" s="828"/>
      <c r="AZ22" s="828"/>
      <c r="BA22" s="828"/>
      <c r="BB22" s="828"/>
      <c r="BC22" s="828"/>
      <c r="BD22" s="685"/>
    </row>
    <row r="23" spans="1:56" s="58" customFormat="1" x14ac:dyDescent="0.25">
      <c r="A23" s="247" t="str">
        <f>INDEX(MO_RIS_REV,0,COLUMN())</f>
        <v>Net Revenue</v>
      </c>
      <c r="B23" s="252"/>
      <c r="C23" s="822">
        <f t="shared" ref="C23:AL23" si="20">INDEX(MO_RIS_REV,0,COLUMN())</f>
        <v>101.373</v>
      </c>
      <c r="D23" s="822">
        <f t="shared" si="20"/>
        <v>104.899</v>
      </c>
      <c r="E23" s="822">
        <f t="shared" si="20"/>
        <v>113.197</v>
      </c>
      <c r="F23" s="822">
        <f t="shared" si="20"/>
        <v>117.22000000000003</v>
      </c>
      <c r="G23" s="822">
        <f t="shared" si="20"/>
        <v>117.88</v>
      </c>
      <c r="H23" s="822">
        <f t="shared" si="20"/>
        <v>134.91800000000001</v>
      </c>
      <c r="I23" s="822">
        <f t="shared" si="20"/>
        <v>123.869</v>
      </c>
      <c r="J23" s="822">
        <f t="shared" si="20"/>
        <v>125.20000000000002</v>
      </c>
      <c r="K23" s="822">
        <f t="shared" si="20"/>
        <v>115.253</v>
      </c>
      <c r="L23" s="822">
        <f t="shared" si="20"/>
        <v>125.66500000000001</v>
      </c>
      <c r="M23" s="822">
        <f t="shared" si="20"/>
        <v>122.931</v>
      </c>
      <c r="N23" s="822">
        <f t="shared" si="20"/>
        <v>126.43099999999997</v>
      </c>
      <c r="O23" s="822">
        <f t="shared" si="20"/>
        <v>115.756</v>
      </c>
      <c r="P23" s="822">
        <f t="shared" si="20"/>
        <v>125.542</v>
      </c>
      <c r="Q23" s="822">
        <f t="shared" si="20"/>
        <v>121.97799999999999</v>
      </c>
      <c r="R23" s="822">
        <f t="shared" si="20"/>
        <v>127.283</v>
      </c>
      <c r="S23" s="822">
        <f t="shared" si="20"/>
        <v>122.447</v>
      </c>
      <c r="T23" s="822">
        <f t="shared" si="20"/>
        <v>131.161</v>
      </c>
      <c r="U23" s="822">
        <f t="shared" si="20"/>
        <v>124.09699999999999</v>
      </c>
      <c r="V23" s="822">
        <f t="shared" si="20"/>
        <v>131.50300000000004</v>
      </c>
      <c r="W23" s="822">
        <f t="shared" si="20"/>
        <v>125.032</v>
      </c>
      <c r="X23" s="822">
        <f t="shared" si="20"/>
        <v>133.691</v>
      </c>
      <c r="Y23" s="822">
        <f t="shared" si="20"/>
        <v>123.566</v>
      </c>
      <c r="Z23" s="822">
        <f t="shared" si="20"/>
        <v>132.87099999999998</v>
      </c>
      <c r="AA23" s="822">
        <f t="shared" si="20"/>
        <v>139.47300000000001</v>
      </c>
      <c r="AB23" s="822">
        <f t="shared" si="20"/>
        <v>149.41300000000001</v>
      </c>
      <c r="AC23" s="822">
        <f t="shared" si="20"/>
        <v>139.005</v>
      </c>
      <c r="AD23" s="822">
        <f t="shared" si="20"/>
        <v>155.39899999999994</v>
      </c>
      <c r="AE23" s="822">
        <f t="shared" si="20"/>
        <v>128.28100000000001</v>
      </c>
      <c r="AF23" s="823">
        <f t="shared" si="20"/>
        <v>106.14400000000001</v>
      </c>
      <c r="AG23" s="824">
        <f t="shared" si="20"/>
        <v>130</v>
      </c>
      <c r="AH23" s="824">
        <f t="shared" si="20"/>
        <v>147</v>
      </c>
      <c r="AI23" s="824">
        <f t="shared" si="20"/>
        <v>137.26067</v>
      </c>
      <c r="AJ23" s="824">
        <f t="shared" si="20"/>
        <v>127.35121000000001</v>
      </c>
      <c r="AK23" s="824">
        <f t="shared" si="20"/>
        <v>132.30000000000001</v>
      </c>
      <c r="AL23" s="824">
        <f t="shared" si="20"/>
        <v>149.70999999999998</v>
      </c>
      <c r="AM23" s="824"/>
      <c r="AN23" s="821">
        <f t="shared" ref="AN23:BC23" si="21">INDEX(MO_RIS_REV,0,COLUMN())</f>
        <v>219.24</v>
      </c>
      <c r="AO23" s="821">
        <f t="shared" si="21"/>
        <v>259.92599999999999</v>
      </c>
      <c r="AP23" s="821">
        <f t="shared" si="21"/>
        <v>333.16699999999997</v>
      </c>
      <c r="AQ23" s="821">
        <f t="shared" si="21"/>
        <v>401.572</v>
      </c>
      <c r="AR23" s="821">
        <f t="shared" si="21"/>
        <v>436.68900000000002</v>
      </c>
      <c r="AS23" s="821">
        <f t="shared" si="21"/>
        <v>501.86700000000002</v>
      </c>
      <c r="AT23" s="821">
        <f t="shared" si="21"/>
        <v>490.28</v>
      </c>
      <c r="AU23" s="821">
        <f t="shared" si="21"/>
        <v>490.55900000000003</v>
      </c>
      <c r="AV23" s="821">
        <f t="shared" si="21"/>
        <v>509.20800000000003</v>
      </c>
      <c r="AW23" s="821">
        <f t="shared" si="21"/>
        <v>515.16</v>
      </c>
      <c r="AX23" s="967">
        <f t="shared" si="21"/>
        <v>583.29</v>
      </c>
      <c r="AY23" s="825">
        <f t="shared" si="21"/>
        <v>511.42500000000001</v>
      </c>
      <c r="AZ23" s="825">
        <f t="shared" si="21"/>
        <v>546.62188000000003</v>
      </c>
      <c r="BA23" s="825">
        <f t="shared" si="21"/>
        <v>601.28406800000005</v>
      </c>
      <c r="BB23" s="825">
        <f t="shared" si="21"/>
        <v>661.41247480000015</v>
      </c>
      <c r="BC23" s="825">
        <f t="shared" si="21"/>
        <v>694.48309854000013</v>
      </c>
      <c r="BD23" s="685"/>
    </row>
    <row r="24" spans="1:56" s="56" customFormat="1" x14ac:dyDescent="0.25">
      <c r="A24" s="248" t="str">
        <f>INDEX(MO_RIS_COGS,0,COLUMN())</f>
        <v>COGS (adj. for D&amp;A)</v>
      </c>
      <c r="B24" s="249"/>
      <c r="C24" s="814">
        <f t="shared" ref="C24:AL24" si="22">INDEX(MO_RIS_COGS,0,COLUMN())</f>
        <v>83.233999999999995</v>
      </c>
      <c r="D24" s="814">
        <f t="shared" si="22"/>
        <v>84.512</v>
      </c>
      <c r="E24" s="814">
        <f t="shared" si="22"/>
        <v>90.830999999999989</v>
      </c>
      <c r="F24" s="814">
        <f t="shared" si="22"/>
        <v>93.229999999999961</v>
      </c>
      <c r="G24" s="814">
        <f t="shared" si="22"/>
        <v>97.117000000000004</v>
      </c>
      <c r="H24" s="814">
        <f t="shared" si="22"/>
        <v>107.60799999999999</v>
      </c>
      <c r="I24" s="814">
        <f t="shared" si="22"/>
        <v>98.825000000000003</v>
      </c>
      <c r="J24" s="814">
        <f t="shared" si="22"/>
        <v>98.983999999999924</v>
      </c>
      <c r="K24" s="814">
        <f t="shared" si="22"/>
        <v>94.05</v>
      </c>
      <c r="L24" s="814">
        <f t="shared" si="22"/>
        <v>103.605</v>
      </c>
      <c r="M24" s="814">
        <f t="shared" si="22"/>
        <v>100.6</v>
      </c>
      <c r="N24" s="814">
        <f t="shared" si="22"/>
        <v>102.16800000000002</v>
      </c>
      <c r="O24" s="814">
        <f t="shared" si="22"/>
        <v>96.063999999999993</v>
      </c>
      <c r="P24" s="814">
        <f t="shared" si="22"/>
        <v>103.488</v>
      </c>
      <c r="Q24" s="814">
        <f t="shared" si="22"/>
        <v>100.48</v>
      </c>
      <c r="R24" s="814">
        <f t="shared" si="22"/>
        <v>103.908</v>
      </c>
      <c r="S24" s="814">
        <f t="shared" si="22"/>
        <v>101.616</v>
      </c>
      <c r="T24" s="814">
        <f t="shared" si="22"/>
        <v>106.96299999999999</v>
      </c>
      <c r="U24" s="814">
        <f t="shared" si="22"/>
        <v>103.50399999999999</v>
      </c>
      <c r="V24" s="814">
        <f t="shared" si="22"/>
        <v>108.124</v>
      </c>
      <c r="W24" s="814">
        <f t="shared" si="22"/>
        <v>105.511</v>
      </c>
      <c r="X24" s="814">
        <f t="shared" si="22"/>
        <v>109.199</v>
      </c>
      <c r="Y24" s="814">
        <f t="shared" si="22"/>
        <v>102.458</v>
      </c>
      <c r="Z24" s="814">
        <f t="shared" si="22"/>
        <v>112.32799999999995</v>
      </c>
      <c r="AA24" s="814">
        <f t="shared" si="22"/>
        <v>115.854</v>
      </c>
      <c r="AB24" s="814">
        <f t="shared" si="22"/>
        <v>124.13799999999999</v>
      </c>
      <c r="AC24" s="814">
        <f t="shared" si="22"/>
        <v>115.003</v>
      </c>
      <c r="AD24" s="814">
        <f t="shared" si="22"/>
        <v>129.60000000000002</v>
      </c>
      <c r="AE24" s="814">
        <f t="shared" si="22"/>
        <v>108.49</v>
      </c>
      <c r="AF24" s="815">
        <f t="shared" si="22"/>
        <v>88.17</v>
      </c>
      <c r="AG24" s="816">
        <f t="shared" si="22"/>
        <v>107.56</v>
      </c>
      <c r="AH24" s="816">
        <f t="shared" si="22"/>
        <v>120.92000000000002</v>
      </c>
      <c r="AI24" s="816">
        <f t="shared" si="22"/>
        <v>113.15872010000001</v>
      </c>
      <c r="AJ24" s="816">
        <f t="shared" si="22"/>
        <v>104.20549335000001</v>
      </c>
      <c r="AK24" s="816">
        <f t="shared" si="22"/>
        <v>108.446</v>
      </c>
      <c r="AL24" s="816">
        <f t="shared" si="22"/>
        <v>120.66219999999998</v>
      </c>
      <c r="AM24" s="816"/>
      <c r="AN24" s="813">
        <f t="shared" ref="AN24:BC24" si="23">INDEX(MO_RIS_COGS,0,COLUMN())</f>
        <v>181.76900000000001</v>
      </c>
      <c r="AO24" s="813">
        <f t="shared" si="23"/>
        <v>213.006</v>
      </c>
      <c r="AP24" s="813">
        <f t="shared" si="23"/>
        <v>270.346</v>
      </c>
      <c r="AQ24" s="813">
        <f t="shared" si="23"/>
        <v>321.63</v>
      </c>
      <c r="AR24" s="813">
        <f t="shared" si="23"/>
        <v>351.80699999999996</v>
      </c>
      <c r="AS24" s="813">
        <f t="shared" si="23"/>
        <v>402.53399999999999</v>
      </c>
      <c r="AT24" s="813">
        <f t="shared" si="23"/>
        <v>400.423</v>
      </c>
      <c r="AU24" s="813">
        <f t="shared" si="23"/>
        <v>403.94</v>
      </c>
      <c r="AV24" s="813">
        <f t="shared" si="23"/>
        <v>420.20699999999999</v>
      </c>
      <c r="AW24" s="813">
        <f t="shared" si="23"/>
        <v>429.49599999999998</v>
      </c>
      <c r="AX24" s="965">
        <f t="shared" si="23"/>
        <v>484.59500000000003</v>
      </c>
      <c r="AY24" s="817">
        <f t="shared" si="23"/>
        <v>425.14000000000004</v>
      </c>
      <c r="AZ24" s="817">
        <f t="shared" si="23"/>
        <v>446.47241344999998</v>
      </c>
      <c r="BA24" s="817">
        <f t="shared" si="23"/>
        <v>489.12692572000003</v>
      </c>
      <c r="BB24" s="817">
        <f t="shared" si="23"/>
        <v>538.87961829200003</v>
      </c>
      <c r="BC24" s="817">
        <f t="shared" si="23"/>
        <v>566.24359920660015</v>
      </c>
      <c r="BD24" s="684"/>
    </row>
    <row r="25" spans="1:56" s="56" customFormat="1" x14ac:dyDescent="0.25">
      <c r="A25" s="248" t="str">
        <f>INDEX(MO_RIS_SGA,0,COLUMN())</f>
        <v>SG&amp;A (adj. for SBC)</v>
      </c>
      <c r="B25" s="249"/>
      <c r="C25" s="814">
        <f t="shared" ref="C25:AL25" si="24">INDEX(MO_RIS_SGA,0,COLUMN())</f>
        <v>8.136000000000001</v>
      </c>
      <c r="D25" s="814">
        <f t="shared" si="24"/>
        <v>8.9240000000000013</v>
      </c>
      <c r="E25" s="814">
        <f t="shared" si="24"/>
        <v>8.8979999999999997</v>
      </c>
      <c r="F25" s="814">
        <f t="shared" si="24"/>
        <v>9.9579999999999984</v>
      </c>
      <c r="G25" s="814">
        <f t="shared" si="24"/>
        <v>10.477</v>
      </c>
      <c r="H25" s="814">
        <f t="shared" si="24"/>
        <v>10.257999999999999</v>
      </c>
      <c r="I25" s="814">
        <f t="shared" si="24"/>
        <v>10.669</v>
      </c>
      <c r="J25" s="814">
        <f t="shared" si="24"/>
        <v>10.880999999999998</v>
      </c>
      <c r="K25" s="814">
        <f t="shared" si="24"/>
        <v>10.260999999999999</v>
      </c>
      <c r="L25" s="814">
        <f t="shared" si="24"/>
        <v>10.425000000000001</v>
      </c>
      <c r="M25" s="814">
        <f t="shared" si="24"/>
        <v>10.7</v>
      </c>
      <c r="N25" s="814">
        <f t="shared" si="24"/>
        <v>10.303000000000003</v>
      </c>
      <c r="O25" s="814">
        <f t="shared" si="24"/>
        <v>10.474</v>
      </c>
      <c r="P25" s="814">
        <f t="shared" si="24"/>
        <v>10.887</v>
      </c>
      <c r="Q25" s="814">
        <f t="shared" si="24"/>
        <v>10.428000000000001</v>
      </c>
      <c r="R25" s="814">
        <f t="shared" si="24"/>
        <v>10.793000000000003</v>
      </c>
      <c r="S25" s="814">
        <f t="shared" si="24"/>
        <v>11.536</v>
      </c>
      <c r="T25" s="814">
        <f t="shared" si="24"/>
        <v>11.504</v>
      </c>
      <c r="U25" s="814">
        <f t="shared" si="24"/>
        <v>12.869</v>
      </c>
      <c r="V25" s="814">
        <f t="shared" si="24"/>
        <v>15.196000000000002</v>
      </c>
      <c r="W25" s="814">
        <f t="shared" si="24"/>
        <v>13.174999999999999</v>
      </c>
      <c r="X25" s="814">
        <f t="shared" si="24"/>
        <v>14.102</v>
      </c>
      <c r="Y25" s="814">
        <f t="shared" si="24"/>
        <v>12.557</v>
      </c>
      <c r="Z25" s="814">
        <f t="shared" si="24"/>
        <v>15.502000000000001</v>
      </c>
      <c r="AA25" s="814">
        <f t="shared" si="24"/>
        <v>17.027000000000001</v>
      </c>
      <c r="AB25" s="814">
        <f t="shared" si="24"/>
        <v>15.978</v>
      </c>
      <c r="AC25" s="814">
        <f t="shared" si="24"/>
        <v>15.55</v>
      </c>
      <c r="AD25" s="814">
        <f t="shared" si="24"/>
        <v>18.217000000000006</v>
      </c>
      <c r="AE25" s="814">
        <f t="shared" si="24"/>
        <v>17.866999999999997</v>
      </c>
      <c r="AF25" s="815">
        <f t="shared" si="24"/>
        <v>14.500999999999999</v>
      </c>
      <c r="AG25" s="816">
        <f t="shared" si="24"/>
        <v>16.510000000000002</v>
      </c>
      <c r="AH25" s="816">
        <f t="shared" si="24"/>
        <v>18.375</v>
      </c>
      <c r="AI25" s="816">
        <f t="shared" si="24"/>
        <v>18.118408440000003</v>
      </c>
      <c r="AJ25" s="816">
        <f t="shared" si="24"/>
        <v>16.5556573</v>
      </c>
      <c r="AK25" s="816">
        <f t="shared" si="24"/>
        <v>16.802100000000003</v>
      </c>
      <c r="AL25" s="816">
        <f t="shared" si="24"/>
        <v>18.713749999999997</v>
      </c>
      <c r="AM25" s="816"/>
      <c r="AN25" s="813">
        <f t="shared" ref="AN25:BC25" si="25">INDEX(MO_RIS_SGA,0,COLUMN())</f>
        <v>19.161999999999999</v>
      </c>
      <c r="AO25" s="813">
        <f t="shared" si="25"/>
        <v>21.454000000000001</v>
      </c>
      <c r="AP25" s="813">
        <f t="shared" si="25"/>
        <v>27.148999999999997</v>
      </c>
      <c r="AQ25" s="813">
        <f t="shared" si="25"/>
        <v>31.884999999999998</v>
      </c>
      <c r="AR25" s="813">
        <f t="shared" si="25"/>
        <v>35.915999999999997</v>
      </c>
      <c r="AS25" s="813">
        <f t="shared" si="25"/>
        <v>42.284999999999997</v>
      </c>
      <c r="AT25" s="813">
        <f t="shared" si="25"/>
        <v>41.689</v>
      </c>
      <c r="AU25" s="813">
        <f t="shared" si="25"/>
        <v>42.582000000000001</v>
      </c>
      <c r="AV25" s="813">
        <f t="shared" si="25"/>
        <v>51.104999999999997</v>
      </c>
      <c r="AW25" s="813">
        <f t="shared" si="25"/>
        <v>55.335999999999999</v>
      </c>
      <c r="AX25" s="965">
        <f t="shared" si="25"/>
        <v>66.772000000000006</v>
      </c>
      <c r="AY25" s="817">
        <f t="shared" si="25"/>
        <v>67.253</v>
      </c>
      <c r="AZ25" s="817">
        <f t="shared" si="25"/>
        <v>70.189915740000004</v>
      </c>
      <c r="BA25" s="817">
        <f t="shared" si="25"/>
        <v>72.154088160000001</v>
      </c>
      <c r="BB25" s="817">
        <f t="shared" si="25"/>
        <v>72.755372228000013</v>
      </c>
      <c r="BC25" s="817">
        <f t="shared" si="25"/>
        <v>76.393140839400019</v>
      </c>
      <c r="BD25" s="684"/>
    </row>
    <row r="26" spans="1:56" s="58" customFormat="1" x14ac:dyDescent="0.25">
      <c r="A26" s="250" t="str">
        <f>INDEX(MO_RIS_EBITDA,0,COLUMN())</f>
        <v>EBITDA</v>
      </c>
      <c r="B26" s="251"/>
      <c r="C26" s="819">
        <f t="shared" ref="C26:AL26" si="26">INDEX(SP_GF_Rev,0,COLUMN())-INDEX(SP_GF_COGS,0,COLUMN())-INDEX(SP_GF_SGA,0,COLUMN())</f>
        <v>10.003000000000009</v>
      </c>
      <c r="D26" s="819">
        <f t="shared" si="26"/>
        <v>11.462999999999999</v>
      </c>
      <c r="E26" s="819">
        <f t="shared" si="26"/>
        <v>13.468000000000014</v>
      </c>
      <c r="F26" s="819">
        <f t="shared" si="26"/>
        <v>14.032000000000068</v>
      </c>
      <c r="G26" s="819">
        <f t="shared" si="26"/>
        <v>10.285999999999991</v>
      </c>
      <c r="H26" s="819">
        <f t="shared" si="26"/>
        <v>17.052000000000017</v>
      </c>
      <c r="I26" s="819">
        <f t="shared" si="26"/>
        <v>14.374999999999996</v>
      </c>
      <c r="J26" s="819">
        <f t="shared" si="26"/>
        <v>15.335000000000095</v>
      </c>
      <c r="K26" s="819">
        <f t="shared" si="26"/>
        <v>10.942000000000004</v>
      </c>
      <c r="L26" s="819">
        <f t="shared" si="26"/>
        <v>11.635000000000002</v>
      </c>
      <c r="M26" s="819">
        <f t="shared" si="26"/>
        <v>11.631000000000004</v>
      </c>
      <c r="N26" s="819">
        <f t="shared" si="26"/>
        <v>13.959999999999946</v>
      </c>
      <c r="O26" s="819">
        <f t="shared" si="26"/>
        <v>9.2180000000000071</v>
      </c>
      <c r="P26" s="819">
        <f t="shared" si="26"/>
        <v>11.167000000000002</v>
      </c>
      <c r="Q26" s="819">
        <f t="shared" si="26"/>
        <v>11.06999999999999</v>
      </c>
      <c r="R26" s="819">
        <f t="shared" si="26"/>
        <v>12.581999999999997</v>
      </c>
      <c r="S26" s="819">
        <f t="shared" si="26"/>
        <v>9.2950000000000035</v>
      </c>
      <c r="T26" s="819">
        <f t="shared" si="26"/>
        <v>12.694000000000008</v>
      </c>
      <c r="U26" s="819">
        <f t="shared" si="26"/>
        <v>7.7240000000000038</v>
      </c>
      <c r="V26" s="819">
        <f t="shared" si="26"/>
        <v>8.183000000000046</v>
      </c>
      <c r="W26" s="819">
        <f t="shared" si="26"/>
        <v>6.3460000000000019</v>
      </c>
      <c r="X26" s="819">
        <f t="shared" si="26"/>
        <v>10.390000000000004</v>
      </c>
      <c r="Y26" s="819">
        <f t="shared" si="26"/>
        <v>8.5510000000000037</v>
      </c>
      <c r="Z26" s="819">
        <f t="shared" si="26"/>
        <v>5.0410000000000341</v>
      </c>
      <c r="AA26" s="819">
        <f t="shared" si="26"/>
        <v>6.592000000000013</v>
      </c>
      <c r="AB26" s="819">
        <f t="shared" si="26"/>
        <v>9.2970000000000201</v>
      </c>
      <c r="AC26" s="819">
        <f t="shared" si="26"/>
        <v>8.4519999999999946</v>
      </c>
      <c r="AD26" s="819">
        <f t="shared" si="26"/>
        <v>7.5819999999999155</v>
      </c>
      <c r="AE26" s="819">
        <f t="shared" si="26"/>
        <v>1.9240000000000137</v>
      </c>
      <c r="AF26" s="820">
        <f t="shared" si="26"/>
        <v>3.4730000000000043</v>
      </c>
      <c r="AG26" s="819">
        <f t="shared" si="26"/>
        <v>5.9299999999999962</v>
      </c>
      <c r="AH26" s="819">
        <f t="shared" si="26"/>
        <v>7.7049999999999841</v>
      </c>
      <c r="AI26" s="819">
        <f t="shared" si="26"/>
        <v>5.9835414599999908</v>
      </c>
      <c r="AJ26" s="819">
        <f t="shared" si="26"/>
        <v>6.5900593499999971</v>
      </c>
      <c r="AK26" s="819">
        <f t="shared" si="26"/>
        <v>7.0519000000000105</v>
      </c>
      <c r="AL26" s="819">
        <f t="shared" si="26"/>
        <v>10.334049999999998</v>
      </c>
      <c r="AM26" s="819"/>
      <c r="AN26" s="818">
        <f t="shared" ref="AN26:BC26" si="27">INDEX(SP_GF_Rev,0,COLUMN())-INDEX(SP_GF_COGS,0,COLUMN())-INDEX(SP_GF_SGA,0,COLUMN())</f>
        <v>18.309000000000005</v>
      </c>
      <c r="AO26" s="818">
        <f t="shared" si="27"/>
        <v>25.465999999999987</v>
      </c>
      <c r="AP26" s="818">
        <f t="shared" si="27"/>
        <v>35.671999999999969</v>
      </c>
      <c r="AQ26" s="818">
        <f t="shared" si="27"/>
        <v>48.057000000000009</v>
      </c>
      <c r="AR26" s="818">
        <f t="shared" si="27"/>
        <v>48.966000000000065</v>
      </c>
      <c r="AS26" s="818">
        <f t="shared" si="27"/>
        <v>57.04800000000003</v>
      </c>
      <c r="AT26" s="818">
        <f t="shared" si="27"/>
        <v>48.167999999999971</v>
      </c>
      <c r="AU26" s="818">
        <f t="shared" si="27"/>
        <v>44.037000000000027</v>
      </c>
      <c r="AV26" s="818">
        <f t="shared" si="27"/>
        <v>37.896000000000036</v>
      </c>
      <c r="AW26" s="818">
        <f t="shared" si="27"/>
        <v>30.327999999999989</v>
      </c>
      <c r="AX26" s="966">
        <f t="shared" si="27"/>
        <v>31.922999999999931</v>
      </c>
      <c r="AY26" s="818">
        <f t="shared" si="27"/>
        <v>19.031999999999968</v>
      </c>
      <c r="AZ26" s="818">
        <f t="shared" si="27"/>
        <v>29.959550810000053</v>
      </c>
      <c r="BA26" s="818">
        <f t="shared" si="27"/>
        <v>40.003054120000016</v>
      </c>
      <c r="BB26" s="818">
        <f t="shared" si="27"/>
        <v>49.77748428000011</v>
      </c>
      <c r="BC26" s="818">
        <f t="shared" si="27"/>
        <v>51.846358493999958</v>
      </c>
      <c r="BD26" s="685"/>
    </row>
    <row r="27" spans="1:56" s="56" customFormat="1" x14ac:dyDescent="0.25">
      <c r="A27" s="248" t="str">
        <f>INDEX(MO_RIS_SBC,0,COLUMN())</f>
        <v>SBC</v>
      </c>
      <c r="B27" s="249"/>
      <c r="C27" s="814">
        <f t="shared" ref="C27:AL27" si="28">INDEX(MO_RIS_SBC,0,COLUMN())</f>
        <v>0.95299999999999996</v>
      </c>
      <c r="D27" s="814">
        <f t="shared" si="28"/>
        <v>0.95600000000000007</v>
      </c>
      <c r="E27" s="814">
        <f t="shared" si="28"/>
        <v>0.95799999999999996</v>
      </c>
      <c r="F27" s="814">
        <f t="shared" si="28"/>
        <v>0.80600000000000005</v>
      </c>
      <c r="G27" s="814">
        <f t="shared" si="28"/>
        <v>1.1120000000000001</v>
      </c>
      <c r="H27" s="814">
        <f t="shared" si="28"/>
        <v>1.2039999999999997</v>
      </c>
      <c r="I27" s="814">
        <f t="shared" si="28"/>
        <v>1.194</v>
      </c>
      <c r="J27" s="814">
        <f t="shared" si="28"/>
        <v>1.3130000000000006</v>
      </c>
      <c r="K27" s="814">
        <f t="shared" si="28"/>
        <v>1.3380000000000001</v>
      </c>
      <c r="L27" s="814">
        <f t="shared" si="28"/>
        <v>1.5819999999999999</v>
      </c>
      <c r="M27" s="814">
        <f t="shared" si="28"/>
        <v>1.5529999999999999</v>
      </c>
      <c r="N27" s="814">
        <f t="shared" si="28"/>
        <v>1.5860000000000003</v>
      </c>
      <c r="O27" s="814">
        <f t="shared" si="28"/>
        <v>1.496</v>
      </c>
      <c r="P27" s="814">
        <f t="shared" si="28"/>
        <v>1.3919999999999999</v>
      </c>
      <c r="Q27" s="814">
        <f t="shared" si="28"/>
        <v>1.5680000000000005</v>
      </c>
      <c r="R27" s="814">
        <f t="shared" si="28"/>
        <v>1.5589999999999993</v>
      </c>
      <c r="S27" s="814">
        <f t="shared" si="28"/>
        <v>1.458</v>
      </c>
      <c r="T27" s="814">
        <f t="shared" si="28"/>
        <v>1.7340000000000002</v>
      </c>
      <c r="U27" s="814">
        <f t="shared" si="28"/>
        <v>1.6840000000000002</v>
      </c>
      <c r="V27" s="814">
        <f t="shared" si="28"/>
        <v>1.4379999999999997</v>
      </c>
      <c r="W27" s="814">
        <f t="shared" si="28"/>
        <v>1.409</v>
      </c>
      <c r="X27" s="814">
        <f t="shared" si="28"/>
        <v>1.1249999999999998</v>
      </c>
      <c r="Y27" s="814">
        <f t="shared" si="28"/>
        <v>0.96700000000000008</v>
      </c>
      <c r="Z27" s="814">
        <f t="shared" si="28"/>
        <v>0.80899999999999972</v>
      </c>
      <c r="AA27" s="814">
        <f t="shared" si="28"/>
        <v>1.089</v>
      </c>
      <c r="AB27" s="814">
        <f t="shared" si="28"/>
        <v>1.33</v>
      </c>
      <c r="AC27" s="814">
        <f t="shared" si="28"/>
        <v>1.52</v>
      </c>
      <c r="AD27" s="814">
        <f t="shared" si="28"/>
        <v>1.6559999999999997</v>
      </c>
      <c r="AE27" s="814">
        <f t="shared" si="28"/>
        <v>1.256</v>
      </c>
      <c r="AF27" s="815">
        <f t="shared" si="28"/>
        <v>1.536</v>
      </c>
      <c r="AG27" s="816">
        <f t="shared" si="28"/>
        <v>1.5</v>
      </c>
      <c r="AH27" s="816">
        <f t="shared" si="28"/>
        <v>1.5</v>
      </c>
      <c r="AI27" s="816">
        <f t="shared" si="28"/>
        <v>1.5</v>
      </c>
      <c r="AJ27" s="816">
        <f t="shared" si="28"/>
        <v>1.5</v>
      </c>
      <c r="AK27" s="816">
        <f t="shared" si="28"/>
        <v>1.5</v>
      </c>
      <c r="AL27" s="816">
        <f t="shared" si="28"/>
        <v>1.5</v>
      </c>
      <c r="AM27" s="816"/>
      <c r="AN27" s="813">
        <f t="shared" ref="AN27:BC27" si="29">INDEX(MO_RIS_SBC,0,COLUMN())</f>
        <v>1.6379999999999999</v>
      </c>
      <c r="AO27" s="813">
        <f t="shared" si="29"/>
        <v>2.012</v>
      </c>
      <c r="AP27" s="813">
        <f t="shared" si="29"/>
        <v>3.1</v>
      </c>
      <c r="AQ27" s="813">
        <f t="shared" si="29"/>
        <v>3.6150000000000002</v>
      </c>
      <c r="AR27" s="813">
        <f t="shared" si="29"/>
        <v>3.673</v>
      </c>
      <c r="AS27" s="813">
        <f t="shared" si="29"/>
        <v>4.8230000000000004</v>
      </c>
      <c r="AT27" s="813">
        <f t="shared" si="29"/>
        <v>6.0590000000000002</v>
      </c>
      <c r="AU27" s="813">
        <f t="shared" si="29"/>
        <v>6.0149999999999997</v>
      </c>
      <c r="AV27" s="813">
        <f t="shared" si="29"/>
        <v>6.3140000000000001</v>
      </c>
      <c r="AW27" s="813">
        <f t="shared" si="29"/>
        <v>4.3099999999999996</v>
      </c>
      <c r="AX27" s="965">
        <f t="shared" si="29"/>
        <v>5.5949999999999998</v>
      </c>
      <c r="AY27" s="817">
        <f t="shared" si="29"/>
        <v>5.7919999999999998</v>
      </c>
      <c r="AZ27" s="817">
        <f t="shared" si="29"/>
        <v>6</v>
      </c>
      <c r="BA27" s="817">
        <f t="shared" si="29"/>
        <v>6</v>
      </c>
      <c r="BB27" s="817">
        <f t="shared" si="29"/>
        <v>6</v>
      </c>
      <c r="BC27" s="817">
        <f t="shared" si="29"/>
        <v>6</v>
      </c>
      <c r="BD27" s="684"/>
    </row>
    <row r="28" spans="1:56" s="56" customFormat="1" x14ac:dyDescent="0.25">
      <c r="A28" s="248" t="str">
        <f>INDEX(MO_RIS_DA,0,COLUMN())</f>
        <v>D&amp;A</v>
      </c>
      <c r="B28" s="249"/>
      <c r="C28" s="814">
        <f t="shared" ref="C28:AL28" si="30">INDEX(MO_RIS_DA,0,COLUMN())</f>
        <v>1.958</v>
      </c>
      <c r="D28" s="814">
        <f t="shared" si="30"/>
        <v>1.9920000000000002</v>
      </c>
      <c r="E28" s="814">
        <f t="shared" si="30"/>
        <v>2.3049999999999997</v>
      </c>
      <c r="F28" s="814">
        <f t="shared" si="30"/>
        <v>2.362000000000001</v>
      </c>
      <c r="G28" s="814">
        <f t="shared" si="30"/>
        <v>2.4079999999999999</v>
      </c>
      <c r="H28" s="814">
        <f t="shared" si="30"/>
        <v>2.5429999999999997</v>
      </c>
      <c r="I28" s="814">
        <f t="shared" si="30"/>
        <v>2.5260000000000007</v>
      </c>
      <c r="J28" s="814">
        <f t="shared" si="30"/>
        <v>2.2809999999999988</v>
      </c>
      <c r="K28" s="814">
        <f t="shared" si="30"/>
        <v>2.0680000000000001</v>
      </c>
      <c r="L28" s="814">
        <f t="shared" si="30"/>
        <v>1.9839999999999995</v>
      </c>
      <c r="M28" s="814">
        <f t="shared" si="30"/>
        <v>1.9620000000000006</v>
      </c>
      <c r="N28" s="814">
        <f t="shared" si="30"/>
        <v>1.851</v>
      </c>
      <c r="O28" s="814">
        <f t="shared" si="30"/>
        <v>1.7649999999999999</v>
      </c>
      <c r="P28" s="814">
        <f t="shared" si="30"/>
        <v>1.7100000000000002</v>
      </c>
      <c r="Q28" s="814">
        <f t="shared" si="30"/>
        <v>1.4940000000000002</v>
      </c>
      <c r="R28" s="814">
        <f t="shared" si="30"/>
        <v>1.4929999999999994</v>
      </c>
      <c r="S28" s="814">
        <f t="shared" si="30"/>
        <v>1.4430000000000001</v>
      </c>
      <c r="T28" s="814">
        <f t="shared" si="30"/>
        <v>1.7629999999999999</v>
      </c>
      <c r="U28" s="814">
        <f t="shared" si="30"/>
        <v>1.9469999999999996</v>
      </c>
      <c r="V28" s="814">
        <f t="shared" si="30"/>
        <v>1.8210000000000006</v>
      </c>
      <c r="W28" s="814">
        <f t="shared" si="30"/>
        <v>1.8420000000000001</v>
      </c>
      <c r="X28" s="814">
        <f t="shared" si="30"/>
        <v>1.919</v>
      </c>
      <c r="Y28" s="814">
        <f t="shared" si="30"/>
        <v>1.9089999999999998</v>
      </c>
      <c r="Z28" s="814">
        <f t="shared" si="30"/>
        <v>2.2510000000000003</v>
      </c>
      <c r="AA28" s="814">
        <f t="shared" si="30"/>
        <v>2.3410000000000002</v>
      </c>
      <c r="AB28" s="814">
        <f t="shared" si="30"/>
        <v>2.3159999999999998</v>
      </c>
      <c r="AC28" s="814">
        <f t="shared" si="30"/>
        <v>2.335</v>
      </c>
      <c r="AD28" s="814">
        <f t="shared" si="30"/>
        <v>2.4899999999999993</v>
      </c>
      <c r="AE28" s="814">
        <f t="shared" si="30"/>
        <v>2.177</v>
      </c>
      <c r="AF28" s="815">
        <f t="shared" si="30"/>
        <v>2.077</v>
      </c>
      <c r="AG28" s="816">
        <f t="shared" si="30"/>
        <v>2.1</v>
      </c>
      <c r="AH28" s="816">
        <f t="shared" si="30"/>
        <v>2.1</v>
      </c>
      <c r="AI28" s="816">
        <f t="shared" si="30"/>
        <v>2.1</v>
      </c>
      <c r="AJ28" s="816">
        <f t="shared" si="30"/>
        <v>2.1</v>
      </c>
      <c r="AK28" s="816">
        <f t="shared" si="30"/>
        <v>2.1</v>
      </c>
      <c r="AL28" s="816">
        <f t="shared" si="30"/>
        <v>2.1</v>
      </c>
      <c r="AM28" s="816"/>
      <c r="AN28" s="813">
        <f t="shared" ref="AN28:BC28" si="31">INDEX(MO_RIS_DA,0,COLUMN())</f>
        <v>3.38</v>
      </c>
      <c r="AO28" s="813">
        <f t="shared" si="31"/>
        <v>4.2300000000000004</v>
      </c>
      <c r="AP28" s="813">
        <f t="shared" si="31"/>
        <v>6.1870000000000003</v>
      </c>
      <c r="AQ28" s="813">
        <f t="shared" si="31"/>
        <v>7.9710000000000001</v>
      </c>
      <c r="AR28" s="813">
        <f t="shared" si="31"/>
        <v>8.6170000000000009</v>
      </c>
      <c r="AS28" s="813">
        <f t="shared" si="31"/>
        <v>9.7579999999999991</v>
      </c>
      <c r="AT28" s="813">
        <f t="shared" si="31"/>
        <v>7.8650000000000002</v>
      </c>
      <c r="AU28" s="813">
        <f t="shared" si="31"/>
        <v>6.4619999999999997</v>
      </c>
      <c r="AV28" s="813">
        <f t="shared" si="31"/>
        <v>6.9740000000000002</v>
      </c>
      <c r="AW28" s="813">
        <f t="shared" si="31"/>
        <v>7.9210000000000003</v>
      </c>
      <c r="AX28" s="965">
        <f t="shared" si="31"/>
        <v>9.4819999999999993</v>
      </c>
      <c r="AY28" s="817">
        <f t="shared" si="31"/>
        <v>8.4539999999999988</v>
      </c>
      <c r="AZ28" s="817">
        <f t="shared" si="31"/>
        <v>8.4</v>
      </c>
      <c r="BA28" s="817">
        <f t="shared" si="31"/>
        <v>8.4</v>
      </c>
      <c r="BB28" s="817">
        <f t="shared" si="31"/>
        <v>8.4</v>
      </c>
      <c r="BC28" s="817">
        <f t="shared" si="31"/>
        <v>8.4</v>
      </c>
      <c r="BD28" s="684"/>
    </row>
    <row r="29" spans="1:56" s="56" customFormat="1" x14ac:dyDescent="0.25">
      <c r="A29" s="248" t="str">
        <f>INDEX(MO_RIS_IE,0,COLUMN())</f>
        <v>Interest expense</v>
      </c>
      <c r="B29" s="249"/>
      <c r="C29" s="814">
        <f>IFERROR(INDEX(MO_RIS_IE_Net,0,COLUMN()),INDEX(MO_RIS_IE,0,COLUMN())+INDEX(MO_RIS_II,0,COLUMN()))</f>
        <v>0.1</v>
      </c>
      <c r="D29" s="814">
        <f>IFERROR(INDEX(MO_RIS_IE_Net,0,COLUMN()),INDEX(MO_RIS_IE,0,COLUMN())+INDEX(MO_RIS_II,0,COLUMN()))</f>
        <v>6.6000000000000003E-2</v>
      </c>
      <c r="E29" s="814">
        <f>IFERROR(INDEX(MO_RIS_IE_Net,0,COLUMN()),INDEX(MO_RIS_IE,0,COLUMN())+INDEX(MO_RIS_II,0,COLUMN()))</f>
        <v>0.09</v>
      </c>
      <c r="F29" s="814">
        <f>IFERROR(INDEX(MO_RIS_IE_Net,0,COLUMN()),INDEX(MO_RIS_IE,0,COLUMN())+INDEX(MO_RIS_II,0,COLUMN()))</f>
        <v>0.11000000000000001</v>
      </c>
      <c r="G29" s="814">
        <f>IFERROR(INDEX(MO_RIS_IE_Net,0,COLUMN()),INDEX(MO_RIS_IE,0,COLUMN())+INDEX(MO_RIS_II,0,COLUMN()))</f>
        <v>0.20499999999999999</v>
      </c>
      <c r="H29" s="814">
        <f>IFERROR(INDEX(MO_RIS_IE_Net,0,COLUMN()),INDEX(MO_RIS_IE,0,COLUMN())+INDEX(MO_RIS_II,0,COLUMN()))</f>
        <v>7.6999999999999999E-2</v>
      </c>
      <c r="I29" s="814">
        <f>IFERROR(INDEX(MO_RIS_IE_Net,0,COLUMN()),INDEX(MO_RIS_IE,0,COLUMN())+INDEX(MO_RIS_II,0,COLUMN()))</f>
        <v>0.11700000000000001</v>
      </c>
      <c r="J29" s="814">
        <f>IFERROR(INDEX(MO_RIS_IE_Net,0,COLUMN()),INDEX(MO_RIS_IE,0,COLUMN())+INDEX(MO_RIS_II,0,COLUMN()))</f>
        <v>0.43400000000000005</v>
      </c>
      <c r="K29" s="814">
        <f>IFERROR(INDEX(MO_RIS_IE_Net,0,COLUMN()),INDEX(MO_RIS_IE,0,COLUMN())+INDEX(MO_RIS_II,0,COLUMN()))</f>
        <v>0.36499999999999999</v>
      </c>
      <c r="L29" s="814">
        <f>IFERROR(INDEX(MO_RIS_IE_Net,0,COLUMN()),INDEX(MO_RIS_IE,0,COLUMN())+INDEX(MO_RIS_II,0,COLUMN()))</f>
        <v>0.30599999999999999</v>
      </c>
      <c r="M29" s="814">
        <f>IFERROR(INDEX(MO_RIS_IE_Net,0,COLUMN()),INDEX(MO_RIS_IE,0,COLUMN())+INDEX(MO_RIS_II,0,COLUMN()))</f>
        <v>0.34</v>
      </c>
      <c r="N29" s="814">
        <f>IFERROR(INDEX(MO_RIS_IE_Net,0,COLUMN()),INDEX(MO_RIS_IE,0,COLUMN())+INDEX(MO_RIS_II,0,COLUMN()))</f>
        <v>0.36999999999999994</v>
      </c>
      <c r="O29" s="814">
        <f>IFERROR(INDEX(MO_RIS_IE_Net,0,COLUMN()),INDEX(MO_RIS_IE,0,COLUMN())+INDEX(MO_RIS_II,0,COLUMN()))</f>
        <v>0.245</v>
      </c>
      <c r="P29" s="814">
        <f>IFERROR(INDEX(MO_RIS_IE_Net,0,COLUMN()),INDEX(MO_RIS_IE,0,COLUMN())+INDEX(MO_RIS_II,0,COLUMN()))</f>
        <v>0.35899999999999999</v>
      </c>
      <c r="Q29" s="814">
        <f>IFERROR(INDEX(MO_RIS_IE_Net,0,COLUMN()),INDEX(MO_RIS_IE,0,COLUMN())+INDEX(MO_RIS_II,0,COLUMN()))</f>
        <v>0.36599999999999999</v>
      </c>
      <c r="R29" s="814">
        <f>IFERROR(INDEX(MO_RIS_IE_Net,0,COLUMN()),INDEX(MO_RIS_IE,0,COLUMN())+INDEX(MO_RIS_II,0,COLUMN()))</f>
        <v>0.59799999999999998</v>
      </c>
      <c r="S29" s="814">
        <f>IFERROR(INDEX(MO_RIS_IE_Net,0,COLUMN()),INDEX(MO_RIS_IE,0,COLUMN())+INDEX(MO_RIS_II,0,COLUMN()))</f>
        <v>0.438</v>
      </c>
      <c r="T29" s="814">
        <f>IFERROR(INDEX(MO_RIS_IE_Net,0,COLUMN()),INDEX(MO_RIS_IE,0,COLUMN())+INDEX(MO_RIS_II,0,COLUMN()))</f>
        <v>0.53400000000000003</v>
      </c>
      <c r="U29" s="814">
        <f>IFERROR(INDEX(MO_RIS_IE_Net,0,COLUMN()),INDEX(MO_RIS_IE,0,COLUMN())+INDEX(MO_RIS_II,0,COLUMN()))</f>
        <v>0.51100000000000001</v>
      </c>
      <c r="V29" s="814">
        <f>IFERROR(INDEX(MO_RIS_IE_Net,0,COLUMN()),INDEX(MO_RIS_IE,0,COLUMN())+INDEX(MO_RIS_II,0,COLUMN()))</f>
        <v>1.649</v>
      </c>
      <c r="W29" s="814">
        <f>IFERROR(INDEX(MO_RIS_IE_Net,0,COLUMN()),INDEX(MO_RIS_IE,0,COLUMN())+INDEX(MO_RIS_II,0,COLUMN()))</f>
        <v>0.68600000000000005</v>
      </c>
      <c r="X29" s="814">
        <f>IFERROR(INDEX(MO_RIS_IE_Net,0,COLUMN()),INDEX(MO_RIS_IE,0,COLUMN())+INDEX(MO_RIS_II,0,COLUMN()))</f>
        <v>-0.15</v>
      </c>
      <c r="Y29" s="814">
        <f>IFERROR(INDEX(MO_RIS_IE_Net,0,COLUMN()),INDEX(MO_RIS_IE,0,COLUMN())+INDEX(MO_RIS_II,0,COLUMN()))</f>
        <v>1.095</v>
      </c>
      <c r="Z29" s="814">
        <f>IFERROR(INDEX(MO_RIS_IE_Net,0,COLUMN()),INDEX(MO_RIS_IE,0,COLUMN())+INDEX(MO_RIS_II,0,COLUMN()))</f>
        <v>1.3139999999999998</v>
      </c>
      <c r="AA29" s="814">
        <f>IFERROR(INDEX(MO_RIS_IE_Net,0,COLUMN()),INDEX(MO_RIS_IE,0,COLUMN())+INDEX(MO_RIS_II,0,COLUMN()))</f>
        <v>1.5980000000000001</v>
      </c>
      <c r="AB29" s="814">
        <f>IFERROR(INDEX(MO_RIS_IE_Net,0,COLUMN()),INDEX(MO_RIS_IE,0,COLUMN())+INDEX(MO_RIS_II,0,COLUMN()))</f>
        <v>1.679</v>
      </c>
      <c r="AC29" s="814">
        <f>IFERROR(INDEX(MO_RIS_IE_Net,0,COLUMN()),INDEX(MO_RIS_IE,0,COLUMN())+INDEX(MO_RIS_II,0,COLUMN()))</f>
        <v>1.575</v>
      </c>
      <c r="AD29" s="814">
        <f>IFERROR(INDEX(MO_RIS_IE_Net,0,COLUMN()),INDEX(MO_RIS_IE,0,COLUMN())+INDEX(MO_RIS_II,0,COLUMN()))</f>
        <v>1.2059999999999995</v>
      </c>
      <c r="AE29" s="814">
        <f>IFERROR(INDEX(MO_RIS_IE_Net,0,COLUMN()),INDEX(MO_RIS_IE,0,COLUMN())+INDEX(MO_RIS_II,0,COLUMN()))</f>
        <v>0.97799999999999998</v>
      </c>
      <c r="AF29" s="815">
        <f>IFERROR(INDEX(MO_RIS_IE_Net,0,COLUMN()),INDEX(MO_RIS_IE,0,COLUMN())+INDEX(MO_RIS_II,0,COLUMN()))</f>
        <v>0.60699999999999998</v>
      </c>
      <c r="AG29" s="816">
        <f>IFERROR(INDEX(MO_RIS_IE_Net,0,COLUMN()),INDEX(MO_RIS_IE,0,COLUMN())+INDEX(MO_RIS_II,0,COLUMN()))</f>
        <v>0.70094925683060116</v>
      </c>
      <c r="AH29" s="816">
        <f ca="1">IFERROR(INDEX(MO_RIS_IE_Net,0,COLUMN()),INDEX(MO_RIS_IE,0,COLUMN())+INDEX(MO_RIS_II,0,COLUMN()))</f>
        <v>0.70185382154650633</v>
      </c>
      <c r="AI29" s="816">
        <f ca="1">IFERROR(INDEX(MO_RIS_IE_Net,0,COLUMN()),INDEX(MO_RIS_IE,0,COLUMN())+INDEX(MO_RIS_II,0,COLUMN()))</f>
        <v>0.68202384719338716</v>
      </c>
      <c r="AJ29" s="816">
        <f ca="1">IFERROR(INDEX(MO_RIS_IE_Net,0,COLUMN()),INDEX(MO_RIS_IE,0,COLUMN())+INDEX(MO_RIS_II,0,COLUMN()))</f>
        <v>0.69359843607432992</v>
      </c>
      <c r="AK29" s="816">
        <f ca="1">IFERROR(INDEX(MO_RIS_IE_Net,0,COLUMN()),INDEX(MO_RIS_IE,0,COLUMN())+INDEX(MO_RIS_II,0,COLUMN()))</f>
        <v>0.69015752170642564</v>
      </c>
      <c r="AL29" s="816">
        <f ca="1">IFERROR(INDEX(MO_RIS_IE_Net,0,COLUMN()),INDEX(MO_RIS_IE,0,COLUMN())+INDEX(MO_RIS_II,0,COLUMN()))</f>
        <v>0.69239087154034729</v>
      </c>
      <c r="AM29" s="816"/>
      <c r="AN29" s="813">
        <f>IFERROR(INDEX(MO_RIS_IE_Net,0,COLUMN()),INDEX(MO_RIS_IE,0,COLUMN())+INDEX(MO_RIS_II,0,COLUMN()))</f>
        <v>0.217</v>
      </c>
      <c r="AO29" s="813">
        <f>IFERROR(INDEX(MO_RIS_IE_Net,0,COLUMN()),INDEX(MO_RIS_IE,0,COLUMN())+INDEX(MO_RIS_II,0,COLUMN()))</f>
        <v>0.23599999999999999</v>
      </c>
      <c r="AP29" s="813">
        <f>IFERROR(INDEX(MO_RIS_IE_Net,0,COLUMN()),INDEX(MO_RIS_IE,0,COLUMN())+INDEX(MO_RIS_II,0,COLUMN()))</f>
        <v>0.20899999999999999</v>
      </c>
      <c r="AQ29" s="813">
        <f>IFERROR(INDEX(MO_RIS_IE_Net,0,COLUMN()),INDEX(MO_RIS_IE,0,COLUMN())+INDEX(MO_RIS_II,0,COLUMN()))</f>
        <v>0.26900000000000002</v>
      </c>
      <c r="AR29" s="813">
        <f>IFERROR(INDEX(MO_RIS_IE_Net,0,COLUMN()),INDEX(MO_RIS_IE,0,COLUMN())+INDEX(MO_RIS_II,0,COLUMN()))</f>
        <v>0.36599999999999999</v>
      </c>
      <c r="AS29" s="813">
        <f>IFERROR(INDEX(MO_RIS_IE_Net,0,COLUMN()),INDEX(MO_RIS_IE,0,COLUMN())+INDEX(MO_RIS_II,0,COLUMN()))</f>
        <v>0.83299999999999996</v>
      </c>
      <c r="AT29" s="813">
        <f>IFERROR(INDEX(MO_RIS_IE_Net,0,COLUMN()),INDEX(MO_RIS_IE,0,COLUMN())+INDEX(MO_RIS_II,0,COLUMN()))</f>
        <v>1.381</v>
      </c>
      <c r="AU29" s="813">
        <f>IFERROR(INDEX(MO_RIS_IE_Net,0,COLUMN()),INDEX(MO_RIS_IE,0,COLUMN())+INDEX(MO_RIS_II,0,COLUMN()))</f>
        <v>1.5680000000000001</v>
      </c>
      <c r="AV29" s="813">
        <f>IFERROR(INDEX(MO_RIS_IE_Net,0,COLUMN()),INDEX(MO_RIS_IE,0,COLUMN())+INDEX(MO_RIS_II,0,COLUMN()))</f>
        <v>3.1320000000000001</v>
      </c>
      <c r="AW29" s="813">
        <f>IFERROR(INDEX(MO_RIS_IE_Net,0,COLUMN()),INDEX(MO_RIS_IE,0,COLUMN())+INDEX(MO_RIS_II,0,COLUMN()))</f>
        <v>2.9449999999999998</v>
      </c>
      <c r="AX29" s="965">
        <f>IFERROR(INDEX(MO_RIS_IE_Net,0,COLUMN()),INDEX(MO_RIS_IE,0,COLUMN())+INDEX(MO_RIS_II,0,COLUMN()))</f>
        <v>6.0579999999999998</v>
      </c>
      <c r="AY29" s="817">
        <f ca="1">IFERROR(INDEX(MO_RIS_IE_Net,0,COLUMN()),INDEX(MO_RIS_IE,0,COLUMN())+INDEX(MO_RIS_II,0,COLUMN()))</f>
        <v>2.987803078377107</v>
      </c>
      <c r="AZ29" s="817">
        <f ca="1">IFERROR(INDEX(MO_RIS_IE_Net,0,COLUMN()),INDEX(MO_RIS_IE,0,COLUMN())+INDEX(MO_RIS_II,0,COLUMN()))</f>
        <v>2.7581706765144895</v>
      </c>
      <c r="BA29" s="817">
        <f ca="1">IFERROR(INDEX(MO_RIS_IE_Net,0,COLUMN()),INDEX(MO_RIS_IE,0,COLUMN())+INDEX(MO_RIS_II,0,COLUMN()))</f>
        <v>2.7410481881696676</v>
      </c>
      <c r="BB29" s="817">
        <f ca="1">IFERROR(INDEX(MO_RIS_IE_Net,0,COLUMN()),INDEX(MO_RIS_IE,0,COLUMN())+INDEX(MO_RIS_II,0,COLUMN()))</f>
        <v>2.6946552595794024</v>
      </c>
      <c r="BC29" s="817">
        <f ca="1">IFERROR(INDEX(MO_RIS_IE_Net,0,COLUMN()),INDEX(MO_RIS_IE,0,COLUMN())+INDEX(MO_RIS_II,0,COLUMN()))</f>
        <v>2.6322150676028251</v>
      </c>
      <c r="BD29" s="684"/>
    </row>
    <row r="30" spans="1:56" s="56" customFormat="1" x14ac:dyDescent="0.25">
      <c r="A30" s="248" t="s">
        <v>303</v>
      </c>
      <c r="B30" s="249"/>
      <c r="C30" s="814">
        <f t="shared" ref="C30:AL30" si="32">INDEX(MO_RIS_OI,0,COLUMN())+INDEX(MO_RIS_OTI,0,COLUMN())</f>
        <v>-0.47599999999999998</v>
      </c>
      <c r="D30" s="814">
        <f t="shared" si="32"/>
        <v>-0.13800000000000001</v>
      </c>
      <c r="E30" s="814">
        <f t="shared" si="32"/>
        <v>-0.13900000000000001</v>
      </c>
      <c r="F30" s="814">
        <f t="shared" si="32"/>
        <v>-1.4249999999999998</v>
      </c>
      <c r="G30" s="814">
        <f t="shared" si="32"/>
        <v>-0.56600000000000006</v>
      </c>
      <c r="H30" s="814">
        <f t="shared" si="32"/>
        <v>-0.54899999999999993</v>
      </c>
      <c r="I30" s="814">
        <f t="shared" si="32"/>
        <v>-0.58300000000000007</v>
      </c>
      <c r="J30" s="814">
        <f t="shared" si="32"/>
        <v>0.50900000000000012</v>
      </c>
      <c r="K30" s="814">
        <f t="shared" si="32"/>
        <v>0.42800000000000005</v>
      </c>
      <c r="L30" s="814">
        <f t="shared" si="32"/>
        <v>0.36499999999999999</v>
      </c>
      <c r="M30" s="814">
        <f t="shared" si="32"/>
        <v>1.8570000000000002</v>
      </c>
      <c r="N30" s="814">
        <f t="shared" si="32"/>
        <v>0.58999999999999986</v>
      </c>
      <c r="O30" s="814">
        <f t="shared" si="32"/>
        <v>-0.29500000000000004</v>
      </c>
      <c r="P30" s="814">
        <f t="shared" si="32"/>
        <v>-0.26300000000000001</v>
      </c>
      <c r="Q30" s="814">
        <f t="shared" si="32"/>
        <v>3.1E-2</v>
      </c>
      <c r="R30" s="814">
        <f t="shared" si="32"/>
        <v>0.48499999999999999</v>
      </c>
      <c r="S30" s="814">
        <f t="shared" si="32"/>
        <v>-0.12200000000000001</v>
      </c>
      <c r="T30" s="814">
        <f t="shared" si="32"/>
        <v>0.20300000000000001</v>
      </c>
      <c r="U30" s="814">
        <f t="shared" si="32"/>
        <v>-0.34200000000000003</v>
      </c>
      <c r="V30" s="814">
        <f t="shared" si="32"/>
        <v>2.0480000000000005</v>
      </c>
      <c r="W30" s="814">
        <f t="shared" si="32"/>
        <v>-1.9530000000000001</v>
      </c>
      <c r="X30" s="814">
        <f t="shared" si="32"/>
        <v>2.589</v>
      </c>
      <c r="Y30" s="814">
        <f t="shared" si="32"/>
        <v>0.23399999999999999</v>
      </c>
      <c r="Z30" s="814">
        <f t="shared" si="32"/>
        <v>-0.48099999999999921</v>
      </c>
      <c r="AA30" s="814">
        <f t="shared" si="32"/>
        <v>1.083</v>
      </c>
      <c r="AB30" s="814">
        <f t="shared" si="32"/>
        <v>-0.54700000000000004</v>
      </c>
      <c r="AC30" s="814">
        <f t="shared" si="32"/>
        <v>-0.08</v>
      </c>
      <c r="AD30" s="814">
        <f t="shared" si="32"/>
        <v>-12.036999999999999</v>
      </c>
      <c r="AE30" s="814">
        <f t="shared" si="32"/>
        <v>-0.56400000000000006</v>
      </c>
      <c r="AF30" s="815">
        <f t="shared" si="32"/>
        <v>1.044</v>
      </c>
      <c r="AG30" s="816">
        <f t="shared" si="32"/>
        <v>0</v>
      </c>
      <c r="AH30" s="816">
        <f t="shared" si="32"/>
        <v>0</v>
      </c>
      <c r="AI30" s="816">
        <f t="shared" si="32"/>
        <v>0</v>
      </c>
      <c r="AJ30" s="816">
        <f t="shared" si="32"/>
        <v>0</v>
      </c>
      <c r="AK30" s="816">
        <f t="shared" si="32"/>
        <v>0</v>
      </c>
      <c r="AL30" s="816">
        <f t="shared" si="32"/>
        <v>0</v>
      </c>
      <c r="AM30" s="816"/>
      <c r="AN30" s="813">
        <f t="shared" ref="AN30:BC30" si="33">INDEX(MO_RIS_OI,0,COLUMN())+INDEX(MO_RIS_OTI,0,COLUMN())</f>
        <v>9.6790000000000003</v>
      </c>
      <c r="AO30" s="813">
        <f t="shared" si="33"/>
        <v>-1.8639999999999999</v>
      </c>
      <c r="AP30" s="813">
        <f t="shared" si="33"/>
        <v>-2.2149999999999999</v>
      </c>
      <c r="AQ30" s="813">
        <f t="shared" si="33"/>
        <v>0.4</v>
      </c>
      <c r="AR30" s="813">
        <f t="shared" si="33"/>
        <v>-2.1779999999999999</v>
      </c>
      <c r="AS30" s="813">
        <f t="shared" si="33"/>
        <v>-1.1889999999999998</v>
      </c>
      <c r="AT30" s="813">
        <f t="shared" si="33"/>
        <v>3.24</v>
      </c>
      <c r="AU30" s="813">
        <f t="shared" si="33"/>
        <v>-4.1999999999999982E-2</v>
      </c>
      <c r="AV30" s="813">
        <f t="shared" si="33"/>
        <v>1.7870000000000004</v>
      </c>
      <c r="AW30" s="813">
        <f t="shared" si="33"/>
        <v>0.38900000000000046</v>
      </c>
      <c r="AX30" s="965">
        <f t="shared" si="33"/>
        <v>-11.581</v>
      </c>
      <c r="AY30" s="817">
        <f t="shared" si="33"/>
        <v>0.48</v>
      </c>
      <c r="AZ30" s="817">
        <f t="shared" si="33"/>
        <v>0</v>
      </c>
      <c r="BA30" s="817">
        <f t="shared" si="33"/>
        <v>0</v>
      </c>
      <c r="BB30" s="817">
        <f t="shared" si="33"/>
        <v>0</v>
      </c>
      <c r="BC30" s="817">
        <f t="shared" si="33"/>
        <v>0</v>
      </c>
      <c r="BD30" s="684"/>
    </row>
    <row r="31" spans="1:56" s="58" customFormat="1" x14ac:dyDescent="0.25">
      <c r="A31" s="250" t="str">
        <f>INDEX(MO_RIS_EBT,0,COLUMN())</f>
        <v>EBT</v>
      </c>
      <c r="B31" s="251"/>
      <c r="C31" s="819">
        <f t="shared" ref="C31:AL31" si="34">INDEX(SP_GF_EBITDA,0,COLUMN())-INDEX(SP_GF_SBC,0,COLUMN())-INDEX(SP_GF_DA,0,COLUMN())-INDEX(SP_GF_IE,0,COLUMN())-INDEX(SP_GF_OI,0,COLUMN())</f>
        <v>7.4680000000000097</v>
      </c>
      <c r="D31" s="819">
        <f t="shared" si="34"/>
        <v>8.586999999999998</v>
      </c>
      <c r="E31" s="819">
        <f t="shared" si="34"/>
        <v>10.254000000000014</v>
      </c>
      <c r="F31" s="819">
        <f t="shared" si="34"/>
        <v>12.179000000000066</v>
      </c>
      <c r="G31" s="819">
        <f t="shared" si="34"/>
        <v>7.1269999999999909</v>
      </c>
      <c r="H31" s="819">
        <f t="shared" si="34"/>
        <v>13.777000000000017</v>
      </c>
      <c r="I31" s="819">
        <f t="shared" si="34"/>
        <v>11.120999999999997</v>
      </c>
      <c r="J31" s="819">
        <f t="shared" si="34"/>
        <v>10.798000000000096</v>
      </c>
      <c r="K31" s="819">
        <f t="shared" si="34"/>
        <v>6.743000000000003</v>
      </c>
      <c r="L31" s="819">
        <f t="shared" si="34"/>
        <v>7.3980000000000006</v>
      </c>
      <c r="M31" s="819">
        <f t="shared" si="34"/>
        <v>5.9190000000000031</v>
      </c>
      <c r="N31" s="819">
        <f t="shared" si="34"/>
        <v>9.5629999999999473</v>
      </c>
      <c r="O31" s="819">
        <f t="shared" si="34"/>
        <v>6.0070000000000068</v>
      </c>
      <c r="P31" s="819">
        <f t="shared" si="34"/>
        <v>7.9690000000000012</v>
      </c>
      <c r="Q31" s="819">
        <f t="shared" si="34"/>
        <v>7.6109999999999891</v>
      </c>
      <c r="R31" s="819">
        <f t="shared" si="34"/>
        <v>8.4469999999999974</v>
      </c>
      <c r="S31" s="819">
        <f t="shared" si="34"/>
        <v>6.0780000000000038</v>
      </c>
      <c r="T31" s="819">
        <f t="shared" si="34"/>
        <v>8.460000000000008</v>
      </c>
      <c r="U31" s="819">
        <f t="shared" si="34"/>
        <v>3.9240000000000035</v>
      </c>
      <c r="V31" s="819">
        <f t="shared" si="34"/>
        <v>1.2270000000000452</v>
      </c>
      <c r="W31" s="819">
        <f t="shared" si="34"/>
        <v>4.3620000000000019</v>
      </c>
      <c r="X31" s="819">
        <f t="shared" si="34"/>
        <v>4.9070000000000036</v>
      </c>
      <c r="Y31" s="819">
        <f t="shared" si="34"/>
        <v>4.3460000000000036</v>
      </c>
      <c r="Z31" s="819">
        <f t="shared" si="34"/>
        <v>1.1480000000000339</v>
      </c>
      <c r="AA31" s="819">
        <f t="shared" si="34"/>
        <v>0.48100000000001231</v>
      </c>
      <c r="AB31" s="819">
        <f t="shared" si="34"/>
        <v>4.5190000000000197</v>
      </c>
      <c r="AC31" s="819">
        <f t="shared" si="34"/>
        <v>3.101999999999995</v>
      </c>
      <c r="AD31" s="819">
        <f t="shared" si="34"/>
        <v>14.266999999999916</v>
      </c>
      <c r="AE31" s="819">
        <f t="shared" si="34"/>
        <v>-1.9229999999999863</v>
      </c>
      <c r="AF31" s="820">
        <f t="shared" si="34"/>
        <v>-1.7909999999999957</v>
      </c>
      <c r="AG31" s="819">
        <f t="shared" si="34"/>
        <v>1.6290507431693948</v>
      </c>
      <c r="AH31" s="819">
        <f t="shared" ca="1" si="34"/>
        <v>3.4031461784534782</v>
      </c>
      <c r="AI31" s="819">
        <f t="shared" ca="1" si="34"/>
        <v>1.7015176128066036</v>
      </c>
      <c r="AJ31" s="819">
        <f t="shared" ca="1" si="34"/>
        <v>2.2964609139256673</v>
      </c>
      <c r="AK31" s="819">
        <f t="shared" ca="1" si="34"/>
        <v>2.7617424782935847</v>
      </c>
      <c r="AL31" s="819">
        <f t="shared" ca="1" si="34"/>
        <v>6.041659128459651</v>
      </c>
      <c r="AM31" s="819"/>
      <c r="AN31" s="818">
        <f t="shared" ref="AN31:BC31" si="35">INDEX(SP_GF_EBITDA,0,COLUMN())-INDEX(SP_GF_SBC,0,COLUMN())-INDEX(SP_GF_DA,0,COLUMN())-INDEX(SP_GF_IE,0,COLUMN())-INDEX(SP_GF_OI,0,COLUMN())</f>
        <v>3.3950000000000067</v>
      </c>
      <c r="AO31" s="818">
        <f t="shared" si="35"/>
        <v>20.851999999999986</v>
      </c>
      <c r="AP31" s="818">
        <f t="shared" si="35"/>
        <v>28.390999999999966</v>
      </c>
      <c r="AQ31" s="818">
        <f t="shared" si="35"/>
        <v>35.802000000000007</v>
      </c>
      <c r="AR31" s="818">
        <f t="shared" si="35"/>
        <v>38.488000000000056</v>
      </c>
      <c r="AS31" s="818">
        <f t="shared" si="35"/>
        <v>42.823000000000029</v>
      </c>
      <c r="AT31" s="818">
        <f t="shared" si="35"/>
        <v>29.622999999999969</v>
      </c>
      <c r="AU31" s="818">
        <f t="shared" si="35"/>
        <v>30.034000000000027</v>
      </c>
      <c r="AV31" s="818">
        <f t="shared" si="35"/>
        <v>19.689000000000036</v>
      </c>
      <c r="AW31" s="818">
        <f t="shared" si="35"/>
        <v>14.762999999999989</v>
      </c>
      <c r="AX31" s="966">
        <f t="shared" si="35"/>
        <v>22.368999999999932</v>
      </c>
      <c r="AY31" s="818">
        <f t="shared" ca="1" si="35"/>
        <v>1.3181969216228624</v>
      </c>
      <c r="AZ31" s="818">
        <f t="shared" ca="1" si="35"/>
        <v>12.801380133485562</v>
      </c>
      <c r="BA31" s="818">
        <f t="shared" ca="1" si="35"/>
        <v>22.86200593183035</v>
      </c>
      <c r="BB31" s="818">
        <f t="shared" ca="1" si="35"/>
        <v>32.682829020420712</v>
      </c>
      <c r="BC31" s="818">
        <f t="shared" ca="1" si="35"/>
        <v>34.814143426397138</v>
      </c>
      <c r="BD31" s="685"/>
    </row>
    <row r="32" spans="1:56" s="56" customFormat="1" x14ac:dyDescent="0.25">
      <c r="A32" s="248" t="s">
        <v>304</v>
      </c>
      <c r="B32" s="249"/>
      <c r="C32" s="814">
        <f t="shared" ref="C32:AL32" si="36">INDEX(MO_RIS_Tax_Current,0,COLUMN())+INDEX(MO_RIS_Tax_Deferred,0,COLUMN())</f>
        <v>2.5430000000000001</v>
      </c>
      <c r="D32" s="814">
        <f t="shared" si="36"/>
        <v>3.34</v>
      </c>
      <c r="E32" s="814">
        <f t="shared" si="36"/>
        <v>4.1109999999999998</v>
      </c>
      <c r="F32" s="814">
        <f t="shared" si="36"/>
        <v>4.7380000000000004</v>
      </c>
      <c r="G32" s="814">
        <f t="shared" si="36"/>
        <v>2.81</v>
      </c>
      <c r="H32" s="814">
        <f t="shared" si="36"/>
        <v>5.6639999999999997</v>
      </c>
      <c r="I32" s="814">
        <f t="shared" si="36"/>
        <v>3.8769999999999998</v>
      </c>
      <c r="J32" s="814">
        <f t="shared" si="36"/>
        <v>3.3739999999999997</v>
      </c>
      <c r="K32" s="814">
        <f t="shared" si="36"/>
        <v>2.6360000000000001</v>
      </c>
      <c r="L32" s="814">
        <f t="shared" si="36"/>
        <v>2.6840000000000002</v>
      </c>
      <c r="M32" s="814">
        <f t="shared" si="36"/>
        <v>2.2029999999999998</v>
      </c>
      <c r="N32" s="814">
        <f t="shared" si="36"/>
        <v>3.3109999999999999</v>
      </c>
      <c r="O32" s="814">
        <f t="shared" si="36"/>
        <v>2.2069999999999999</v>
      </c>
      <c r="P32" s="814">
        <f t="shared" si="36"/>
        <v>3.056</v>
      </c>
      <c r="Q32" s="814">
        <f t="shared" si="36"/>
        <v>2.8090000000000002</v>
      </c>
      <c r="R32" s="814">
        <f t="shared" si="36"/>
        <v>1.7150000000000007</v>
      </c>
      <c r="S32" s="814">
        <f t="shared" si="36"/>
        <v>1.992</v>
      </c>
      <c r="T32" s="814">
        <f t="shared" si="36"/>
        <v>2.5969999999999995</v>
      </c>
      <c r="U32" s="814">
        <f t="shared" si="36"/>
        <v>0.64300000000000002</v>
      </c>
      <c r="V32" s="814">
        <f t="shared" si="36"/>
        <v>1.5659999999999998</v>
      </c>
      <c r="W32" s="814">
        <f t="shared" si="36"/>
        <v>1.73</v>
      </c>
      <c r="X32" s="814">
        <f t="shared" si="36"/>
        <v>1.3320000000000001</v>
      </c>
      <c r="Y32" s="814">
        <f t="shared" si="36"/>
        <v>1.1020000000000003</v>
      </c>
      <c r="Z32" s="814">
        <f t="shared" si="36"/>
        <v>0.76299999999999901</v>
      </c>
      <c r="AA32" s="814">
        <f t="shared" si="36"/>
        <v>0.14700000000000002</v>
      </c>
      <c r="AB32" s="814">
        <f t="shared" si="36"/>
        <v>1.2999999999999998</v>
      </c>
      <c r="AC32" s="814">
        <f t="shared" si="36"/>
        <v>0.96099999999999997</v>
      </c>
      <c r="AD32" s="814">
        <f t="shared" si="36"/>
        <v>4.7720000000000002</v>
      </c>
      <c r="AE32" s="814">
        <f t="shared" si="36"/>
        <v>-0.629</v>
      </c>
      <c r="AF32" s="815">
        <f t="shared" si="36"/>
        <v>-1.1850000000000001</v>
      </c>
      <c r="AG32" s="816">
        <f t="shared" si="36"/>
        <v>0.39097217836065479</v>
      </c>
      <c r="AH32" s="816">
        <f t="shared" ca="1" si="36"/>
        <v>0.8167550828288348</v>
      </c>
      <c r="AI32" s="816">
        <f t="shared" ca="1" si="36"/>
        <v>0.40836422707358488</v>
      </c>
      <c r="AJ32" s="816">
        <f t="shared" ca="1" si="36"/>
        <v>0.55115061934216014</v>
      </c>
      <c r="AK32" s="816">
        <f t="shared" ca="1" si="36"/>
        <v>0.66281819479046034</v>
      </c>
      <c r="AL32" s="816">
        <f t="shared" ca="1" si="36"/>
        <v>1.4499981908303161</v>
      </c>
      <c r="AM32" s="816"/>
      <c r="AN32" s="813">
        <f t="shared" ref="AN32:BC32" si="37">INDEX(MO_RIS_Tax_Current,0,COLUMN())+INDEX(MO_RIS_Tax_Deferred,0,COLUMN())</f>
        <v>4.585</v>
      </c>
      <c r="AO32" s="813">
        <f t="shared" si="37"/>
        <v>8.1199999999999992</v>
      </c>
      <c r="AP32" s="813">
        <f t="shared" si="37"/>
        <v>10.531000000000001</v>
      </c>
      <c r="AQ32" s="813">
        <f t="shared" si="37"/>
        <v>13.114000000000001</v>
      </c>
      <c r="AR32" s="813">
        <f t="shared" si="37"/>
        <v>14.731999999999999</v>
      </c>
      <c r="AS32" s="813">
        <f t="shared" si="37"/>
        <v>15.725</v>
      </c>
      <c r="AT32" s="813">
        <f t="shared" si="37"/>
        <v>10.834</v>
      </c>
      <c r="AU32" s="813">
        <f t="shared" si="37"/>
        <v>9.7870000000000008</v>
      </c>
      <c r="AV32" s="813">
        <f t="shared" si="37"/>
        <v>6.798</v>
      </c>
      <c r="AW32" s="813">
        <f t="shared" si="37"/>
        <v>4.9269999999999996</v>
      </c>
      <c r="AX32" s="965">
        <f t="shared" si="37"/>
        <v>7.18</v>
      </c>
      <c r="AY32" s="817">
        <f t="shared" ca="1" si="37"/>
        <v>-0.60627273881051036</v>
      </c>
      <c r="AZ32" s="817">
        <f t="shared" ca="1" si="37"/>
        <v>3.0723312320365213</v>
      </c>
      <c r="BA32" s="817">
        <f t="shared" ca="1" si="37"/>
        <v>5.4868814236392609</v>
      </c>
      <c r="BB32" s="817">
        <f t="shared" ca="1" si="37"/>
        <v>7.8438789649009379</v>
      </c>
      <c r="BC32" s="817">
        <f t="shared" ca="1" si="37"/>
        <v>8.3553944223352765</v>
      </c>
      <c r="BD32" s="684"/>
    </row>
    <row r="33" spans="1:56" s="56" customFormat="1" x14ac:dyDescent="0.25">
      <c r="A33" s="248" t="str">
        <f>INDEX(MO_RIS_DisCont,0,COLUMN())</f>
        <v>Discontinued Operations</v>
      </c>
      <c r="B33" s="249"/>
      <c r="C33" s="814">
        <f t="shared" ref="C33:AL33" si="38">INDEX(MO_RIS_DisCont,0,COLUMN())</f>
        <v>0</v>
      </c>
      <c r="D33" s="814">
        <f t="shared" si="38"/>
        <v>0</v>
      </c>
      <c r="E33" s="814">
        <f t="shared" si="38"/>
        <v>0</v>
      </c>
      <c r="F33" s="814">
        <f t="shared" si="38"/>
        <v>0</v>
      </c>
      <c r="G33" s="814">
        <f t="shared" si="38"/>
        <v>0</v>
      </c>
      <c r="H33" s="814">
        <f t="shared" si="38"/>
        <v>0</v>
      </c>
      <c r="I33" s="814">
        <f t="shared" si="38"/>
        <v>0</v>
      </c>
      <c r="J33" s="814">
        <f t="shared" si="38"/>
        <v>0</v>
      </c>
      <c r="K33" s="814">
        <f t="shared" si="38"/>
        <v>0</v>
      </c>
      <c r="L33" s="814">
        <f t="shared" si="38"/>
        <v>0</v>
      </c>
      <c r="M33" s="814">
        <f t="shared" si="38"/>
        <v>0</v>
      </c>
      <c r="N33" s="814">
        <f t="shared" si="38"/>
        <v>0</v>
      </c>
      <c r="O33" s="814">
        <f t="shared" si="38"/>
        <v>0</v>
      </c>
      <c r="P33" s="814">
        <f t="shared" si="38"/>
        <v>0</v>
      </c>
      <c r="Q33" s="814">
        <f t="shared" si="38"/>
        <v>0</v>
      </c>
      <c r="R33" s="814">
        <f t="shared" si="38"/>
        <v>0</v>
      </c>
      <c r="S33" s="814">
        <f t="shared" si="38"/>
        <v>0</v>
      </c>
      <c r="T33" s="814">
        <f t="shared" si="38"/>
        <v>0</v>
      </c>
      <c r="U33" s="814">
        <f t="shared" si="38"/>
        <v>0</v>
      </c>
      <c r="V33" s="814">
        <f t="shared" si="38"/>
        <v>0</v>
      </c>
      <c r="W33" s="814">
        <f t="shared" si="38"/>
        <v>0</v>
      </c>
      <c r="X33" s="814">
        <f t="shared" si="38"/>
        <v>0</v>
      </c>
      <c r="Y33" s="814">
        <f t="shared" si="38"/>
        <v>0</v>
      </c>
      <c r="Z33" s="814">
        <f t="shared" si="38"/>
        <v>0</v>
      </c>
      <c r="AA33" s="814">
        <f t="shared" si="38"/>
        <v>0</v>
      </c>
      <c r="AB33" s="814">
        <f t="shared" si="38"/>
        <v>0</v>
      </c>
      <c r="AC33" s="814">
        <f t="shared" si="38"/>
        <v>0</v>
      </c>
      <c r="AD33" s="814">
        <f t="shared" si="38"/>
        <v>0</v>
      </c>
      <c r="AE33" s="814">
        <f t="shared" si="38"/>
        <v>0</v>
      </c>
      <c r="AF33" s="815">
        <f t="shared" si="38"/>
        <v>0</v>
      </c>
      <c r="AG33" s="816">
        <f t="shared" si="38"/>
        <v>0</v>
      </c>
      <c r="AH33" s="816">
        <f t="shared" si="38"/>
        <v>0</v>
      </c>
      <c r="AI33" s="816">
        <f t="shared" si="38"/>
        <v>0</v>
      </c>
      <c r="AJ33" s="816">
        <f t="shared" si="38"/>
        <v>0</v>
      </c>
      <c r="AK33" s="816">
        <f t="shared" si="38"/>
        <v>0</v>
      </c>
      <c r="AL33" s="816">
        <f t="shared" si="38"/>
        <v>0</v>
      </c>
      <c r="AM33" s="816"/>
      <c r="AN33" s="813">
        <f t="shared" ref="AN33:BC33" si="39">INDEX(MO_RIS_DisCont,0,COLUMN())</f>
        <v>0</v>
      </c>
      <c r="AO33" s="813">
        <f t="shared" si="39"/>
        <v>0</v>
      </c>
      <c r="AP33" s="813">
        <f t="shared" si="39"/>
        <v>0</v>
      </c>
      <c r="AQ33" s="813">
        <f t="shared" si="39"/>
        <v>0</v>
      </c>
      <c r="AR33" s="813">
        <f t="shared" si="39"/>
        <v>0</v>
      </c>
      <c r="AS33" s="813">
        <f t="shared" si="39"/>
        <v>0</v>
      </c>
      <c r="AT33" s="813">
        <f t="shared" si="39"/>
        <v>0</v>
      </c>
      <c r="AU33" s="813">
        <f t="shared" si="39"/>
        <v>0</v>
      </c>
      <c r="AV33" s="813">
        <f t="shared" si="39"/>
        <v>0</v>
      </c>
      <c r="AW33" s="813">
        <f t="shared" si="39"/>
        <v>0</v>
      </c>
      <c r="AX33" s="965">
        <f t="shared" si="39"/>
        <v>0</v>
      </c>
      <c r="AY33" s="817">
        <f t="shared" si="39"/>
        <v>0</v>
      </c>
      <c r="AZ33" s="817">
        <f t="shared" si="39"/>
        <v>0</v>
      </c>
      <c r="BA33" s="817">
        <f t="shared" si="39"/>
        <v>0</v>
      </c>
      <c r="BB33" s="817">
        <f t="shared" si="39"/>
        <v>0</v>
      </c>
      <c r="BC33" s="817">
        <f t="shared" si="39"/>
        <v>0</v>
      </c>
      <c r="BD33" s="684"/>
    </row>
    <row r="34" spans="1:56" s="56" customFormat="1" x14ac:dyDescent="0.25">
      <c r="A34" s="248" t="str">
        <f>INDEX(MO_RIS_NCI,0,COLUMN())</f>
        <v>Net Income to NCI</v>
      </c>
      <c r="B34" s="249"/>
      <c r="C34" s="814">
        <f t="shared" ref="C34:AL34" si="40">INDEX(MO_RIS_NCI,0,COLUMN())</f>
        <v>0</v>
      </c>
      <c r="D34" s="814">
        <f t="shared" si="40"/>
        <v>0</v>
      </c>
      <c r="E34" s="814">
        <f t="shared" si="40"/>
        <v>0</v>
      </c>
      <c r="F34" s="814">
        <f t="shared" si="40"/>
        <v>0</v>
      </c>
      <c r="G34" s="814">
        <f t="shared" si="40"/>
        <v>0</v>
      </c>
      <c r="H34" s="814">
        <f t="shared" si="40"/>
        <v>0</v>
      </c>
      <c r="I34" s="814">
        <f t="shared" si="40"/>
        <v>0</v>
      </c>
      <c r="J34" s="814">
        <f t="shared" si="40"/>
        <v>0</v>
      </c>
      <c r="K34" s="814">
        <f t="shared" si="40"/>
        <v>0</v>
      </c>
      <c r="L34" s="814">
        <f t="shared" si="40"/>
        <v>0</v>
      </c>
      <c r="M34" s="814">
        <f t="shared" si="40"/>
        <v>0</v>
      </c>
      <c r="N34" s="814">
        <f t="shared" si="40"/>
        <v>0</v>
      </c>
      <c r="O34" s="814">
        <f t="shared" si="40"/>
        <v>0</v>
      </c>
      <c r="P34" s="814">
        <f t="shared" si="40"/>
        <v>0</v>
      </c>
      <c r="Q34" s="814">
        <f t="shared" si="40"/>
        <v>0</v>
      </c>
      <c r="R34" s="814">
        <f t="shared" si="40"/>
        <v>0</v>
      </c>
      <c r="S34" s="814">
        <f t="shared" si="40"/>
        <v>0</v>
      </c>
      <c r="T34" s="814">
        <f t="shared" si="40"/>
        <v>0</v>
      </c>
      <c r="U34" s="814">
        <f t="shared" si="40"/>
        <v>0</v>
      </c>
      <c r="V34" s="814">
        <f t="shared" si="40"/>
        <v>0</v>
      </c>
      <c r="W34" s="814">
        <f t="shared" si="40"/>
        <v>0</v>
      </c>
      <c r="X34" s="814">
        <f t="shared" si="40"/>
        <v>0</v>
      </c>
      <c r="Y34" s="814">
        <f t="shared" si="40"/>
        <v>0</v>
      </c>
      <c r="Z34" s="814">
        <f t="shared" si="40"/>
        <v>0</v>
      </c>
      <c r="AA34" s="814">
        <f t="shared" si="40"/>
        <v>0</v>
      </c>
      <c r="AB34" s="814">
        <f t="shared" si="40"/>
        <v>0</v>
      </c>
      <c r="AC34" s="814">
        <f t="shared" si="40"/>
        <v>0</v>
      </c>
      <c r="AD34" s="814">
        <f t="shared" si="40"/>
        <v>0</v>
      </c>
      <c r="AE34" s="814">
        <f t="shared" si="40"/>
        <v>0</v>
      </c>
      <c r="AF34" s="815">
        <f t="shared" si="40"/>
        <v>0</v>
      </c>
      <c r="AG34" s="816">
        <f t="shared" si="40"/>
        <v>0</v>
      </c>
      <c r="AH34" s="816">
        <f t="shared" si="40"/>
        <v>0</v>
      </c>
      <c r="AI34" s="816">
        <f t="shared" si="40"/>
        <v>0</v>
      </c>
      <c r="AJ34" s="816">
        <f t="shared" si="40"/>
        <v>0</v>
      </c>
      <c r="AK34" s="816">
        <f t="shared" si="40"/>
        <v>0</v>
      </c>
      <c r="AL34" s="816">
        <f t="shared" si="40"/>
        <v>0</v>
      </c>
      <c r="AM34" s="816"/>
      <c r="AN34" s="813">
        <f t="shared" ref="AN34:BC34" si="41">INDEX(MO_RIS_NCI,0,COLUMN())</f>
        <v>0</v>
      </c>
      <c r="AO34" s="813">
        <f t="shared" si="41"/>
        <v>0</v>
      </c>
      <c r="AP34" s="813">
        <f t="shared" si="41"/>
        <v>0</v>
      </c>
      <c r="AQ34" s="813">
        <f t="shared" si="41"/>
        <v>0</v>
      </c>
      <c r="AR34" s="813">
        <f t="shared" si="41"/>
        <v>0</v>
      </c>
      <c r="AS34" s="813">
        <f t="shared" si="41"/>
        <v>0</v>
      </c>
      <c r="AT34" s="813">
        <f t="shared" si="41"/>
        <v>0</v>
      </c>
      <c r="AU34" s="813">
        <f t="shared" si="41"/>
        <v>0</v>
      </c>
      <c r="AV34" s="813">
        <f t="shared" si="41"/>
        <v>0</v>
      </c>
      <c r="AW34" s="813">
        <f t="shared" si="41"/>
        <v>0</v>
      </c>
      <c r="AX34" s="965">
        <f t="shared" si="41"/>
        <v>0</v>
      </c>
      <c r="AY34" s="817">
        <f t="shared" si="41"/>
        <v>0</v>
      </c>
      <c r="AZ34" s="817">
        <f t="shared" si="41"/>
        <v>0</v>
      </c>
      <c r="BA34" s="817">
        <f t="shared" si="41"/>
        <v>0</v>
      </c>
      <c r="BB34" s="817">
        <f t="shared" si="41"/>
        <v>0</v>
      </c>
      <c r="BC34" s="817">
        <f t="shared" si="41"/>
        <v>0</v>
      </c>
      <c r="BD34" s="684"/>
    </row>
    <row r="35" spans="1:56" s="56" customFormat="1" x14ac:dyDescent="0.25">
      <c r="A35" s="248" t="str">
        <f>INDEX(MO_RIS_Dividend_Prefs,0,COLUMN())</f>
        <v>Preferred stock dividends</v>
      </c>
      <c r="B35" s="249"/>
      <c r="C35" s="814">
        <f t="shared" ref="C35:AL35" si="42">INDEX(MO_RIS_Dividend_Prefs,0,COLUMN())</f>
        <v>0</v>
      </c>
      <c r="D35" s="814">
        <f t="shared" si="42"/>
        <v>0</v>
      </c>
      <c r="E35" s="814">
        <f t="shared" si="42"/>
        <v>0</v>
      </c>
      <c r="F35" s="814">
        <f t="shared" si="42"/>
        <v>0</v>
      </c>
      <c r="G35" s="814">
        <f t="shared" si="42"/>
        <v>0</v>
      </c>
      <c r="H35" s="814">
        <f t="shared" si="42"/>
        <v>0</v>
      </c>
      <c r="I35" s="814">
        <f t="shared" si="42"/>
        <v>0</v>
      </c>
      <c r="J35" s="814">
        <f t="shared" si="42"/>
        <v>0</v>
      </c>
      <c r="K35" s="814">
        <f t="shared" si="42"/>
        <v>0</v>
      </c>
      <c r="L35" s="814">
        <f t="shared" si="42"/>
        <v>0</v>
      </c>
      <c r="M35" s="814">
        <f t="shared" si="42"/>
        <v>0</v>
      </c>
      <c r="N35" s="814">
        <f t="shared" si="42"/>
        <v>0</v>
      </c>
      <c r="O35" s="814">
        <f t="shared" si="42"/>
        <v>0</v>
      </c>
      <c r="P35" s="814">
        <f t="shared" si="42"/>
        <v>0</v>
      </c>
      <c r="Q35" s="814">
        <f t="shared" si="42"/>
        <v>0</v>
      </c>
      <c r="R35" s="814">
        <f t="shared" si="42"/>
        <v>0</v>
      </c>
      <c r="S35" s="814">
        <f t="shared" si="42"/>
        <v>0</v>
      </c>
      <c r="T35" s="814">
        <f t="shared" si="42"/>
        <v>0</v>
      </c>
      <c r="U35" s="814">
        <f t="shared" si="42"/>
        <v>0</v>
      </c>
      <c r="V35" s="814">
        <f t="shared" si="42"/>
        <v>0</v>
      </c>
      <c r="W35" s="814">
        <f t="shared" si="42"/>
        <v>0</v>
      </c>
      <c r="X35" s="814">
        <f t="shared" si="42"/>
        <v>0</v>
      </c>
      <c r="Y35" s="814">
        <f t="shared" si="42"/>
        <v>0</v>
      </c>
      <c r="Z35" s="814">
        <f t="shared" si="42"/>
        <v>0</v>
      </c>
      <c r="AA35" s="814">
        <f t="shared" si="42"/>
        <v>0</v>
      </c>
      <c r="AB35" s="814">
        <f t="shared" si="42"/>
        <v>0</v>
      </c>
      <c r="AC35" s="814">
        <f t="shared" si="42"/>
        <v>0</v>
      </c>
      <c r="AD35" s="814">
        <f t="shared" si="42"/>
        <v>0</v>
      </c>
      <c r="AE35" s="814">
        <f t="shared" si="42"/>
        <v>0</v>
      </c>
      <c r="AF35" s="815">
        <f t="shared" si="42"/>
        <v>0</v>
      </c>
      <c r="AG35" s="816">
        <f t="shared" si="42"/>
        <v>0</v>
      </c>
      <c r="AH35" s="816">
        <f t="shared" si="42"/>
        <v>0</v>
      </c>
      <c r="AI35" s="816">
        <f t="shared" si="42"/>
        <v>0</v>
      </c>
      <c r="AJ35" s="816">
        <f t="shared" si="42"/>
        <v>0</v>
      </c>
      <c r="AK35" s="816">
        <f t="shared" si="42"/>
        <v>0</v>
      </c>
      <c r="AL35" s="816">
        <f t="shared" si="42"/>
        <v>0</v>
      </c>
      <c r="AM35" s="816"/>
      <c r="AN35" s="813">
        <f t="shared" ref="AN35:BC35" si="43">INDEX(MO_RIS_Dividend_Prefs,0,COLUMN())</f>
        <v>0</v>
      </c>
      <c r="AO35" s="813">
        <f t="shared" si="43"/>
        <v>0</v>
      </c>
      <c r="AP35" s="813">
        <f t="shared" si="43"/>
        <v>0</v>
      </c>
      <c r="AQ35" s="813">
        <f t="shared" si="43"/>
        <v>0</v>
      </c>
      <c r="AR35" s="813">
        <f t="shared" si="43"/>
        <v>0</v>
      </c>
      <c r="AS35" s="813">
        <f t="shared" si="43"/>
        <v>0</v>
      </c>
      <c r="AT35" s="813">
        <f t="shared" si="43"/>
        <v>0</v>
      </c>
      <c r="AU35" s="813">
        <f t="shared" si="43"/>
        <v>0</v>
      </c>
      <c r="AV35" s="813">
        <f t="shared" si="43"/>
        <v>0</v>
      </c>
      <c r="AW35" s="813">
        <f t="shared" si="43"/>
        <v>0</v>
      </c>
      <c r="AX35" s="965">
        <f t="shared" si="43"/>
        <v>0</v>
      </c>
      <c r="AY35" s="817">
        <f t="shared" si="43"/>
        <v>0</v>
      </c>
      <c r="AZ35" s="817">
        <f t="shared" si="43"/>
        <v>0</v>
      </c>
      <c r="BA35" s="817">
        <f t="shared" si="43"/>
        <v>0</v>
      </c>
      <c r="BB35" s="817">
        <f t="shared" si="43"/>
        <v>0</v>
      </c>
      <c r="BC35" s="817">
        <f t="shared" si="43"/>
        <v>0</v>
      </c>
      <c r="BD35" s="684"/>
    </row>
    <row r="36" spans="1:56" s="58" customFormat="1" x14ac:dyDescent="0.25">
      <c r="A36" s="250" t="str">
        <f>INDEX(MO_RIS_NI_ContinOp,0,COLUMN())</f>
        <v>Net Income from Continued Operation</v>
      </c>
      <c r="B36" s="251"/>
      <c r="C36" s="819">
        <f t="shared" ref="C36:AL36" si="44">INDEX(SP_GF_EBT,0,COLUMN())-INDEX(SP_GF_Tax,0,COLUMN())-INDEX(SP_GF_DisCont,0,COLUMN())-INDEX(SP_GF_NCI,0,COLUMN())-INDEX(SP_GF_Div_Prefs,0,COLUMN())</f>
        <v>4.9250000000000096</v>
      </c>
      <c r="D36" s="819">
        <f t="shared" si="44"/>
        <v>5.2469999999999981</v>
      </c>
      <c r="E36" s="819">
        <f t="shared" si="44"/>
        <v>6.143000000000014</v>
      </c>
      <c r="F36" s="819">
        <f t="shared" si="44"/>
        <v>7.4410000000000656</v>
      </c>
      <c r="G36" s="819">
        <f t="shared" si="44"/>
        <v>4.3169999999999913</v>
      </c>
      <c r="H36" s="819">
        <f t="shared" si="44"/>
        <v>8.1130000000000173</v>
      </c>
      <c r="I36" s="819">
        <f t="shared" si="44"/>
        <v>7.2439999999999971</v>
      </c>
      <c r="J36" s="819">
        <f t="shared" si="44"/>
        <v>7.4240000000000963</v>
      </c>
      <c r="K36" s="819">
        <f t="shared" si="44"/>
        <v>4.1070000000000029</v>
      </c>
      <c r="L36" s="819">
        <f t="shared" si="44"/>
        <v>4.7140000000000004</v>
      </c>
      <c r="M36" s="819">
        <f t="shared" si="44"/>
        <v>3.7160000000000033</v>
      </c>
      <c r="N36" s="819">
        <f t="shared" si="44"/>
        <v>6.2519999999999474</v>
      </c>
      <c r="O36" s="819">
        <f t="shared" si="44"/>
        <v>3.8000000000000069</v>
      </c>
      <c r="P36" s="819">
        <f t="shared" si="44"/>
        <v>4.9130000000000011</v>
      </c>
      <c r="Q36" s="819">
        <f t="shared" si="44"/>
        <v>4.8019999999999889</v>
      </c>
      <c r="R36" s="819">
        <f t="shared" si="44"/>
        <v>6.7319999999999967</v>
      </c>
      <c r="S36" s="819">
        <f t="shared" si="44"/>
        <v>4.0860000000000039</v>
      </c>
      <c r="T36" s="819">
        <f t="shared" si="44"/>
        <v>5.8630000000000084</v>
      </c>
      <c r="U36" s="819">
        <f t="shared" si="44"/>
        <v>3.2810000000000032</v>
      </c>
      <c r="V36" s="819">
        <f t="shared" si="44"/>
        <v>-0.33899999999995467</v>
      </c>
      <c r="W36" s="819">
        <f t="shared" si="44"/>
        <v>2.6320000000000019</v>
      </c>
      <c r="X36" s="819">
        <f t="shared" si="44"/>
        <v>3.5750000000000037</v>
      </c>
      <c r="Y36" s="819">
        <f t="shared" si="44"/>
        <v>3.2440000000000033</v>
      </c>
      <c r="Z36" s="819">
        <f t="shared" si="44"/>
        <v>0.38500000000003487</v>
      </c>
      <c r="AA36" s="819">
        <f t="shared" si="44"/>
        <v>0.33400000000001229</v>
      </c>
      <c r="AB36" s="819">
        <f t="shared" si="44"/>
        <v>3.2190000000000198</v>
      </c>
      <c r="AC36" s="819">
        <f t="shared" si="44"/>
        <v>2.1409999999999951</v>
      </c>
      <c r="AD36" s="819">
        <f t="shared" si="44"/>
        <v>9.4949999999999157</v>
      </c>
      <c r="AE36" s="819">
        <f t="shared" si="44"/>
        <v>-1.2939999999999863</v>
      </c>
      <c r="AF36" s="820">
        <f t="shared" si="44"/>
        <v>-0.60599999999999565</v>
      </c>
      <c r="AG36" s="819">
        <f t="shared" si="44"/>
        <v>1.23807856480874</v>
      </c>
      <c r="AH36" s="819">
        <f t="shared" ca="1" si="44"/>
        <v>2.5863910956246432</v>
      </c>
      <c r="AI36" s="819">
        <f t="shared" ca="1" si="44"/>
        <v>1.2931533857330186</v>
      </c>
      <c r="AJ36" s="819">
        <f t="shared" ca="1" si="44"/>
        <v>1.7453102945835073</v>
      </c>
      <c r="AK36" s="819">
        <f t="shared" ca="1" si="44"/>
        <v>2.0989242835031243</v>
      </c>
      <c r="AL36" s="819">
        <f t="shared" ca="1" si="44"/>
        <v>4.5916609376293351</v>
      </c>
      <c r="AM36" s="819"/>
      <c r="AN36" s="818">
        <f t="shared" ref="AN36:BC36" si="45">INDEX(SP_GF_EBT,0,COLUMN())-INDEX(SP_GF_Tax,0,COLUMN())-INDEX(SP_GF_DisCont,0,COLUMN())-INDEX(SP_GF_NCI,0,COLUMN())-INDEX(SP_GF_Div_Prefs,0,COLUMN())</f>
        <v>-1.1899999999999933</v>
      </c>
      <c r="AO36" s="818">
        <f t="shared" si="45"/>
        <v>12.731999999999987</v>
      </c>
      <c r="AP36" s="818">
        <f t="shared" si="45"/>
        <v>17.859999999999964</v>
      </c>
      <c r="AQ36" s="818">
        <f t="shared" si="45"/>
        <v>22.688000000000006</v>
      </c>
      <c r="AR36" s="818">
        <f t="shared" si="45"/>
        <v>23.756000000000057</v>
      </c>
      <c r="AS36" s="818">
        <f t="shared" si="45"/>
        <v>27.098000000000027</v>
      </c>
      <c r="AT36" s="818">
        <f t="shared" si="45"/>
        <v>18.78899999999997</v>
      </c>
      <c r="AU36" s="818">
        <f t="shared" si="45"/>
        <v>20.247000000000028</v>
      </c>
      <c r="AV36" s="818">
        <f t="shared" si="45"/>
        <v>12.891000000000036</v>
      </c>
      <c r="AW36" s="818">
        <f t="shared" si="45"/>
        <v>9.8359999999999896</v>
      </c>
      <c r="AX36" s="966">
        <f t="shared" si="45"/>
        <v>15.188999999999933</v>
      </c>
      <c r="AY36" s="818">
        <f t="shared" ca="1" si="45"/>
        <v>1.9244696604333726</v>
      </c>
      <c r="AZ36" s="818">
        <f t="shared" ca="1" si="45"/>
        <v>9.7290489014490404</v>
      </c>
      <c r="BA36" s="818">
        <f t="shared" ca="1" si="45"/>
        <v>17.375124508191089</v>
      </c>
      <c r="BB36" s="818">
        <f t="shared" ca="1" si="45"/>
        <v>24.838950055519774</v>
      </c>
      <c r="BC36" s="818">
        <f t="shared" ca="1" si="45"/>
        <v>26.458749004061861</v>
      </c>
      <c r="BD36" s="685"/>
    </row>
    <row r="37" spans="1:56" s="57" customFormat="1" x14ac:dyDescent="0.25">
      <c r="A37" s="261" t="s">
        <v>92</v>
      </c>
      <c r="B37" s="262"/>
      <c r="C37" s="476">
        <f t="shared" ref="C37:AL37" si="46">INDEX(SP_GF_NI,0,COLUMN())/INDEX(SP_CS_ShareCount,0,COLUMN())</f>
        <v>0.25523424543946982</v>
      </c>
      <c r="D37" s="476">
        <f t="shared" si="46"/>
        <v>0.27138719354505009</v>
      </c>
      <c r="E37" s="476">
        <f t="shared" si="46"/>
        <v>0.31658420944135302</v>
      </c>
      <c r="F37" s="476">
        <f t="shared" si="46"/>
        <v>0.38324062628760125</v>
      </c>
      <c r="G37" s="476">
        <f t="shared" si="46"/>
        <v>0.22227371022551701</v>
      </c>
      <c r="H37" s="476">
        <f t="shared" si="46"/>
        <v>0.4178727787792953</v>
      </c>
      <c r="I37" s="476">
        <f t="shared" si="46"/>
        <v>0.37357537001701807</v>
      </c>
      <c r="J37" s="476">
        <f t="shared" si="46"/>
        <v>0.42824180895247443</v>
      </c>
      <c r="K37" s="476">
        <f t="shared" si="46"/>
        <v>0.23722058568705615</v>
      </c>
      <c r="L37" s="476">
        <f t="shared" si="46"/>
        <v>0.27163766278667745</v>
      </c>
      <c r="M37" s="476">
        <f t="shared" si="46"/>
        <v>0.21514590088003727</v>
      </c>
      <c r="N37" s="476">
        <f t="shared" si="46"/>
        <v>0.36520824814533254</v>
      </c>
      <c r="O37" s="476">
        <f t="shared" si="46"/>
        <v>0.22577386964529778</v>
      </c>
      <c r="P37" s="476">
        <f t="shared" si="46"/>
        <v>0.29190184778088057</v>
      </c>
      <c r="Q37" s="476">
        <f t="shared" si="46"/>
        <v>0.28673792321012653</v>
      </c>
      <c r="R37" s="476">
        <f t="shared" si="46"/>
        <v>0.40023781212841836</v>
      </c>
      <c r="S37" s="476">
        <f t="shared" si="46"/>
        <v>0.24262217208004297</v>
      </c>
      <c r="T37" s="476">
        <f t="shared" si="46"/>
        <v>0.34830392681043243</v>
      </c>
      <c r="U37" s="476">
        <f t="shared" si="46"/>
        <v>0.19418797348484867</v>
      </c>
      <c r="V37" s="476">
        <f t="shared" si="46"/>
        <v>-2.0039014009573485E-2</v>
      </c>
      <c r="W37" s="476">
        <f t="shared" si="46"/>
        <v>0.1574821994854306</v>
      </c>
      <c r="X37" s="476">
        <f t="shared" si="46"/>
        <v>0.21534847298355544</v>
      </c>
      <c r="Y37" s="476">
        <f t="shared" si="46"/>
        <v>0.19509261486649046</v>
      </c>
      <c r="Z37" s="476">
        <f t="shared" si="46"/>
        <v>2.312034590439796E-2</v>
      </c>
      <c r="AA37" s="476">
        <f t="shared" si="46"/>
        <v>1.9996407830929312E-2</v>
      </c>
      <c r="AB37" s="476">
        <f t="shared" si="46"/>
        <v>0.19183551847437544</v>
      </c>
      <c r="AC37" s="476">
        <f t="shared" si="46"/>
        <v>0.12639471043154821</v>
      </c>
      <c r="AD37" s="476">
        <f t="shared" si="46"/>
        <v>0.55787309048178124</v>
      </c>
      <c r="AE37" s="476">
        <f t="shared" si="46"/>
        <v>-7.5597359350352639E-2</v>
      </c>
      <c r="AF37" s="693">
        <f t="shared" si="46"/>
        <v>-3.5218225140930759E-2</v>
      </c>
      <c r="AG37" s="140">
        <f t="shared" ca="1" si="46"/>
        <v>7.1952029104942167E-2</v>
      </c>
      <c r="AH37" s="140">
        <f t="shared" ca="1" si="46"/>
        <v>0.15031040248879196</v>
      </c>
      <c r="AI37" s="140">
        <f t="shared" ca="1" si="46"/>
        <v>7.5152750957925174E-2</v>
      </c>
      <c r="AJ37" s="140">
        <f t="shared" ca="1" si="46"/>
        <v>0.10143024900235412</v>
      </c>
      <c r="AK37" s="140">
        <f t="shared" ca="1" si="46"/>
        <v>0.12198083823462104</v>
      </c>
      <c r="AL37" s="140">
        <f t="shared" ca="1" si="46"/>
        <v>0.26684843015222498</v>
      </c>
      <c r="AM37" s="140"/>
      <c r="AN37" s="472">
        <f t="shared" ref="AN37:BC37" si="47">INDEX(SP_GF_NI,0,COLUMN())/INDEX(SP_CS_ShareCount,0,COLUMN())</f>
        <v>-7.4791025076990342E-2</v>
      </c>
      <c r="AO37" s="472">
        <f t="shared" si="47"/>
        <v>0.67980137754284731</v>
      </c>
      <c r="AP37" s="472">
        <f t="shared" si="47"/>
        <v>0.93950552340873028</v>
      </c>
      <c r="AQ37" s="472">
        <f t="shared" si="47"/>
        <v>1.177068741893645</v>
      </c>
      <c r="AR37" s="472">
        <f t="shared" si="47"/>
        <v>1.2269393657680023</v>
      </c>
      <c r="AS37" s="472">
        <f t="shared" si="47"/>
        <v>1.4347434743474361</v>
      </c>
      <c r="AT37" s="472">
        <f t="shared" si="47"/>
        <v>1.0883341056533811</v>
      </c>
      <c r="AU37" s="472">
        <f t="shared" si="47"/>
        <v>1.2058245488654653</v>
      </c>
      <c r="AV37" s="472">
        <f t="shared" si="47"/>
        <v>0.76400165945593757</v>
      </c>
      <c r="AW37" s="472">
        <f t="shared" si="47"/>
        <v>0.58912314326784787</v>
      </c>
      <c r="AX37" s="964">
        <f t="shared" si="47"/>
        <v>0.90083624933277573</v>
      </c>
      <c r="AY37" s="135">
        <f t="shared" ca="1" si="47"/>
        <v>0.11198869099673384</v>
      </c>
      <c r="AZ37" s="135">
        <f t="shared" ca="1" si="47"/>
        <v>0.56541226834712854</v>
      </c>
      <c r="BA37" s="135">
        <f t="shared" ca="1" si="47"/>
        <v>1.0097707042593762</v>
      </c>
      <c r="BB37" s="135">
        <f t="shared" ca="1" si="47"/>
        <v>1.4435375170291029</v>
      </c>
      <c r="BC37" s="135">
        <f t="shared" ca="1" si="47"/>
        <v>1.5376735633208496</v>
      </c>
      <c r="BD37" s="140"/>
    </row>
    <row r="38" spans="1:56" s="56" customFormat="1" x14ac:dyDescent="0.25">
      <c r="A38" s="248"/>
      <c r="B38" s="249"/>
      <c r="C38" s="814"/>
      <c r="D38" s="814"/>
      <c r="E38" s="814"/>
      <c r="F38" s="814"/>
      <c r="G38" s="814"/>
      <c r="H38" s="814"/>
      <c r="I38" s="814"/>
      <c r="J38" s="814"/>
      <c r="K38" s="814"/>
      <c r="L38" s="814"/>
      <c r="M38" s="814"/>
      <c r="N38" s="814"/>
      <c r="O38" s="814"/>
      <c r="P38" s="814"/>
      <c r="Q38" s="814"/>
      <c r="R38" s="814"/>
      <c r="S38" s="814"/>
      <c r="T38" s="814"/>
      <c r="U38" s="814"/>
      <c r="V38" s="814"/>
      <c r="W38" s="814"/>
      <c r="X38" s="814"/>
      <c r="Y38" s="814"/>
      <c r="Z38" s="814"/>
      <c r="AA38" s="814"/>
      <c r="AB38" s="814"/>
      <c r="AC38" s="814"/>
      <c r="AD38" s="814"/>
      <c r="AE38" s="814"/>
      <c r="AF38" s="815"/>
      <c r="AG38" s="816"/>
      <c r="AH38" s="816"/>
      <c r="AI38" s="816"/>
      <c r="AJ38" s="816"/>
      <c r="AK38" s="816"/>
      <c r="AL38" s="816"/>
      <c r="AM38" s="816"/>
      <c r="AN38" s="813"/>
      <c r="AO38" s="813"/>
      <c r="AP38" s="813"/>
      <c r="AQ38" s="813"/>
      <c r="AR38" s="813"/>
      <c r="AS38" s="813"/>
      <c r="AT38" s="813"/>
      <c r="AU38" s="813"/>
      <c r="AV38" s="813"/>
      <c r="AW38" s="813"/>
      <c r="AX38" s="965"/>
      <c r="AY38" s="817"/>
      <c r="AZ38" s="817"/>
      <c r="BA38" s="817"/>
      <c r="BB38" s="817"/>
      <c r="BC38" s="817"/>
      <c r="BD38" s="684"/>
    </row>
    <row r="39" spans="1:56" x14ac:dyDescent="0.25">
      <c r="A39" s="130" t="s">
        <v>305</v>
      </c>
      <c r="B39" s="131"/>
      <c r="C39" s="477"/>
      <c r="D39" s="477"/>
      <c r="E39" s="477"/>
      <c r="F39" s="477"/>
      <c r="G39" s="477"/>
      <c r="H39" s="477"/>
      <c r="I39" s="477"/>
      <c r="J39" s="477"/>
      <c r="K39" s="477"/>
      <c r="L39" s="477"/>
      <c r="M39" s="477"/>
      <c r="N39" s="477"/>
      <c r="O39" s="477"/>
      <c r="P39" s="477"/>
      <c r="Q39" s="477"/>
      <c r="R39" s="477"/>
      <c r="S39" s="477"/>
      <c r="T39" s="477"/>
      <c r="U39" s="477"/>
      <c r="V39" s="477"/>
      <c r="W39" s="477"/>
      <c r="X39" s="477"/>
      <c r="Y39" s="477"/>
      <c r="Z39" s="477"/>
      <c r="AA39" s="477"/>
      <c r="AB39" s="477"/>
      <c r="AC39" s="477"/>
      <c r="AD39" s="477"/>
      <c r="AE39" s="477"/>
      <c r="AF39" s="694"/>
      <c r="AG39" s="131"/>
      <c r="AH39" s="131"/>
      <c r="AI39" s="131"/>
      <c r="AJ39" s="131"/>
      <c r="AK39" s="131"/>
      <c r="AL39" s="131"/>
      <c r="AM39" s="131"/>
      <c r="AN39" s="477"/>
      <c r="AO39" s="477"/>
      <c r="AP39" s="477"/>
      <c r="AQ39" s="477"/>
      <c r="AR39" s="477"/>
      <c r="AS39" s="477"/>
      <c r="AT39" s="477"/>
      <c r="AU39" s="477"/>
      <c r="AV39" s="477"/>
      <c r="AW39" s="477"/>
      <c r="AX39" s="694"/>
      <c r="AY39" s="131"/>
      <c r="AZ39" s="131"/>
      <c r="BA39" s="131"/>
      <c r="BB39" s="131"/>
      <c r="BC39" s="131"/>
      <c r="BD39" s="263"/>
    </row>
    <row r="40" spans="1:56" s="58" customFormat="1" x14ac:dyDescent="0.25">
      <c r="A40" s="247" t="str">
        <f>INDEX(MO_RIS_EBITDA_Adj,0,COLUMN())</f>
        <v>Adjusted EBITDA</v>
      </c>
      <c r="B40" s="252"/>
      <c r="C40" s="822">
        <f t="shared" ref="C40:AL40" si="48">INDEX(MO_RIS_EBITDA_Adj,0,COLUMN())</f>
        <v>10.47900000000001</v>
      </c>
      <c r="D40" s="822">
        <f t="shared" si="48"/>
        <v>11.600999999999996</v>
      </c>
      <c r="E40" s="822">
        <f t="shared" si="48"/>
        <v>13.607000000000006</v>
      </c>
      <c r="F40" s="822">
        <f t="shared" si="48"/>
        <v>15.457000000000075</v>
      </c>
      <c r="G40" s="822">
        <f t="shared" si="48"/>
        <v>10.85199999999999</v>
      </c>
      <c r="H40" s="822">
        <f t="shared" si="48"/>
        <v>17.60100000000001</v>
      </c>
      <c r="I40" s="822">
        <f t="shared" si="48"/>
        <v>14.957999999999998</v>
      </c>
      <c r="J40" s="822">
        <f t="shared" si="48"/>
        <v>14.826000000000091</v>
      </c>
      <c r="K40" s="822">
        <f t="shared" si="48"/>
        <v>10.514000000000006</v>
      </c>
      <c r="L40" s="822">
        <f t="shared" si="48"/>
        <v>11.27000000000001</v>
      </c>
      <c r="M40" s="822">
        <f t="shared" si="48"/>
        <v>9.7740000000000009</v>
      </c>
      <c r="N40" s="822">
        <f t="shared" si="48"/>
        <v>13.369999999999946</v>
      </c>
      <c r="O40" s="822">
        <f t="shared" si="48"/>
        <v>9.513000000000007</v>
      </c>
      <c r="P40" s="822">
        <f t="shared" si="48"/>
        <v>11.430000000000007</v>
      </c>
      <c r="Q40" s="822">
        <f t="shared" si="48"/>
        <v>11.038999999999991</v>
      </c>
      <c r="R40" s="822">
        <f t="shared" si="48"/>
        <v>12.159000000000001</v>
      </c>
      <c r="S40" s="822">
        <f t="shared" si="48"/>
        <v>9.7550000000000061</v>
      </c>
      <c r="T40" s="822">
        <f t="shared" si="48"/>
        <v>13.908000000000003</v>
      </c>
      <c r="U40" s="822">
        <f t="shared" si="48"/>
        <v>12.392999999999997</v>
      </c>
      <c r="V40" s="822">
        <f t="shared" si="48"/>
        <v>12.211</v>
      </c>
      <c r="W40" s="822">
        <f t="shared" si="48"/>
        <v>8.142000000000003</v>
      </c>
      <c r="X40" s="822">
        <f t="shared" si="48"/>
        <v>11.768000000000006</v>
      </c>
      <c r="Y40" s="822">
        <f t="shared" si="48"/>
        <v>9.8129999999999953</v>
      </c>
      <c r="Z40" s="822">
        <f t="shared" si="48"/>
        <v>7.4950000000000294</v>
      </c>
      <c r="AA40" s="822">
        <f t="shared" si="48"/>
        <v>8.7710000000000203</v>
      </c>
      <c r="AB40" s="822">
        <f t="shared" si="48"/>
        <v>10.435000000000018</v>
      </c>
      <c r="AC40" s="822">
        <f t="shared" si="48"/>
        <v>10.758000000000001</v>
      </c>
      <c r="AD40" s="822">
        <f t="shared" si="48"/>
        <v>10.958999999999905</v>
      </c>
      <c r="AE40" s="822">
        <f t="shared" si="48"/>
        <v>3.4240000000000066</v>
      </c>
      <c r="AF40" s="823">
        <f t="shared" si="48"/>
        <v>5.9840000000000071</v>
      </c>
      <c r="AG40" s="824">
        <f t="shared" si="48"/>
        <v>5.9299999999999962</v>
      </c>
      <c r="AH40" s="824">
        <f t="shared" si="48"/>
        <v>7.7049999999999841</v>
      </c>
      <c r="AI40" s="824">
        <f t="shared" si="48"/>
        <v>5.9835414599999908</v>
      </c>
      <c r="AJ40" s="824">
        <f t="shared" si="48"/>
        <v>6.5900593499999971</v>
      </c>
      <c r="AK40" s="824">
        <f t="shared" si="48"/>
        <v>7.0519000000000105</v>
      </c>
      <c r="AL40" s="824">
        <f t="shared" si="48"/>
        <v>10.334049999999998</v>
      </c>
      <c r="AM40" s="824"/>
      <c r="AN40" s="821">
        <f t="shared" ref="AN40:BC40" si="49">INDEX(MO_RIS_EBITDA_Adj,0,COLUMN())</f>
        <v>18.793000000000006</v>
      </c>
      <c r="AO40" s="821">
        <f t="shared" si="49"/>
        <v>27.329999999999995</v>
      </c>
      <c r="AP40" s="821">
        <f t="shared" si="49"/>
        <v>37.886999999999958</v>
      </c>
      <c r="AQ40" s="821">
        <f t="shared" si="49"/>
        <v>47.657000000000004</v>
      </c>
      <c r="AR40" s="821">
        <f t="shared" si="49"/>
        <v>51.144000000000048</v>
      </c>
      <c r="AS40" s="821">
        <f t="shared" si="49"/>
        <v>58.237000000000045</v>
      </c>
      <c r="AT40" s="821">
        <f t="shared" si="49"/>
        <v>44.927999999999955</v>
      </c>
      <c r="AU40" s="821">
        <f t="shared" si="49"/>
        <v>38.064000000000036</v>
      </c>
      <c r="AV40" s="821">
        <f t="shared" si="49"/>
        <v>49.266000000000005</v>
      </c>
      <c r="AW40" s="821">
        <f t="shared" si="49"/>
        <v>37.917000000000002</v>
      </c>
      <c r="AX40" s="967">
        <f t="shared" si="49"/>
        <v>40.922999999999973</v>
      </c>
      <c r="AY40" s="825">
        <f t="shared" si="49"/>
        <v>23.042999999999992</v>
      </c>
      <c r="AZ40" s="825">
        <f t="shared" si="49"/>
        <v>29.959550809999996</v>
      </c>
      <c r="BA40" s="825">
        <f t="shared" si="49"/>
        <v>40.003054120000016</v>
      </c>
      <c r="BB40" s="825">
        <f t="shared" si="49"/>
        <v>49.77748428000011</v>
      </c>
      <c r="BC40" s="825">
        <f t="shared" si="49"/>
        <v>51.846358493999958</v>
      </c>
      <c r="BD40" s="685"/>
    </row>
    <row r="41" spans="1:56" s="58" customFormat="1" x14ac:dyDescent="0.25">
      <c r="A41" s="247" t="str">
        <f>INDEX(MO_RIS_NI_NONGAAP_Diluted,0,COLUMN())</f>
        <v>Adjusted Net Income</v>
      </c>
      <c r="B41" s="252"/>
      <c r="C41" s="822">
        <f t="shared" ref="C41:AL41" si="50">INDEX(MO_RIS_NI_NONGAAP_Diluted,0,COLUMN())</f>
        <v>4.9250000000000096</v>
      </c>
      <c r="D41" s="822">
        <f t="shared" si="50"/>
        <v>5.2469999999999981</v>
      </c>
      <c r="E41" s="822">
        <f t="shared" si="50"/>
        <v>6.143000000000014</v>
      </c>
      <c r="F41" s="822">
        <f t="shared" si="50"/>
        <v>7.4410000000000656</v>
      </c>
      <c r="G41" s="822">
        <f t="shared" si="50"/>
        <v>4.3169999999999913</v>
      </c>
      <c r="H41" s="822">
        <f t="shared" si="50"/>
        <v>8.1130000000000173</v>
      </c>
      <c r="I41" s="822">
        <f t="shared" si="50"/>
        <v>7.2439999999999953</v>
      </c>
      <c r="J41" s="822">
        <f t="shared" si="50"/>
        <v>7.4240000000000963</v>
      </c>
      <c r="K41" s="822">
        <f t="shared" si="50"/>
        <v>4.1070000000000029</v>
      </c>
      <c r="L41" s="822">
        <f t="shared" si="50"/>
        <v>4.7140000000000022</v>
      </c>
      <c r="M41" s="822">
        <f t="shared" si="50"/>
        <v>3.7160000000000033</v>
      </c>
      <c r="N41" s="822">
        <f t="shared" si="50"/>
        <v>6.2519999999999474</v>
      </c>
      <c r="O41" s="822">
        <f t="shared" si="50"/>
        <v>3.8000000000000069</v>
      </c>
      <c r="P41" s="822">
        <f t="shared" si="50"/>
        <v>4.9130000000000011</v>
      </c>
      <c r="Q41" s="822">
        <f t="shared" si="50"/>
        <v>4.8019999999999881</v>
      </c>
      <c r="R41" s="822">
        <f t="shared" si="50"/>
        <v>6.7319999999999967</v>
      </c>
      <c r="S41" s="822">
        <f t="shared" si="50"/>
        <v>4.4228200000000042</v>
      </c>
      <c r="T41" s="822">
        <f t="shared" si="50"/>
        <v>6.8729800000000081</v>
      </c>
      <c r="U41" s="822">
        <f t="shared" si="50"/>
        <v>6.3222800000000028</v>
      </c>
      <c r="V41" s="822">
        <f t="shared" si="50"/>
        <v>6.5969700000000451</v>
      </c>
      <c r="W41" s="822">
        <f t="shared" si="50"/>
        <v>2.6320000000000019</v>
      </c>
      <c r="X41" s="822">
        <f t="shared" si="50"/>
        <v>5.5671200000000045</v>
      </c>
      <c r="Y41" s="822">
        <f t="shared" si="50"/>
        <v>4.4079600000000045</v>
      </c>
      <c r="Z41" s="822">
        <f t="shared" si="50"/>
        <v>1.8836800000000344</v>
      </c>
      <c r="AA41" s="822">
        <f t="shared" si="50"/>
        <v>2.6724200000000131</v>
      </c>
      <c r="AB41" s="822">
        <f t="shared" si="50"/>
        <v>3.7224000000000199</v>
      </c>
      <c r="AC41" s="822">
        <f t="shared" si="50"/>
        <v>4.0042899999999939</v>
      </c>
      <c r="AD41" s="822">
        <f t="shared" si="50"/>
        <v>3.8783999999999166</v>
      </c>
      <c r="AE41" s="822">
        <f t="shared" si="50"/>
        <v>-0.43814999999998605</v>
      </c>
      <c r="AF41" s="823">
        <f t="shared" si="50"/>
        <v>2.1471200000000046</v>
      </c>
      <c r="AG41" s="824">
        <f t="shared" si="50"/>
        <v>1.43807856480874</v>
      </c>
      <c r="AH41" s="824">
        <f t="shared" ca="1" si="50"/>
        <v>2.7863910956246434</v>
      </c>
      <c r="AI41" s="824">
        <f t="shared" ca="1" si="50"/>
        <v>1.4931533857330186</v>
      </c>
      <c r="AJ41" s="824">
        <f t="shared" ca="1" si="50"/>
        <v>1.9453102945835072</v>
      </c>
      <c r="AK41" s="824">
        <f t="shared" ca="1" si="50"/>
        <v>2.2989242835031245</v>
      </c>
      <c r="AL41" s="824">
        <f t="shared" ca="1" si="50"/>
        <v>4.7916609376293353</v>
      </c>
      <c r="AM41" s="824"/>
      <c r="AN41" s="821">
        <f t="shared" ref="AN41:BC41" si="51">INDEX(MO_RIS_NI_NONGAAP_Diluted,0,COLUMN())</f>
        <v>-1.1899999999999968</v>
      </c>
      <c r="AO41" s="821">
        <f t="shared" si="51"/>
        <v>12.731999999999987</v>
      </c>
      <c r="AP41" s="821">
        <f t="shared" si="51"/>
        <v>17.859999999999971</v>
      </c>
      <c r="AQ41" s="821">
        <f t="shared" si="51"/>
        <v>22.688000000000013</v>
      </c>
      <c r="AR41" s="821">
        <f t="shared" si="51"/>
        <v>23.756000000000064</v>
      </c>
      <c r="AS41" s="821">
        <f t="shared" si="51"/>
        <v>27.098000000000027</v>
      </c>
      <c r="AT41" s="821">
        <f t="shared" si="51"/>
        <v>18.78899999999997</v>
      </c>
      <c r="AU41" s="821">
        <f t="shared" si="51"/>
        <v>20.414910000000027</v>
      </c>
      <c r="AV41" s="821">
        <f t="shared" si="51"/>
        <v>24.195910000000037</v>
      </c>
      <c r="AW41" s="821">
        <f t="shared" si="51"/>
        <v>15.011759999999988</v>
      </c>
      <c r="AX41" s="967">
        <f t="shared" si="51"/>
        <v>14.177339999999932</v>
      </c>
      <c r="AY41" s="825">
        <f t="shared" ca="1" si="51"/>
        <v>5.9334396604333737</v>
      </c>
      <c r="AZ41" s="825">
        <f t="shared" ca="1" si="51"/>
        <v>10.529048901449041</v>
      </c>
      <c r="BA41" s="825">
        <f t="shared" ca="1" si="51"/>
        <v>18.175124508191089</v>
      </c>
      <c r="BB41" s="825">
        <f t="shared" ca="1" si="51"/>
        <v>25.638950055519775</v>
      </c>
      <c r="BC41" s="825">
        <f t="shared" ca="1" si="51"/>
        <v>27.258749004061862</v>
      </c>
      <c r="BD41" s="685"/>
    </row>
    <row r="42" spans="1:56" s="57" customFormat="1" x14ac:dyDescent="0.25">
      <c r="A42" s="261" t="str">
        <f>INDEX(MO_RIS_EPS_WAD_Adj,0,COLUMN())</f>
        <v>Adjusted Earnings Per Share - WAD</v>
      </c>
      <c r="B42" s="262"/>
      <c r="C42" s="476">
        <f t="shared" ref="C42:AL42" si="52">INDEX(MO_RIS_EPS_WAD_Adj,0,COLUMN())</f>
        <v>0.25523424543946982</v>
      </c>
      <c r="D42" s="476">
        <f t="shared" si="52"/>
        <v>0.27138719354505009</v>
      </c>
      <c r="E42" s="476">
        <f t="shared" si="52"/>
        <v>0.31658420944135302</v>
      </c>
      <c r="F42" s="476">
        <f t="shared" si="52"/>
        <v>0.38324062628760125</v>
      </c>
      <c r="G42" s="476">
        <f t="shared" si="52"/>
        <v>0.22227371022551701</v>
      </c>
      <c r="H42" s="476">
        <f t="shared" si="52"/>
        <v>0.4178727787792953</v>
      </c>
      <c r="I42" s="476">
        <f t="shared" si="52"/>
        <v>0.37357537001701802</v>
      </c>
      <c r="J42" s="476">
        <f t="shared" si="52"/>
        <v>0.42824180895247443</v>
      </c>
      <c r="K42" s="476">
        <f t="shared" si="52"/>
        <v>0.23722058568705615</v>
      </c>
      <c r="L42" s="476">
        <f t="shared" si="52"/>
        <v>0.27163766278667756</v>
      </c>
      <c r="M42" s="476">
        <f t="shared" si="52"/>
        <v>0.21514590088003727</v>
      </c>
      <c r="N42" s="476">
        <f t="shared" si="52"/>
        <v>0.36520824814533254</v>
      </c>
      <c r="O42" s="476">
        <f t="shared" si="52"/>
        <v>0.22577386964529778</v>
      </c>
      <c r="P42" s="476">
        <f t="shared" si="52"/>
        <v>0.29190184778088057</v>
      </c>
      <c r="Q42" s="476">
        <f t="shared" si="52"/>
        <v>0.28673792321012648</v>
      </c>
      <c r="R42" s="476">
        <f t="shared" si="52"/>
        <v>0.40023781212841836</v>
      </c>
      <c r="S42" s="476">
        <f t="shared" si="52"/>
        <v>0.26262217208004296</v>
      </c>
      <c r="T42" s="476">
        <f t="shared" si="52"/>
        <v>0.40830392681043243</v>
      </c>
      <c r="U42" s="476">
        <f t="shared" si="52"/>
        <v>0.37418797348484861</v>
      </c>
      <c r="V42" s="476">
        <f t="shared" si="52"/>
        <v>0.38996098599042645</v>
      </c>
      <c r="W42" s="476">
        <f t="shared" si="52"/>
        <v>0.1574821994854306</v>
      </c>
      <c r="X42" s="476">
        <f t="shared" si="52"/>
        <v>0.33534847298355552</v>
      </c>
      <c r="Y42" s="476">
        <f t="shared" si="52"/>
        <v>0.26509261486649055</v>
      </c>
      <c r="Z42" s="476">
        <f t="shared" si="52"/>
        <v>0.11312034590439793</v>
      </c>
      <c r="AA42" s="476">
        <f t="shared" si="52"/>
        <v>0.15999640783092936</v>
      </c>
      <c r="AB42" s="476">
        <f t="shared" si="52"/>
        <v>0.22183551847437544</v>
      </c>
      <c r="AC42" s="476">
        <f t="shared" si="52"/>
        <v>0.23639471043154814</v>
      </c>
      <c r="AD42" s="476">
        <f t="shared" si="52"/>
        <v>0.22787309048178123</v>
      </c>
      <c r="AE42" s="476">
        <f t="shared" si="52"/>
        <v>-2.5597359350352632E-2</v>
      </c>
      <c r="AF42" s="693">
        <f t="shared" si="52"/>
        <v>0.12478177485906924</v>
      </c>
      <c r="AG42" s="140">
        <f t="shared" ca="1" si="52"/>
        <v>8.3575205719110826E-2</v>
      </c>
      <c r="AH42" s="140">
        <f t="shared" ca="1" si="52"/>
        <v>0.16193357910296061</v>
      </c>
      <c r="AI42" s="140">
        <f t="shared" ca="1" si="52"/>
        <v>8.6775927572093833E-2</v>
      </c>
      <c r="AJ42" s="140">
        <f t="shared" ca="1" si="52"/>
        <v>0.11305342561652276</v>
      </c>
      <c r="AK42" s="140">
        <f t="shared" ca="1" si="52"/>
        <v>0.1336040148487897</v>
      </c>
      <c r="AL42" s="140">
        <f t="shared" ca="1" si="52"/>
        <v>0.2784716067663936</v>
      </c>
      <c r="AM42" s="140"/>
      <c r="AN42" s="472">
        <f t="shared" ref="AN42:BC42" si="53">INDEX(MO_RIS_EPS_WAD_Adj,0,COLUMN())</f>
        <v>-7.4791025076990564E-2</v>
      </c>
      <c r="AO42" s="472">
        <f t="shared" si="53"/>
        <v>0.67980137754284731</v>
      </c>
      <c r="AP42" s="472">
        <f t="shared" si="53"/>
        <v>0.93950552340873061</v>
      </c>
      <c r="AQ42" s="472">
        <f t="shared" si="53"/>
        <v>1.1770687418936454</v>
      </c>
      <c r="AR42" s="472">
        <f t="shared" si="53"/>
        <v>1.2269393657680026</v>
      </c>
      <c r="AS42" s="472">
        <f t="shared" si="53"/>
        <v>1.4347434743474361</v>
      </c>
      <c r="AT42" s="472">
        <f t="shared" si="53"/>
        <v>1.0883341056533811</v>
      </c>
      <c r="AU42" s="472">
        <f t="shared" si="53"/>
        <v>1.2158245488654653</v>
      </c>
      <c r="AV42" s="472">
        <f t="shared" si="53"/>
        <v>1.4340016594559377</v>
      </c>
      <c r="AW42" s="472">
        <f t="shared" si="53"/>
        <v>0.89912314326784781</v>
      </c>
      <c r="AX42" s="964">
        <f t="shared" si="53"/>
        <v>0.84083624933277568</v>
      </c>
      <c r="AY42" s="135">
        <f t="shared" ca="1" si="53"/>
        <v>0.34527857432182335</v>
      </c>
      <c r="AZ42" s="135">
        <f t="shared" ca="1" si="53"/>
        <v>0.61190497480380313</v>
      </c>
      <c r="BA42" s="135">
        <f t="shared" ca="1" si="53"/>
        <v>1.0562634107160509</v>
      </c>
      <c r="BB42" s="135">
        <f t="shared" ca="1" si="53"/>
        <v>1.4900302234857776</v>
      </c>
      <c r="BC42" s="135">
        <f t="shared" ca="1" si="53"/>
        <v>1.5841662697775243</v>
      </c>
      <c r="BD42" s="140"/>
    </row>
    <row r="43" spans="1:56" x14ac:dyDescent="0.25">
      <c r="A43" s="263"/>
      <c r="B43" s="254"/>
      <c r="C43" s="479"/>
      <c r="D43" s="479"/>
      <c r="E43" s="479"/>
      <c r="F43" s="479"/>
      <c r="G43" s="479"/>
      <c r="H43" s="479"/>
      <c r="I43" s="479"/>
      <c r="J43" s="479"/>
      <c r="K43" s="479"/>
      <c r="L43" s="479"/>
      <c r="M43" s="479"/>
      <c r="N43" s="479"/>
      <c r="O43" s="479"/>
      <c r="P43" s="479"/>
      <c r="Q43" s="479"/>
      <c r="R43" s="480"/>
      <c r="S43" s="479"/>
      <c r="T43" s="479"/>
      <c r="U43" s="479"/>
      <c r="V43" s="480"/>
      <c r="W43" s="479"/>
      <c r="X43" s="479"/>
      <c r="Y43" s="479"/>
      <c r="Z43" s="480"/>
      <c r="AA43" s="479"/>
      <c r="AB43" s="479"/>
      <c r="AC43" s="479"/>
      <c r="AD43" s="480"/>
      <c r="AE43" s="479"/>
      <c r="AF43" s="695"/>
      <c r="AG43" s="141"/>
      <c r="AH43" s="142"/>
      <c r="AI43" s="141"/>
      <c r="AJ43" s="141"/>
      <c r="AK43" s="141"/>
      <c r="AL43" s="142"/>
      <c r="AM43" s="142"/>
      <c r="AN43" s="478"/>
      <c r="AO43" s="478"/>
      <c r="AP43" s="478"/>
      <c r="AQ43" s="478"/>
      <c r="AR43" s="478"/>
      <c r="AS43" s="478"/>
      <c r="AT43" s="478"/>
      <c r="AU43" s="481"/>
      <c r="AV43" s="481"/>
      <c r="AW43" s="481"/>
      <c r="AX43" s="969"/>
      <c r="AY43" s="143"/>
      <c r="AZ43" s="143"/>
      <c r="BA43" s="143"/>
      <c r="BB43" s="143"/>
      <c r="BC43" s="143"/>
      <c r="BD43" s="263"/>
    </row>
    <row r="44" spans="1:56" x14ac:dyDescent="0.25">
      <c r="A44" s="132" t="s">
        <v>47</v>
      </c>
      <c r="B44" s="686"/>
      <c r="C44" s="826"/>
      <c r="D44" s="826"/>
      <c r="E44" s="826"/>
      <c r="F44" s="826"/>
      <c r="G44" s="826"/>
      <c r="H44" s="826"/>
      <c r="I44" s="826"/>
      <c r="J44" s="826"/>
      <c r="K44" s="826"/>
      <c r="L44" s="826"/>
      <c r="M44" s="826"/>
      <c r="N44" s="826"/>
      <c r="O44" s="826"/>
      <c r="P44" s="826"/>
      <c r="Q44" s="826"/>
      <c r="R44" s="826"/>
      <c r="S44" s="826"/>
      <c r="T44" s="826"/>
      <c r="U44" s="826"/>
      <c r="V44" s="826"/>
      <c r="W44" s="826"/>
      <c r="X44" s="826"/>
      <c r="Y44" s="826"/>
      <c r="Z44" s="826"/>
      <c r="AA44" s="826"/>
      <c r="AB44" s="826"/>
      <c r="AC44" s="826"/>
      <c r="AD44" s="826"/>
      <c r="AE44" s="826"/>
      <c r="AF44" s="827"/>
      <c r="AG44" s="828"/>
      <c r="AH44" s="828"/>
      <c r="AI44" s="828"/>
      <c r="AJ44" s="828"/>
      <c r="AK44" s="828"/>
      <c r="AL44" s="828"/>
      <c r="AM44" s="828"/>
      <c r="AN44" s="826"/>
      <c r="AO44" s="826"/>
      <c r="AP44" s="826"/>
      <c r="AQ44" s="826"/>
      <c r="AR44" s="826"/>
      <c r="AS44" s="826"/>
      <c r="AT44" s="826"/>
      <c r="AU44" s="826"/>
      <c r="AV44" s="826"/>
      <c r="AW44" s="826"/>
      <c r="AX44" s="827"/>
      <c r="AY44" s="828"/>
      <c r="AZ44" s="828"/>
      <c r="BA44" s="828"/>
      <c r="BB44" s="828"/>
      <c r="BC44" s="828"/>
      <c r="BD44" s="684"/>
    </row>
    <row r="45" spans="1:56" s="60" customFormat="1" x14ac:dyDescent="0.25">
      <c r="A45" s="264" t="str">
        <f>INDEX(MO_MA_COGS,0,COLUMN())</f>
        <v>COGS Margin (Excluding D&amp;A), %</v>
      </c>
      <c r="B45" s="254"/>
      <c r="C45" s="483">
        <f t="shared" ref="C45:AL45" si="54">INDEX(SP_GF_COGS,0,COLUMN())/INDEX(SP_GF_Rev,0,COLUMN())</f>
        <v>0.82106675347479108</v>
      </c>
      <c r="D45" s="483">
        <f t="shared" si="54"/>
        <v>0.80565115015395761</v>
      </c>
      <c r="E45" s="483">
        <f t="shared" si="54"/>
        <v>0.80241525835490324</v>
      </c>
      <c r="F45" s="483">
        <f t="shared" si="54"/>
        <v>0.79534209179320881</v>
      </c>
      <c r="G45" s="483">
        <f t="shared" si="54"/>
        <v>0.82386325076348832</v>
      </c>
      <c r="H45" s="483">
        <f t="shared" si="54"/>
        <v>0.79758075275352425</v>
      </c>
      <c r="I45" s="483">
        <f t="shared" si="54"/>
        <v>0.79781866326522377</v>
      </c>
      <c r="J45" s="483">
        <f t="shared" si="54"/>
        <v>0.79060702875399291</v>
      </c>
      <c r="K45" s="483">
        <f t="shared" si="54"/>
        <v>0.81603081915438203</v>
      </c>
      <c r="L45" s="483">
        <f t="shared" si="54"/>
        <v>0.82445390522420725</v>
      </c>
      <c r="M45" s="483">
        <f t="shared" si="54"/>
        <v>0.818345250587728</v>
      </c>
      <c r="N45" s="483">
        <f t="shared" si="54"/>
        <v>0.8080929518868003</v>
      </c>
      <c r="O45" s="483">
        <f t="shared" si="54"/>
        <v>0.82988354815301146</v>
      </c>
      <c r="P45" s="483">
        <f t="shared" si="54"/>
        <v>0.82432970639307956</v>
      </c>
      <c r="Q45" s="483">
        <f t="shared" si="54"/>
        <v>0.82375510337929803</v>
      </c>
      <c r="R45" s="483">
        <f t="shared" si="54"/>
        <v>0.81635410856123758</v>
      </c>
      <c r="S45" s="483">
        <f t="shared" si="54"/>
        <v>0.82987741635156431</v>
      </c>
      <c r="T45" s="483">
        <f t="shared" si="54"/>
        <v>0.81550918337005662</v>
      </c>
      <c r="U45" s="483">
        <f t="shared" si="54"/>
        <v>0.83405722942536886</v>
      </c>
      <c r="V45" s="483">
        <f t="shared" si="54"/>
        <v>0.82221698364295837</v>
      </c>
      <c r="W45" s="483">
        <f t="shared" si="54"/>
        <v>0.84387196877599335</v>
      </c>
      <c r="X45" s="483">
        <f t="shared" si="54"/>
        <v>0.8168014301635862</v>
      </c>
      <c r="Y45" s="483">
        <f t="shared" si="54"/>
        <v>0.8291763106356117</v>
      </c>
      <c r="Z45" s="483">
        <f t="shared" si="54"/>
        <v>0.84539139466098667</v>
      </c>
      <c r="AA45" s="483">
        <f t="shared" si="54"/>
        <v>0.83065539566797864</v>
      </c>
      <c r="AB45" s="483">
        <f t="shared" si="54"/>
        <v>0.83083801275658731</v>
      </c>
      <c r="AC45" s="483">
        <f t="shared" si="54"/>
        <v>0.82732995215999428</v>
      </c>
      <c r="AD45" s="483">
        <f t="shared" si="54"/>
        <v>0.83398220065766238</v>
      </c>
      <c r="AE45" s="483">
        <f t="shared" si="54"/>
        <v>0.84572150201510743</v>
      </c>
      <c r="AF45" s="696">
        <f t="shared" si="54"/>
        <v>0.83066400361772685</v>
      </c>
      <c r="AG45" s="145">
        <f t="shared" si="54"/>
        <v>0.82738461538461539</v>
      </c>
      <c r="AH45" s="145">
        <f t="shared" si="54"/>
        <v>0.8225850340136055</v>
      </c>
      <c r="AI45" s="145">
        <f t="shared" si="54"/>
        <v>0.82440745845113539</v>
      </c>
      <c r="AJ45" s="145">
        <f t="shared" si="54"/>
        <v>0.8182528721164094</v>
      </c>
      <c r="AK45" s="145">
        <f t="shared" si="54"/>
        <v>0.81969765684051388</v>
      </c>
      <c r="AL45" s="145">
        <f t="shared" si="54"/>
        <v>0.80597288090307928</v>
      </c>
      <c r="AM45" s="145"/>
      <c r="AN45" s="482">
        <f t="shared" ref="AN45:BC45" si="55">INDEX(SP_GF_COGS,0,COLUMN())/INDEX(SP_GF_Rev,0,COLUMN())</f>
        <v>0.82908684546615585</v>
      </c>
      <c r="AO45" s="482">
        <f t="shared" si="55"/>
        <v>0.81948708478566978</v>
      </c>
      <c r="AP45" s="482">
        <f t="shared" si="55"/>
        <v>0.81144291001209612</v>
      </c>
      <c r="AQ45" s="482">
        <f t="shared" si="55"/>
        <v>0.80092735549291283</v>
      </c>
      <c r="AR45" s="482">
        <f t="shared" si="55"/>
        <v>0.80562368184222621</v>
      </c>
      <c r="AS45" s="482">
        <f t="shared" si="55"/>
        <v>0.80207305919695848</v>
      </c>
      <c r="AT45" s="482">
        <f t="shared" si="55"/>
        <v>0.81672309700579271</v>
      </c>
      <c r="AU45" s="482">
        <f t="shared" si="55"/>
        <v>0.82342796687044773</v>
      </c>
      <c r="AV45" s="482">
        <f t="shared" si="55"/>
        <v>0.82521680727718338</v>
      </c>
      <c r="AW45" s="482">
        <f t="shared" si="55"/>
        <v>0.83371379765509745</v>
      </c>
      <c r="AX45" s="970">
        <f t="shared" si="55"/>
        <v>0.83079600198871928</v>
      </c>
      <c r="AY45" s="144">
        <f t="shared" si="55"/>
        <v>0.83128513467272824</v>
      </c>
      <c r="AZ45" s="144">
        <f t="shared" si="55"/>
        <v>0.81678474606614715</v>
      </c>
      <c r="BA45" s="143">
        <f t="shared" si="55"/>
        <v>0.81347062353895594</v>
      </c>
      <c r="BB45" s="143">
        <f t="shared" si="55"/>
        <v>0.81474063284782772</v>
      </c>
      <c r="BC45" s="143">
        <f t="shared" si="55"/>
        <v>0.81534539918538596</v>
      </c>
      <c r="BD45" s="263"/>
    </row>
    <row r="46" spans="1:56" s="60" customFormat="1" x14ac:dyDescent="0.25">
      <c r="A46" s="264" t="str">
        <f>INDEX(MO_MA_SGA,0,COLUMN())</f>
        <v>SG&amp;A Margin (adj. for SBC), %</v>
      </c>
      <c r="B46" s="254"/>
      <c r="C46" s="483">
        <f t="shared" ref="C46:AL46" si="56">INDEX(SP_GF_SGA,0,COLUMN())/INDEX(SP_GF_Rev,0,COLUMN())</f>
        <v>8.0258056879050646E-2</v>
      </c>
      <c r="D46" s="483">
        <f t="shared" si="56"/>
        <v>8.5072307648309337E-2</v>
      </c>
      <c r="E46" s="483">
        <f t="shared" si="56"/>
        <v>7.8606323489138402E-2</v>
      </c>
      <c r="F46" s="483">
        <f t="shared" si="56"/>
        <v>8.4951373485753254E-2</v>
      </c>
      <c r="G46" s="483">
        <f t="shared" si="56"/>
        <v>8.8878520529351884E-2</v>
      </c>
      <c r="H46" s="483">
        <f t="shared" si="56"/>
        <v>7.6031367200818267E-2</v>
      </c>
      <c r="I46" s="483">
        <f t="shared" si="56"/>
        <v>8.6131316148511744E-2</v>
      </c>
      <c r="J46" s="483">
        <f t="shared" si="56"/>
        <v>8.690894568690094E-2</v>
      </c>
      <c r="K46" s="483">
        <f t="shared" si="56"/>
        <v>8.903022047148447E-2</v>
      </c>
      <c r="L46" s="483">
        <f t="shared" si="56"/>
        <v>8.2958659929176781E-2</v>
      </c>
      <c r="M46" s="483">
        <f t="shared" si="56"/>
        <v>8.7040697627124158E-2</v>
      </c>
      <c r="N46" s="483">
        <f t="shared" si="56"/>
        <v>8.1491090001661021E-2</v>
      </c>
      <c r="O46" s="483">
        <f t="shared" si="56"/>
        <v>9.0483430664501194E-2</v>
      </c>
      <c r="P46" s="483">
        <f t="shared" si="56"/>
        <v>8.6719982157365663E-2</v>
      </c>
      <c r="Q46" s="483">
        <f t="shared" si="56"/>
        <v>8.549082621456329E-2</v>
      </c>
      <c r="R46" s="483">
        <f t="shared" si="56"/>
        <v>8.4795298665179195E-2</v>
      </c>
      <c r="S46" s="483">
        <f t="shared" si="56"/>
        <v>9.4212189763734508E-2</v>
      </c>
      <c r="T46" s="483">
        <f t="shared" si="56"/>
        <v>8.7708998863991583E-2</v>
      </c>
      <c r="U46" s="483">
        <f t="shared" si="56"/>
        <v>0.10370113701378761</v>
      </c>
      <c r="V46" s="483">
        <f t="shared" si="56"/>
        <v>0.11555629909583809</v>
      </c>
      <c r="W46" s="483">
        <f t="shared" si="56"/>
        <v>0.10537302450572653</v>
      </c>
      <c r="X46" s="483">
        <f t="shared" si="56"/>
        <v>0.10548204441585447</v>
      </c>
      <c r="Y46" s="483">
        <f t="shared" si="56"/>
        <v>0.10162180535098651</v>
      </c>
      <c r="Z46" s="483">
        <f t="shared" si="56"/>
        <v>0.11666955167041719</v>
      </c>
      <c r="AA46" s="483">
        <f t="shared" si="56"/>
        <v>0.12208097624629856</v>
      </c>
      <c r="AB46" s="483">
        <f t="shared" si="56"/>
        <v>0.10693848594165166</v>
      </c>
      <c r="AC46" s="483">
        <f t="shared" si="56"/>
        <v>0.11186647962303516</v>
      </c>
      <c r="AD46" s="483">
        <f t="shared" si="56"/>
        <v>0.11722726658472714</v>
      </c>
      <c r="AE46" s="483">
        <f t="shared" si="56"/>
        <v>0.13928017399303089</v>
      </c>
      <c r="AF46" s="696">
        <f t="shared" si="56"/>
        <v>0.13661629484473922</v>
      </c>
      <c r="AG46" s="145">
        <f t="shared" si="56"/>
        <v>0.127</v>
      </c>
      <c r="AH46" s="145">
        <f t="shared" si="56"/>
        <v>0.125</v>
      </c>
      <c r="AI46" s="145">
        <f t="shared" si="56"/>
        <v>0.13200000000000001</v>
      </c>
      <c r="AJ46" s="145">
        <f t="shared" si="56"/>
        <v>0.13</v>
      </c>
      <c r="AK46" s="145">
        <f t="shared" si="56"/>
        <v>0.127</v>
      </c>
      <c r="AL46" s="145">
        <f t="shared" si="56"/>
        <v>0.125</v>
      </c>
      <c r="AM46" s="145"/>
      <c r="AN46" s="482">
        <f t="shared" ref="AN46:BC46" si="57">INDEX(SP_GF_SGA,0,COLUMN())/INDEX(SP_GF_Rev,0,COLUMN())</f>
        <v>8.7401933953658084E-2</v>
      </c>
      <c r="AO46" s="482">
        <f t="shared" si="57"/>
        <v>8.2538876449451001E-2</v>
      </c>
      <c r="AP46" s="482">
        <f t="shared" si="57"/>
        <v>8.1487662343509404E-2</v>
      </c>
      <c r="AQ46" s="482">
        <f t="shared" si="57"/>
        <v>7.9400456207106063E-2</v>
      </c>
      <c r="AR46" s="482">
        <f t="shared" si="57"/>
        <v>8.2246175195619761E-2</v>
      </c>
      <c r="AS46" s="482">
        <f t="shared" si="57"/>
        <v>8.4255390372349637E-2</v>
      </c>
      <c r="AT46" s="482">
        <f t="shared" si="57"/>
        <v>8.5031002692339083E-2</v>
      </c>
      <c r="AU46" s="482">
        <f t="shared" si="57"/>
        <v>8.6803014520169849E-2</v>
      </c>
      <c r="AV46" s="482">
        <f t="shared" si="57"/>
        <v>0.10036173822877879</v>
      </c>
      <c r="AW46" s="482">
        <f t="shared" si="57"/>
        <v>0.1074151719854026</v>
      </c>
      <c r="AX46" s="970">
        <f t="shared" si="57"/>
        <v>0.11447478955579558</v>
      </c>
      <c r="AY46" s="144">
        <f t="shared" si="57"/>
        <v>0.13150119763406168</v>
      </c>
      <c r="AZ46" s="144">
        <f t="shared" si="57"/>
        <v>0.12840670728365283</v>
      </c>
      <c r="BA46" s="143">
        <f t="shared" si="57"/>
        <v>0.12</v>
      </c>
      <c r="BB46" s="143">
        <f t="shared" si="57"/>
        <v>0.11</v>
      </c>
      <c r="BC46" s="143">
        <f t="shared" si="57"/>
        <v>0.11</v>
      </c>
      <c r="BD46" s="263"/>
    </row>
    <row r="47" spans="1:56" s="61" customFormat="1" x14ac:dyDescent="0.25">
      <c r="A47" s="265" t="str">
        <f>INDEX(MO_MA_EBITDA,0,COLUMN())</f>
        <v>EBITDA Margin, %</v>
      </c>
      <c r="B47" s="124"/>
      <c r="C47" s="147">
        <f t="shared" ref="C47:AL47" si="58">INDEX(SP_GF_EBITDA,0,COLUMN())/INDEX(SP_GF_Rev,0,COLUMN())</f>
        <v>9.8675189646158332E-2</v>
      </c>
      <c r="D47" s="147">
        <f t="shared" si="58"/>
        <v>0.10927654219773304</v>
      </c>
      <c r="E47" s="147">
        <f t="shared" si="58"/>
        <v>0.11897841815595832</v>
      </c>
      <c r="F47" s="147">
        <f t="shared" si="58"/>
        <v>0.11970653472103791</v>
      </c>
      <c r="G47" s="147">
        <f t="shared" si="58"/>
        <v>8.7258228707159755E-2</v>
      </c>
      <c r="H47" s="147">
        <f t="shared" si="58"/>
        <v>0.12638788004565749</v>
      </c>
      <c r="I47" s="147">
        <f t="shared" si="58"/>
        <v>0.1160500205862645</v>
      </c>
      <c r="J47" s="147">
        <f t="shared" si="58"/>
        <v>0.12248402555910617</v>
      </c>
      <c r="K47" s="147">
        <f t="shared" si="58"/>
        <v>9.4938960374133463E-2</v>
      </c>
      <c r="L47" s="147">
        <f t="shared" si="58"/>
        <v>9.258743484661601E-2</v>
      </c>
      <c r="M47" s="147">
        <f t="shared" si="58"/>
        <v>9.4614051785147799E-2</v>
      </c>
      <c r="N47" s="147">
        <f t="shared" si="58"/>
        <v>0.1104159581115387</v>
      </c>
      <c r="O47" s="147">
        <f t="shared" si="58"/>
        <v>7.9633021182487357E-2</v>
      </c>
      <c r="P47" s="147">
        <f t="shared" si="58"/>
        <v>8.8950311449554745E-2</v>
      </c>
      <c r="Q47" s="147">
        <f t="shared" si="58"/>
        <v>9.0754070406138726E-2</v>
      </c>
      <c r="R47" s="147">
        <f t="shared" si="58"/>
        <v>9.8850592773583254E-2</v>
      </c>
      <c r="S47" s="147">
        <f t="shared" si="58"/>
        <v>7.5910393884701166E-2</v>
      </c>
      <c r="T47" s="147">
        <f t="shared" si="58"/>
        <v>9.6781817765951822E-2</v>
      </c>
      <c r="U47" s="147">
        <f t="shared" si="58"/>
        <v>6.2241633560843564E-2</v>
      </c>
      <c r="V47" s="147">
        <f t="shared" si="58"/>
        <v>6.2226717261203497E-2</v>
      </c>
      <c r="W47" s="147">
        <f t="shared" si="58"/>
        <v>5.0755006718280135E-2</v>
      </c>
      <c r="X47" s="147">
        <f t="shared" si="58"/>
        <v>7.7716525420559374E-2</v>
      </c>
      <c r="Y47" s="147">
        <f t="shared" si="58"/>
        <v>6.9201884013401771E-2</v>
      </c>
      <c r="Z47" s="147">
        <f t="shared" si="58"/>
        <v>3.7939053668596116E-2</v>
      </c>
      <c r="AA47" s="147">
        <f t="shared" si="58"/>
        <v>4.7263628085722771E-2</v>
      </c>
      <c r="AB47" s="147">
        <f t="shared" si="58"/>
        <v>6.2223501301761019E-2</v>
      </c>
      <c r="AC47" s="147">
        <f t="shared" si="58"/>
        <v>6.0803568216970576E-2</v>
      </c>
      <c r="AD47" s="147">
        <f t="shared" si="58"/>
        <v>4.8790532757610527E-2</v>
      </c>
      <c r="AE47" s="147">
        <f t="shared" si="58"/>
        <v>1.4998323991861722E-2</v>
      </c>
      <c r="AF47" s="697">
        <f t="shared" si="58"/>
        <v>3.2719701537533952E-2</v>
      </c>
      <c r="AG47" s="147">
        <f t="shared" si="58"/>
        <v>4.5615384615384585E-2</v>
      </c>
      <c r="AH47" s="147">
        <f t="shared" si="58"/>
        <v>5.2414965986394446E-2</v>
      </c>
      <c r="AI47" s="147">
        <f t="shared" si="58"/>
        <v>4.3592541548864584E-2</v>
      </c>
      <c r="AJ47" s="147">
        <f t="shared" si="58"/>
        <v>5.1747127883590559E-2</v>
      </c>
      <c r="AK47" s="147">
        <f t="shared" si="58"/>
        <v>5.3302343159486093E-2</v>
      </c>
      <c r="AL47" s="147">
        <f t="shared" si="58"/>
        <v>6.9027119096920705E-2</v>
      </c>
      <c r="AM47" s="147"/>
      <c r="AN47" s="146">
        <f t="shared" ref="AN47:BC47" si="59">INDEX(SP_GF_EBITDA,0,COLUMN())/INDEX(SP_GF_Rev,0,COLUMN())</f>
        <v>8.3511220580186118E-2</v>
      </c>
      <c r="AO47" s="146">
        <f t="shared" si="59"/>
        <v>9.7974038764879187E-2</v>
      </c>
      <c r="AP47" s="146">
        <f t="shared" si="59"/>
        <v>0.10706942764439446</v>
      </c>
      <c r="AQ47" s="146">
        <f t="shared" si="59"/>
        <v>0.11967218829998109</v>
      </c>
      <c r="AR47" s="146">
        <f t="shared" si="59"/>
        <v>0.11213014296215398</v>
      </c>
      <c r="AS47" s="146">
        <f t="shared" si="59"/>
        <v>0.11367155043069185</v>
      </c>
      <c r="AT47" s="146">
        <f t="shared" si="59"/>
        <v>9.8245900301868264E-2</v>
      </c>
      <c r="AU47" s="146">
        <f t="shared" si="59"/>
        <v>8.9769018609382412E-2</v>
      </c>
      <c r="AV47" s="146">
        <f t="shared" si="59"/>
        <v>7.4421454494037864E-2</v>
      </c>
      <c r="AW47" s="146">
        <f t="shared" si="59"/>
        <v>5.8871030359499942E-2</v>
      </c>
      <c r="AX47" s="971">
        <f t="shared" si="59"/>
        <v>5.4729208455485151E-2</v>
      </c>
      <c r="AY47" s="146">
        <f t="shared" si="59"/>
        <v>3.7213667693210085E-2</v>
      </c>
      <c r="AZ47" s="146">
        <f t="shared" si="59"/>
        <v>5.4808546650200046E-2</v>
      </c>
      <c r="BA47" s="146">
        <f t="shared" si="59"/>
        <v>6.6529376461044051E-2</v>
      </c>
      <c r="BB47" s="146">
        <f t="shared" si="59"/>
        <v>7.5259367152172282E-2</v>
      </c>
      <c r="BC47" s="146">
        <f t="shared" si="59"/>
        <v>7.4654600814614017E-2</v>
      </c>
      <c r="BD47" s="312"/>
    </row>
    <row r="48" spans="1:56" s="61" customFormat="1" x14ac:dyDescent="0.25">
      <c r="A48" s="266" t="str">
        <f>INDEX(MO_MA_EBITDA_Adj,0,COLUMN())</f>
        <v>Adjusted EBITDA Margin, %</v>
      </c>
      <c r="B48" s="184"/>
      <c r="C48" s="485">
        <f t="shared" ref="C48:AL48" si="60">INDEX(SP_NGF_EBITDA,0,COLUMN())/INDEX(SP_GF_Rev,0,COLUMN())</f>
        <v>0.10337072001420505</v>
      </c>
      <c r="D48" s="485">
        <f t="shared" si="60"/>
        <v>0.11059209334693368</v>
      </c>
      <c r="E48" s="485">
        <f t="shared" si="60"/>
        <v>0.1202063658930891</v>
      </c>
      <c r="F48" s="485">
        <f t="shared" si="60"/>
        <v>0.13186316328271688</v>
      </c>
      <c r="G48" s="485">
        <f t="shared" si="60"/>
        <v>9.2059721750933063E-2</v>
      </c>
      <c r="H48" s="485">
        <f t="shared" si="60"/>
        <v>0.13045701833706405</v>
      </c>
      <c r="I48" s="485">
        <f t="shared" si="60"/>
        <v>0.12075660576899788</v>
      </c>
      <c r="J48" s="485">
        <f t="shared" si="60"/>
        <v>0.11841853035143841</v>
      </c>
      <c r="K48" s="485">
        <f t="shared" si="60"/>
        <v>9.1225391096110359E-2</v>
      </c>
      <c r="L48" s="485">
        <f t="shared" si="60"/>
        <v>8.9682887040942266E-2</v>
      </c>
      <c r="M48" s="485">
        <f t="shared" si="60"/>
        <v>7.9508016692290809E-2</v>
      </c>
      <c r="N48" s="485">
        <f t="shared" si="60"/>
        <v>0.10574938108533469</v>
      </c>
      <c r="O48" s="485">
        <f t="shared" si="60"/>
        <v>8.2181485192992218E-2</v>
      </c>
      <c r="P48" s="485">
        <f t="shared" si="60"/>
        <v>9.1045227891860939E-2</v>
      </c>
      <c r="Q48" s="485">
        <f t="shared" si="60"/>
        <v>9.0499926216202856E-2</v>
      </c>
      <c r="R48" s="485">
        <f t="shared" si="60"/>
        <v>9.5527289583055092E-2</v>
      </c>
      <c r="S48" s="485">
        <f t="shared" si="60"/>
        <v>7.9667121285127485E-2</v>
      </c>
      <c r="T48" s="485">
        <f t="shared" si="60"/>
        <v>0.10603761788946411</v>
      </c>
      <c r="U48" s="485">
        <f t="shared" si="60"/>
        <v>9.9865427850794122E-2</v>
      </c>
      <c r="V48" s="485">
        <f t="shared" si="60"/>
        <v>9.2857197174208927E-2</v>
      </c>
      <c r="W48" s="485">
        <f t="shared" si="60"/>
        <v>6.5119329451660407E-2</v>
      </c>
      <c r="X48" s="485">
        <f t="shared" si="60"/>
        <v>8.8023875952756778E-2</v>
      </c>
      <c r="Y48" s="485">
        <f t="shared" si="60"/>
        <v>7.9415049447258912E-2</v>
      </c>
      <c r="Z48" s="485">
        <f t="shared" si="60"/>
        <v>5.6408095069654253E-2</v>
      </c>
      <c r="AA48" s="485">
        <f t="shared" si="60"/>
        <v>6.2886723595247968E-2</v>
      </c>
      <c r="AB48" s="485">
        <f t="shared" si="60"/>
        <v>6.983997376399656E-2</v>
      </c>
      <c r="AC48" s="485">
        <f t="shared" si="60"/>
        <v>7.7392899535987922E-2</v>
      </c>
      <c r="AD48" s="485">
        <f t="shared" si="60"/>
        <v>7.0521689328759574E-2</v>
      </c>
      <c r="AE48" s="485">
        <f t="shared" si="60"/>
        <v>2.6691404027096813E-2</v>
      </c>
      <c r="AF48" s="698">
        <f t="shared" si="60"/>
        <v>5.6376243593608745E-2</v>
      </c>
      <c r="AG48" s="149">
        <f t="shared" si="60"/>
        <v>4.5615384615384585E-2</v>
      </c>
      <c r="AH48" s="149">
        <f t="shared" si="60"/>
        <v>5.2414965986394446E-2</v>
      </c>
      <c r="AI48" s="149">
        <f t="shared" si="60"/>
        <v>4.3592541548864584E-2</v>
      </c>
      <c r="AJ48" s="149">
        <f t="shared" si="60"/>
        <v>5.1747127883590559E-2</v>
      </c>
      <c r="AK48" s="149">
        <f t="shared" si="60"/>
        <v>5.3302343159486093E-2</v>
      </c>
      <c r="AL48" s="149">
        <f t="shared" si="60"/>
        <v>6.9027119096920705E-2</v>
      </c>
      <c r="AM48" s="149"/>
      <c r="AN48" s="484">
        <f t="shared" ref="AN48:BC48" si="61">INDEX(SP_NGF_EBITDA,0,COLUMN())/INDEX(SP_GF_Rev,0,COLUMN())</f>
        <v>8.5718846925743497E-2</v>
      </c>
      <c r="AO48" s="484">
        <f t="shared" si="61"/>
        <v>0.10514531058839822</v>
      </c>
      <c r="AP48" s="484">
        <f t="shared" si="61"/>
        <v>0.11371774515483214</v>
      </c>
      <c r="AQ48" s="484">
        <f t="shared" si="61"/>
        <v>0.11867610291554193</v>
      </c>
      <c r="AR48" s="484">
        <f t="shared" si="61"/>
        <v>0.11711767413422378</v>
      </c>
      <c r="AS48" s="484">
        <f t="shared" si="61"/>
        <v>0.11604070401122218</v>
      </c>
      <c r="AT48" s="484">
        <f t="shared" si="61"/>
        <v>9.1637431671697717E-2</v>
      </c>
      <c r="AU48" s="484">
        <f t="shared" si="61"/>
        <v>7.7593113162738897E-2</v>
      </c>
      <c r="AV48" s="484">
        <f t="shared" si="61"/>
        <v>9.6750247443088092E-2</v>
      </c>
      <c r="AW48" s="484">
        <f t="shared" si="61"/>
        <v>7.3602375960866537E-2</v>
      </c>
      <c r="AX48" s="972">
        <f t="shared" si="61"/>
        <v>7.0158926091652488E-2</v>
      </c>
      <c r="AY48" s="148">
        <f t="shared" si="61"/>
        <v>4.5056459891479675E-2</v>
      </c>
      <c r="AZ48" s="148">
        <f t="shared" si="61"/>
        <v>5.4808546650199942E-2</v>
      </c>
      <c r="BA48" s="148">
        <f t="shared" si="61"/>
        <v>6.6529376461044051E-2</v>
      </c>
      <c r="BB48" s="148">
        <f t="shared" si="61"/>
        <v>7.5259367152172282E-2</v>
      </c>
      <c r="BC48" s="148">
        <f t="shared" si="61"/>
        <v>7.4654600814614017E-2</v>
      </c>
      <c r="BD48" s="312"/>
    </row>
    <row r="49" spans="1:56" x14ac:dyDescent="0.25">
      <c r="A49" s="261"/>
      <c r="B49" s="252"/>
      <c r="C49" s="822"/>
      <c r="D49" s="822"/>
      <c r="E49" s="822"/>
      <c r="F49" s="822"/>
      <c r="G49" s="822"/>
      <c r="H49" s="822"/>
      <c r="I49" s="822"/>
      <c r="J49" s="822"/>
      <c r="K49" s="822"/>
      <c r="L49" s="822"/>
      <c r="M49" s="822"/>
      <c r="N49" s="822"/>
      <c r="O49" s="822"/>
      <c r="P49" s="822"/>
      <c r="Q49" s="822"/>
      <c r="R49" s="822"/>
      <c r="S49" s="822"/>
      <c r="T49" s="822"/>
      <c r="U49" s="822"/>
      <c r="V49" s="822"/>
      <c r="W49" s="822"/>
      <c r="X49" s="822"/>
      <c r="Y49" s="822"/>
      <c r="Z49" s="822"/>
      <c r="AA49" s="822"/>
      <c r="AB49" s="822"/>
      <c r="AC49" s="822"/>
      <c r="AD49" s="822"/>
      <c r="AE49" s="822"/>
      <c r="AF49" s="823"/>
      <c r="AG49" s="824"/>
      <c r="AH49" s="824"/>
      <c r="AI49" s="824"/>
      <c r="AJ49" s="824"/>
      <c r="AK49" s="824"/>
      <c r="AL49" s="824"/>
      <c r="AM49" s="824"/>
      <c r="AN49" s="821"/>
      <c r="AO49" s="821"/>
      <c r="AP49" s="821"/>
      <c r="AQ49" s="821"/>
      <c r="AR49" s="821"/>
      <c r="AS49" s="821"/>
      <c r="AT49" s="821"/>
      <c r="AU49" s="821"/>
      <c r="AV49" s="821"/>
      <c r="AW49" s="821"/>
      <c r="AX49" s="967"/>
      <c r="AY49" s="825"/>
      <c r="AZ49" s="825"/>
      <c r="BA49" s="825"/>
      <c r="BB49" s="825"/>
      <c r="BC49" s="825"/>
      <c r="BD49" s="685"/>
    </row>
    <row r="50" spans="1:56" x14ac:dyDescent="0.25">
      <c r="A50" s="132" t="s">
        <v>306</v>
      </c>
      <c r="B50" s="686"/>
      <c r="C50" s="826"/>
      <c r="D50" s="826"/>
      <c r="E50" s="826"/>
      <c r="F50" s="826"/>
      <c r="G50" s="826"/>
      <c r="H50" s="826"/>
      <c r="I50" s="826"/>
      <c r="J50" s="826"/>
      <c r="K50" s="826"/>
      <c r="L50" s="826"/>
      <c r="M50" s="826"/>
      <c r="N50" s="826"/>
      <c r="O50" s="826"/>
      <c r="P50" s="826"/>
      <c r="Q50" s="826"/>
      <c r="R50" s="826"/>
      <c r="S50" s="826"/>
      <c r="T50" s="826"/>
      <c r="U50" s="826"/>
      <c r="V50" s="826"/>
      <c r="W50" s="826"/>
      <c r="X50" s="826"/>
      <c r="Y50" s="826"/>
      <c r="Z50" s="826"/>
      <c r="AA50" s="826"/>
      <c r="AB50" s="826"/>
      <c r="AC50" s="826"/>
      <c r="AD50" s="826"/>
      <c r="AE50" s="826"/>
      <c r="AF50" s="827"/>
      <c r="AG50" s="828"/>
      <c r="AH50" s="828"/>
      <c r="AI50" s="828"/>
      <c r="AJ50" s="828"/>
      <c r="AK50" s="828"/>
      <c r="AL50" s="828"/>
      <c r="AM50" s="828"/>
      <c r="AN50" s="826"/>
      <c r="AO50" s="826"/>
      <c r="AP50" s="826"/>
      <c r="AQ50" s="826"/>
      <c r="AR50" s="826"/>
      <c r="AS50" s="826"/>
      <c r="AT50" s="826"/>
      <c r="AU50" s="826"/>
      <c r="AV50" s="826"/>
      <c r="AW50" s="826"/>
      <c r="AX50" s="827"/>
      <c r="AY50" s="828"/>
      <c r="AZ50" s="828"/>
      <c r="BA50" s="828"/>
      <c r="BB50" s="828"/>
      <c r="BC50" s="828"/>
      <c r="BD50" s="684"/>
    </row>
    <row r="51" spans="1:56" s="58" customFormat="1" x14ac:dyDescent="0.25">
      <c r="A51" s="247" t="str">
        <f>INDEX(MO_CFSum_CFO_BeforeWC,0,COLUMN())</f>
        <v>Operating Cash Flow before WC</v>
      </c>
      <c r="B51" s="252"/>
      <c r="C51" s="822">
        <f t="shared" ref="C51:AL51" si="62">INDEX(MO_CFSum_CFO_BeforeWC,0,COLUMN())</f>
        <v>7.3150000000000004</v>
      </c>
      <c r="D51" s="822">
        <f t="shared" si="62"/>
        <v>8.1509999999999998</v>
      </c>
      <c r="E51" s="822">
        <f t="shared" si="62"/>
        <v>9.3280000000000012</v>
      </c>
      <c r="F51" s="822">
        <f t="shared" si="62"/>
        <v>9.2909999999999986</v>
      </c>
      <c r="G51" s="822">
        <f t="shared" si="62"/>
        <v>7.4600000000000009</v>
      </c>
      <c r="H51" s="822">
        <f t="shared" si="62"/>
        <v>11.378999999999998</v>
      </c>
      <c r="I51" s="822">
        <f t="shared" si="62"/>
        <v>10.675000000000001</v>
      </c>
      <c r="J51" s="822">
        <f t="shared" si="62"/>
        <v>10.66</v>
      </c>
      <c r="K51" s="822">
        <f t="shared" si="62"/>
        <v>7.7160000000000002</v>
      </c>
      <c r="L51" s="822">
        <f t="shared" si="62"/>
        <v>8.3349999999999973</v>
      </c>
      <c r="M51" s="822">
        <f t="shared" si="62"/>
        <v>7.2870000000000017</v>
      </c>
      <c r="N51" s="822">
        <f t="shared" si="62"/>
        <v>8.65</v>
      </c>
      <c r="O51" s="822">
        <f t="shared" si="62"/>
        <v>7.2199999999999989</v>
      </c>
      <c r="P51" s="822">
        <f t="shared" si="62"/>
        <v>7.9269999999999996</v>
      </c>
      <c r="Q51" s="822">
        <f t="shared" si="62"/>
        <v>6.2710000000000017</v>
      </c>
      <c r="R51" s="822">
        <f t="shared" si="62"/>
        <v>9.6809999999999992</v>
      </c>
      <c r="S51" s="822">
        <f t="shared" si="62"/>
        <v>6.9080000000000013</v>
      </c>
      <c r="T51" s="822">
        <f t="shared" si="62"/>
        <v>8.9049999999999994</v>
      </c>
      <c r="U51" s="822">
        <f t="shared" si="62"/>
        <v>6.6560000000000006</v>
      </c>
      <c r="V51" s="822">
        <f t="shared" si="62"/>
        <v>1.7769999999999997</v>
      </c>
      <c r="W51" s="822">
        <f t="shared" si="62"/>
        <v>3.2230000000000003</v>
      </c>
      <c r="X51" s="822">
        <f t="shared" si="62"/>
        <v>5.6639999999999997</v>
      </c>
      <c r="Y51" s="822">
        <f t="shared" si="62"/>
        <v>5.1530000000000014</v>
      </c>
      <c r="Z51" s="822">
        <f t="shared" si="62"/>
        <v>4.4649999999999999</v>
      </c>
      <c r="AA51" s="822">
        <f t="shared" si="62"/>
        <v>3.6120000000000001</v>
      </c>
      <c r="AB51" s="822">
        <f t="shared" si="62"/>
        <v>5.7839999999999998</v>
      </c>
      <c r="AC51" s="822">
        <f t="shared" si="62"/>
        <v>6.2940000000000005</v>
      </c>
      <c r="AD51" s="822">
        <f t="shared" si="62"/>
        <v>0.6870000000000005</v>
      </c>
      <c r="AE51" s="822">
        <f t="shared" si="62"/>
        <v>0.66100000000000003</v>
      </c>
      <c r="AF51" s="823">
        <f t="shared" si="62"/>
        <v>2.9174500000000041</v>
      </c>
      <c r="AG51" s="824">
        <f t="shared" si="62"/>
        <v>4.8543690722404333</v>
      </c>
      <c r="AH51" s="824">
        <f t="shared" ca="1" si="62"/>
        <v>6.2204225574091776</v>
      </c>
      <c r="AI51" s="824">
        <f t="shared" ca="1" si="62"/>
        <v>4.9101685618610844</v>
      </c>
      <c r="AJ51" s="824">
        <f t="shared" ca="1" si="62"/>
        <v>5.3682749037227637</v>
      </c>
      <c r="AK51" s="824">
        <f t="shared" ca="1" si="62"/>
        <v>5.726541708286061</v>
      </c>
      <c r="AL51" s="824">
        <f t="shared" ca="1" si="62"/>
        <v>8.2520775289139312</v>
      </c>
      <c r="AM51" s="824"/>
      <c r="AN51" s="821">
        <f t="shared" ref="AN51:BC51" si="63">INDEX(MO_CFSum_CFO_BeforeWC,0,COLUMN())</f>
        <v>15.853000000000002</v>
      </c>
      <c r="AO51" s="821">
        <f t="shared" si="63"/>
        <v>18.724999999999998</v>
      </c>
      <c r="AP51" s="821">
        <f t="shared" si="63"/>
        <v>24.844999999999999</v>
      </c>
      <c r="AQ51" s="821">
        <f t="shared" si="63"/>
        <v>34.177</v>
      </c>
      <c r="AR51" s="821">
        <f t="shared" si="63"/>
        <v>34.085000000000008</v>
      </c>
      <c r="AS51" s="821">
        <f t="shared" si="63"/>
        <v>40.173999999999999</v>
      </c>
      <c r="AT51" s="821">
        <f t="shared" si="63"/>
        <v>31.987999999999996</v>
      </c>
      <c r="AU51" s="821">
        <f t="shared" si="63"/>
        <v>31.099</v>
      </c>
      <c r="AV51" s="821">
        <f t="shared" si="63"/>
        <v>24.246000000000002</v>
      </c>
      <c r="AW51" s="821">
        <f t="shared" si="63"/>
        <v>18.505000000000003</v>
      </c>
      <c r="AX51" s="967">
        <f t="shared" si="63"/>
        <v>16.377000000000002</v>
      </c>
      <c r="AY51" s="825">
        <f t="shared" ca="1" si="63"/>
        <v>14.653241629649616</v>
      </c>
      <c r="AZ51" s="825">
        <f t="shared" ca="1" si="63"/>
        <v>24.257062702783841</v>
      </c>
      <c r="BA51" s="825">
        <f t="shared" ca="1" si="63"/>
        <v>32.003744567509393</v>
      </c>
      <c r="BB51" s="825">
        <f t="shared" ca="1" si="63"/>
        <v>39.565778345723977</v>
      </c>
      <c r="BC51" s="825">
        <f t="shared" ca="1" si="63"/>
        <v>41.206890438325836</v>
      </c>
      <c r="BD51" s="685"/>
    </row>
    <row r="52" spans="1:56" s="56" customFormat="1" x14ac:dyDescent="0.25">
      <c r="A52" s="248" t="str">
        <f>INDEX(MO_CFSum_Capex,0,COLUMN())</f>
        <v>Capex</v>
      </c>
      <c r="B52" s="249"/>
      <c r="C52" s="814">
        <f t="shared" ref="C52:AL52" si="64">INDEX(MO_CFSum_Capex,0,COLUMN())</f>
        <v>-0.83</v>
      </c>
      <c r="D52" s="814">
        <f t="shared" si="64"/>
        <v>-1.331</v>
      </c>
      <c r="E52" s="814">
        <f t="shared" si="64"/>
        <v>-2.4469999999999996</v>
      </c>
      <c r="F52" s="814">
        <f t="shared" si="64"/>
        <v>-2.1060000000000008</v>
      </c>
      <c r="G52" s="814">
        <f t="shared" si="64"/>
        <v>-0.91600000000000004</v>
      </c>
      <c r="H52" s="814">
        <f t="shared" si="64"/>
        <v>-0.52799999999999991</v>
      </c>
      <c r="I52" s="814">
        <f t="shared" si="64"/>
        <v>-0.871</v>
      </c>
      <c r="J52" s="814">
        <f t="shared" si="64"/>
        <v>-0.44200000000000017</v>
      </c>
      <c r="K52" s="814">
        <f t="shared" si="64"/>
        <v>-0.6</v>
      </c>
      <c r="L52" s="814">
        <f t="shared" si="64"/>
        <v>-0.75000000000000011</v>
      </c>
      <c r="M52" s="814">
        <f t="shared" si="64"/>
        <v>-0.48099999999999987</v>
      </c>
      <c r="N52" s="814">
        <f t="shared" si="64"/>
        <v>-0.52600000000000025</v>
      </c>
      <c r="O52" s="814">
        <f t="shared" si="64"/>
        <v>-0.57499999999999996</v>
      </c>
      <c r="P52" s="814">
        <f t="shared" si="64"/>
        <v>-0.34700000000000009</v>
      </c>
      <c r="Q52" s="814">
        <f t="shared" si="64"/>
        <v>-0.2619999999999999</v>
      </c>
      <c r="R52" s="814">
        <f t="shared" si="64"/>
        <v>-0.21799999999999997</v>
      </c>
      <c r="S52" s="814">
        <f t="shared" si="64"/>
        <v>-0.52500000000000002</v>
      </c>
      <c r="T52" s="814">
        <f t="shared" si="64"/>
        <v>-1.2439999999999998</v>
      </c>
      <c r="U52" s="814">
        <f t="shared" si="64"/>
        <v>-0.55499999999999994</v>
      </c>
      <c r="V52" s="814">
        <f t="shared" si="64"/>
        <v>-0.41000000000000014</v>
      </c>
      <c r="W52" s="814">
        <f t="shared" si="64"/>
        <v>-0.37</v>
      </c>
      <c r="X52" s="814">
        <f t="shared" si="64"/>
        <v>-1.1440000000000001</v>
      </c>
      <c r="Y52" s="814">
        <f t="shared" si="64"/>
        <v>-0.75299999999999989</v>
      </c>
      <c r="Z52" s="814">
        <f t="shared" si="64"/>
        <v>-0.56700000000000017</v>
      </c>
      <c r="AA52" s="814">
        <f t="shared" si="64"/>
        <v>-0.54200000000000004</v>
      </c>
      <c r="AB52" s="814">
        <f t="shared" si="64"/>
        <v>-0.48499999999999988</v>
      </c>
      <c r="AC52" s="814">
        <f t="shared" si="64"/>
        <v>-0.87800000000000011</v>
      </c>
      <c r="AD52" s="814">
        <f t="shared" si="64"/>
        <v>-0.40999999999999992</v>
      </c>
      <c r="AE52" s="814">
        <f t="shared" si="64"/>
        <v>-0.46700000000000003</v>
      </c>
      <c r="AF52" s="815">
        <f t="shared" si="64"/>
        <v>-0.57899999999999996</v>
      </c>
      <c r="AG52" s="816">
        <f t="shared" si="64"/>
        <v>-0.4</v>
      </c>
      <c r="AH52" s="816">
        <f t="shared" si="64"/>
        <v>-0.4</v>
      </c>
      <c r="AI52" s="816">
        <f t="shared" si="64"/>
        <v>-0.8</v>
      </c>
      <c r="AJ52" s="816">
        <f t="shared" si="64"/>
        <v>-0.8</v>
      </c>
      <c r="AK52" s="816">
        <f t="shared" si="64"/>
        <v>-0.8</v>
      </c>
      <c r="AL52" s="816">
        <f t="shared" si="64"/>
        <v>-0.8</v>
      </c>
      <c r="AM52" s="816"/>
      <c r="AN52" s="813">
        <f t="shared" ref="AN52:BC52" si="65">INDEX(MO_CFSum_Capex,0,COLUMN())</f>
        <v>-1.1739999999999999</v>
      </c>
      <c r="AO52" s="813">
        <f t="shared" si="65"/>
        <v>-1.5309999999999999</v>
      </c>
      <c r="AP52" s="813">
        <f t="shared" si="65"/>
        <v>-3.9750000000000001</v>
      </c>
      <c r="AQ52" s="813">
        <f t="shared" si="65"/>
        <v>-2.536</v>
      </c>
      <c r="AR52" s="813">
        <f t="shared" si="65"/>
        <v>-6.7140000000000004</v>
      </c>
      <c r="AS52" s="813">
        <f t="shared" si="65"/>
        <v>-2.7570000000000001</v>
      </c>
      <c r="AT52" s="813">
        <f t="shared" si="65"/>
        <v>-2.3570000000000002</v>
      </c>
      <c r="AU52" s="813">
        <f t="shared" si="65"/>
        <v>-1.4019999999999999</v>
      </c>
      <c r="AV52" s="813">
        <f t="shared" si="65"/>
        <v>-2.734</v>
      </c>
      <c r="AW52" s="813">
        <f t="shared" si="65"/>
        <v>-2.8340000000000001</v>
      </c>
      <c r="AX52" s="965">
        <f t="shared" si="65"/>
        <v>-2.3149999999999999</v>
      </c>
      <c r="AY52" s="817">
        <f t="shared" si="65"/>
        <v>-1.8460000000000001</v>
      </c>
      <c r="AZ52" s="817">
        <f t="shared" si="65"/>
        <v>-3.2</v>
      </c>
      <c r="BA52" s="817">
        <f t="shared" si="65"/>
        <v>-3.2</v>
      </c>
      <c r="BB52" s="817">
        <f t="shared" si="65"/>
        <v>-3.2</v>
      </c>
      <c r="BC52" s="817">
        <f t="shared" si="65"/>
        <v>-3.2</v>
      </c>
      <c r="BD52" s="684"/>
    </row>
    <row r="53" spans="1:56" s="58" customFormat="1" x14ac:dyDescent="0.25">
      <c r="A53" s="250" t="s">
        <v>307</v>
      </c>
      <c r="B53" s="251"/>
      <c r="C53" s="819">
        <f t="shared" ref="C53:AL53" si="66">SUM(C51:C52)</f>
        <v>6.4850000000000003</v>
      </c>
      <c r="D53" s="819">
        <f t="shared" si="66"/>
        <v>6.82</v>
      </c>
      <c r="E53" s="819">
        <f t="shared" si="66"/>
        <v>6.881000000000002</v>
      </c>
      <c r="F53" s="819">
        <f t="shared" si="66"/>
        <v>7.1849999999999978</v>
      </c>
      <c r="G53" s="819">
        <f t="shared" si="66"/>
        <v>6.5440000000000005</v>
      </c>
      <c r="H53" s="819">
        <f t="shared" si="66"/>
        <v>10.850999999999997</v>
      </c>
      <c r="I53" s="819">
        <f t="shared" si="66"/>
        <v>9.8040000000000003</v>
      </c>
      <c r="J53" s="819">
        <f t="shared" si="66"/>
        <v>10.218</v>
      </c>
      <c r="K53" s="819">
        <f t="shared" si="66"/>
        <v>7.1160000000000005</v>
      </c>
      <c r="L53" s="819">
        <f t="shared" si="66"/>
        <v>7.5849999999999973</v>
      </c>
      <c r="M53" s="819">
        <f t="shared" si="66"/>
        <v>6.8060000000000018</v>
      </c>
      <c r="N53" s="819">
        <f t="shared" si="66"/>
        <v>8.1240000000000006</v>
      </c>
      <c r="O53" s="819">
        <f t="shared" si="66"/>
        <v>6.6449999999999987</v>
      </c>
      <c r="P53" s="819">
        <f t="shared" si="66"/>
        <v>7.5799999999999992</v>
      </c>
      <c r="Q53" s="819">
        <f t="shared" si="66"/>
        <v>6.0090000000000021</v>
      </c>
      <c r="R53" s="819">
        <f t="shared" si="66"/>
        <v>9.4629999999999992</v>
      </c>
      <c r="S53" s="819">
        <f t="shared" si="66"/>
        <v>6.3830000000000009</v>
      </c>
      <c r="T53" s="819">
        <f t="shared" si="66"/>
        <v>7.6609999999999996</v>
      </c>
      <c r="U53" s="819">
        <f t="shared" si="66"/>
        <v>6.1010000000000009</v>
      </c>
      <c r="V53" s="819">
        <f t="shared" si="66"/>
        <v>1.3669999999999995</v>
      </c>
      <c r="W53" s="819">
        <f t="shared" si="66"/>
        <v>2.8530000000000002</v>
      </c>
      <c r="X53" s="819">
        <f t="shared" si="66"/>
        <v>4.5199999999999996</v>
      </c>
      <c r="Y53" s="819">
        <f t="shared" si="66"/>
        <v>4.4000000000000012</v>
      </c>
      <c r="Z53" s="819">
        <f t="shared" si="66"/>
        <v>3.8979999999999997</v>
      </c>
      <c r="AA53" s="819">
        <f t="shared" si="66"/>
        <v>3.0700000000000003</v>
      </c>
      <c r="AB53" s="819">
        <f t="shared" si="66"/>
        <v>5.2989999999999995</v>
      </c>
      <c r="AC53" s="819">
        <f t="shared" si="66"/>
        <v>5.4160000000000004</v>
      </c>
      <c r="AD53" s="819">
        <f t="shared" si="66"/>
        <v>0.27700000000000058</v>
      </c>
      <c r="AE53" s="819">
        <f t="shared" si="66"/>
        <v>0.19400000000000001</v>
      </c>
      <c r="AF53" s="820">
        <f t="shared" si="66"/>
        <v>2.3384500000000044</v>
      </c>
      <c r="AG53" s="819">
        <f t="shared" si="66"/>
        <v>4.454369072240433</v>
      </c>
      <c r="AH53" s="819">
        <f t="shared" ca="1" si="66"/>
        <v>5.8204225574091772</v>
      </c>
      <c r="AI53" s="819">
        <f t="shared" ca="1" si="66"/>
        <v>4.1101685618610846</v>
      </c>
      <c r="AJ53" s="819">
        <f t="shared" ca="1" si="66"/>
        <v>4.5682749037227639</v>
      </c>
      <c r="AK53" s="819">
        <f t="shared" ca="1" si="66"/>
        <v>4.9265417082860612</v>
      </c>
      <c r="AL53" s="819">
        <f t="shared" ca="1" si="66"/>
        <v>7.4520775289139314</v>
      </c>
      <c r="AM53" s="819"/>
      <c r="AN53" s="818">
        <f t="shared" ref="AN53:BC53" si="67">SUM(AN51:AN52)</f>
        <v>14.679000000000002</v>
      </c>
      <c r="AO53" s="818">
        <f t="shared" si="67"/>
        <v>17.193999999999999</v>
      </c>
      <c r="AP53" s="818">
        <f t="shared" si="67"/>
        <v>20.869999999999997</v>
      </c>
      <c r="AQ53" s="818">
        <f t="shared" si="67"/>
        <v>31.640999999999998</v>
      </c>
      <c r="AR53" s="818">
        <f t="shared" si="67"/>
        <v>27.371000000000009</v>
      </c>
      <c r="AS53" s="818">
        <f t="shared" si="67"/>
        <v>37.417000000000002</v>
      </c>
      <c r="AT53" s="818">
        <f t="shared" si="67"/>
        <v>29.630999999999997</v>
      </c>
      <c r="AU53" s="818">
        <f t="shared" si="67"/>
        <v>29.696999999999999</v>
      </c>
      <c r="AV53" s="818">
        <f t="shared" si="67"/>
        <v>21.512</v>
      </c>
      <c r="AW53" s="818">
        <f t="shared" si="67"/>
        <v>15.671000000000003</v>
      </c>
      <c r="AX53" s="966">
        <f t="shared" si="67"/>
        <v>14.062000000000003</v>
      </c>
      <c r="AY53" s="818">
        <f t="shared" ca="1" si="67"/>
        <v>12.807241629649615</v>
      </c>
      <c r="AZ53" s="818">
        <f t="shared" ca="1" si="67"/>
        <v>21.057062702783842</v>
      </c>
      <c r="BA53" s="818">
        <f t="shared" ca="1" si="67"/>
        <v>28.803744567509394</v>
      </c>
      <c r="BB53" s="818">
        <f t="shared" ca="1" si="67"/>
        <v>36.365778345723974</v>
      </c>
      <c r="BC53" s="818">
        <f t="shared" ca="1" si="67"/>
        <v>38.006890438325833</v>
      </c>
      <c r="BD53" s="685"/>
    </row>
    <row r="54" spans="1:56" s="56" customFormat="1" x14ac:dyDescent="0.25">
      <c r="A54" s="248" t="str">
        <f>INDEX(MO_CFSum_Dividend,0,COLUMN())</f>
        <v>Dividend Paid</v>
      </c>
      <c r="B54" s="249"/>
      <c r="C54" s="814">
        <f t="shared" ref="C54:AL54" si="68">INDEX(MO_CFSum_Dividend,0,COLUMN())</f>
        <v>0</v>
      </c>
      <c r="D54" s="814">
        <f t="shared" si="68"/>
        <v>0</v>
      </c>
      <c r="E54" s="814">
        <f t="shared" si="68"/>
        <v>0</v>
      </c>
      <c r="F54" s="814">
        <f t="shared" si="68"/>
        <v>0</v>
      </c>
      <c r="G54" s="814">
        <f t="shared" si="68"/>
        <v>0</v>
      </c>
      <c r="H54" s="814">
        <f t="shared" si="68"/>
        <v>0</v>
      </c>
      <c r="I54" s="814">
        <f t="shared" si="68"/>
        <v>0</v>
      </c>
      <c r="J54" s="814">
        <f t="shared" si="68"/>
        <v>0</v>
      </c>
      <c r="K54" s="814">
        <f t="shared" si="68"/>
        <v>0</v>
      </c>
      <c r="L54" s="814">
        <f t="shared" si="68"/>
        <v>0</v>
      </c>
      <c r="M54" s="814">
        <f t="shared" si="68"/>
        <v>0</v>
      </c>
      <c r="N54" s="814">
        <f t="shared" si="68"/>
        <v>0</v>
      </c>
      <c r="O54" s="814">
        <f t="shared" si="68"/>
        <v>0</v>
      </c>
      <c r="P54" s="814">
        <f t="shared" si="68"/>
        <v>0</v>
      </c>
      <c r="Q54" s="814">
        <f t="shared" si="68"/>
        <v>0</v>
      </c>
      <c r="R54" s="814">
        <f t="shared" si="68"/>
        <v>0</v>
      </c>
      <c r="S54" s="814">
        <f t="shared" si="68"/>
        <v>0</v>
      </c>
      <c r="T54" s="814">
        <f t="shared" si="68"/>
        <v>0</v>
      </c>
      <c r="U54" s="814">
        <f t="shared" si="68"/>
        <v>0</v>
      </c>
      <c r="V54" s="814">
        <f t="shared" si="68"/>
        <v>0</v>
      </c>
      <c r="W54" s="814">
        <f t="shared" si="68"/>
        <v>0</v>
      </c>
      <c r="X54" s="814">
        <f t="shared" si="68"/>
        <v>0</v>
      </c>
      <c r="Y54" s="814">
        <f t="shared" si="68"/>
        <v>0</v>
      </c>
      <c r="Z54" s="814">
        <f t="shared" si="68"/>
        <v>0</v>
      </c>
      <c r="AA54" s="814">
        <f t="shared" si="68"/>
        <v>0</v>
      </c>
      <c r="AB54" s="814">
        <f t="shared" si="68"/>
        <v>0</v>
      </c>
      <c r="AC54" s="814">
        <f t="shared" si="68"/>
        <v>0</v>
      </c>
      <c r="AD54" s="814">
        <f t="shared" si="68"/>
        <v>0</v>
      </c>
      <c r="AE54" s="814">
        <f t="shared" si="68"/>
        <v>0</v>
      </c>
      <c r="AF54" s="815">
        <f t="shared" si="68"/>
        <v>0</v>
      </c>
      <c r="AG54" s="816">
        <f t="shared" ca="1" si="68"/>
        <v>0</v>
      </c>
      <c r="AH54" s="816">
        <f t="shared" ca="1" si="68"/>
        <v>0</v>
      </c>
      <c r="AI54" s="816">
        <f t="shared" ca="1" si="68"/>
        <v>0</v>
      </c>
      <c r="AJ54" s="816">
        <f t="shared" ca="1" si="68"/>
        <v>0</v>
      </c>
      <c r="AK54" s="816">
        <f t="shared" ca="1" si="68"/>
        <v>0</v>
      </c>
      <c r="AL54" s="816">
        <f t="shared" ca="1" si="68"/>
        <v>0</v>
      </c>
      <c r="AM54" s="816"/>
      <c r="AN54" s="813">
        <f t="shared" ref="AN54:BC54" si="69">INDEX(MO_CFSum_Dividend,0,COLUMN())</f>
        <v>0</v>
      </c>
      <c r="AO54" s="813">
        <f t="shared" si="69"/>
        <v>0</v>
      </c>
      <c r="AP54" s="813">
        <f t="shared" si="69"/>
        <v>0</v>
      </c>
      <c r="AQ54" s="813">
        <f t="shared" si="69"/>
        <v>0</v>
      </c>
      <c r="AR54" s="813">
        <f t="shared" si="69"/>
        <v>0</v>
      </c>
      <c r="AS54" s="813">
        <f t="shared" si="69"/>
        <v>0</v>
      </c>
      <c r="AT54" s="813">
        <f t="shared" si="69"/>
        <v>0</v>
      </c>
      <c r="AU54" s="813">
        <f t="shared" si="69"/>
        <v>0</v>
      </c>
      <c r="AV54" s="813">
        <f t="shared" si="69"/>
        <v>0</v>
      </c>
      <c r="AW54" s="813">
        <f t="shared" si="69"/>
        <v>0</v>
      </c>
      <c r="AX54" s="965">
        <f t="shared" si="69"/>
        <v>0</v>
      </c>
      <c r="AY54" s="817">
        <f t="shared" ca="1" si="69"/>
        <v>0</v>
      </c>
      <c r="AZ54" s="817">
        <f t="shared" ca="1" si="69"/>
        <v>0</v>
      </c>
      <c r="BA54" s="817">
        <f t="shared" ca="1" si="69"/>
        <v>0</v>
      </c>
      <c r="BB54" s="817">
        <f t="shared" ca="1" si="69"/>
        <v>0</v>
      </c>
      <c r="BC54" s="817">
        <f t="shared" ca="1" si="69"/>
        <v>0</v>
      </c>
      <c r="BD54" s="684"/>
    </row>
    <row r="55" spans="1:56" s="58" customFormat="1" x14ac:dyDescent="0.25">
      <c r="A55" s="250" t="s">
        <v>308</v>
      </c>
      <c r="B55" s="251"/>
      <c r="C55" s="819">
        <f t="shared" ref="C55:AL55" si="70">SUM(C53:C54)</f>
        <v>6.4850000000000003</v>
      </c>
      <c r="D55" s="819">
        <f t="shared" si="70"/>
        <v>6.82</v>
      </c>
      <c r="E55" s="819">
        <f t="shared" si="70"/>
        <v>6.881000000000002</v>
      </c>
      <c r="F55" s="819">
        <f t="shared" si="70"/>
        <v>7.1849999999999978</v>
      </c>
      <c r="G55" s="819">
        <f t="shared" si="70"/>
        <v>6.5440000000000005</v>
      </c>
      <c r="H55" s="819">
        <f t="shared" si="70"/>
        <v>10.850999999999997</v>
      </c>
      <c r="I55" s="819">
        <f t="shared" si="70"/>
        <v>9.8040000000000003</v>
      </c>
      <c r="J55" s="819">
        <f t="shared" si="70"/>
        <v>10.218</v>
      </c>
      <c r="K55" s="819">
        <f t="shared" si="70"/>
        <v>7.1160000000000005</v>
      </c>
      <c r="L55" s="819">
        <f t="shared" si="70"/>
        <v>7.5849999999999973</v>
      </c>
      <c r="M55" s="819">
        <f t="shared" si="70"/>
        <v>6.8060000000000018</v>
      </c>
      <c r="N55" s="819">
        <f t="shared" si="70"/>
        <v>8.1240000000000006</v>
      </c>
      <c r="O55" s="819">
        <f t="shared" si="70"/>
        <v>6.6449999999999987</v>
      </c>
      <c r="P55" s="819">
        <f t="shared" si="70"/>
        <v>7.5799999999999992</v>
      </c>
      <c r="Q55" s="819">
        <f t="shared" si="70"/>
        <v>6.0090000000000021</v>
      </c>
      <c r="R55" s="819">
        <f t="shared" si="70"/>
        <v>9.4629999999999992</v>
      </c>
      <c r="S55" s="819">
        <f t="shared" si="70"/>
        <v>6.3830000000000009</v>
      </c>
      <c r="T55" s="819">
        <f t="shared" si="70"/>
        <v>7.6609999999999996</v>
      </c>
      <c r="U55" s="819">
        <f t="shared" si="70"/>
        <v>6.1010000000000009</v>
      </c>
      <c r="V55" s="819">
        <f t="shared" si="70"/>
        <v>1.3669999999999995</v>
      </c>
      <c r="W55" s="819">
        <f t="shared" si="70"/>
        <v>2.8530000000000002</v>
      </c>
      <c r="X55" s="819">
        <f t="shared" si="70"/>
        <v>4.5199999999999996</v>
      </c>
      <c r="Y55" s="819">
        <f t="shared" si="70"/>
        <v>4.4000000000000012</v>
      </c>
      <c r="Z55" s="819">
        <f t="shared" si="70"/>
        <v>3.8979999999999997</v>
      </c>
      <c r="AA55" s="819">
        <f t="shared" si="70"/>
        <v>3.0700000000000003</v>
      </c>
      <c r="AB55" s="819">
        <f t="shared" si="70"/>
        <v>5.2989999999999995</v>
      </c>
      <c r="AC55" s="819">
        <f t="shared" si="70"/>
        <v>5.4160000000000004</v>
      </c>
      <c r="AD55" s="819">
        <f t="shared" si="70"/>
        <v>0.27700000000000058</v>
      </c>
      <c r="AE55" s="819">
        <f t="shared" si="70"/>
        <v>0.19400000000000001</v>
      </c>
      <c r="AF55" s="820">
        <f t="shared" si="70"/>
        <v>2.3384500000000044</v>
      </c>
      <c r="AG55" s="819">
        <f t="shared" ca="1" si="70"/>
        <v>4.454369072240433</v>
      </c>
      <c r="AH55" s="819">
        <f t="shared" ca="1" si="70"/>
        <v>5.8204225574091772</v>
      </c>
      <c r="AI55" s="819">
        <f t="shared" ca="1" si="70"/>
        <v>4.1101685618610846</v>
      </c>
      <c r="AJ55" s="819">
        <f t="shared" ca="1" si="70"/>
        <v>4.5682749037227639</v>
      </c>
      <c r="AK55" s="819">
        <f t="shared" ca="1" si="70"/>
        <v>4.9265417082860612</v>
      </c>
      <c r="AL55" s="819">
        <f t="shared" ca="1" si="70"/>
        <v>7.4520775289139314</v>
      </c>
      <c r="AM55" s="819"/>
      <c r="AN55" s="818">
        <f t="shared" ref="AN55:BC55" si="71">SUM(AN53:AN54)</f>
        <v>14.679000000000002</v>
      </c>
      <c r="AO55" s="818">
        <f t="shared" si="71"/>
        <v>17.193999999999999</v>
      </c>
      <c r="AP55" s="818">
        <f t="shared" si="71"/>
        <v>20.869999999999997</v>
      </c>
      <c r="AQ55" s="818">
        <f t="shared" si="71"/>
        <v>31.640999999999998</v>
      </c>
      <c r="AR55" s="818">
        <f t="shared" si="71"/>
        <v>27.371000000000009</v>
      </c>
      <c r="AS55" s="818">
        <f t="shared" si="71"/>
        <v>37.417000000000002</v>
      </c>
      <c r="AT55" s="818">
        <f t="shared" si="71"/>
        <v>29.630999999999997</v>
      </c>
      <c r="AU55" s="818">
        <f t="shared" si="71"/>
        <v>29.696999999999999</v>
      </c>
      <c r="AV55" s="818">
        <f t="shared" si="71"/>
        <v>21.512</v>
      </c>
      <c r="AW55" s="818">
        <f t="shared" si="71"/>
        <v>15.671000000000003</v>
      </c>
      <c r="AX55" s="966">
        <f t="shared" si="71"/>
        <v>14.062000000000003</v>
      </c>
      <c r="AY55" s="818">
        <f t="shared" ca="1" si="71"/>
        <v>12.807241629649615</v>
      </c>
      <c r="AZ55" s="818">
        <f t="shared" ca="1" si="71"/>
        <v>21.057062702783842</v>
      </c>
      <c r="BA55" s="818">
        <f t="shared" ca="1" si="71"/>
        <v>28.803744567509394</v>
      </c>
      <c r="BB55" s="818">
        <f t="shared" ca="1" si="71"/>
        <v>36.365778345723974</v>
      </c>
      <c r="BC55" s="818">
        <f t="shared" ca="1" si="71"/>
        <v>38.006890438325833</v>
      </c>
      <c r="BD55" s="685"/>
    </row>
    <row r="56" spans="1:56" s="56" customFormat="1" x14ac:dyDescent="0.25">
      <c r="A56" s="248" t="str">
        <f>INDEX(MO_CFSum_Acquisition,0,COLUMN())</f>
        <v>Acquisitions</v>
      </c>
      <c r="B56" s="249"/>
      <c r="C56" s="814">
        <f t="shared" ref="C56:AL56" si="72">INDEX(MO_CFSum_Acquisition,0,COLUMN())</f>
        <v>0</v>
      </c>
      <c r="D56" s="814">
        <f t="shared" si="72"/>
        <v>-13.523999999999999</v>
      </c>
      <c r="E56" s="814">
        <f t="shared" si="72"/>
        <v>0</v>
      </c>
      <c r="F56" s="814">
        <f t="shared" si="72"/>
        <v>1.8999999999998352E-2</v>
      </c>
      <c r="G56" s="814">
        <f t="shared" si="72"/>
        <v>0</v>
      </c>
      <c r="H56" s="814">
        <f t="shared" si="72"/>
        <v>-8.6660000000000004</v>
      </c>
      <c r="I56" s="814">
        <f t="shared" si="72"/>
        <v>0</v>
      </c>
      <c r="J56" s="814">
        <f t="shared" si="72"/>
        <v>-3.9999999999995595E-3</v>
      </c>
      <c r="K56" s="814">
        <f t="shared" si="72"/>
        <v>0</v>
      </c>
      <c r="L56" s="814">
        <f t="shared" si="72"/>
        <v>0</v>
      </c>
      <c r="M56" s="814">
        <f t="shared" si="72"/>
        <v>0</v>
      </c>
      <c r="N56" s="814">
        <f t="shared" si="72"/>
        <v>0</v>
      </c>
      <c r="O56" s="814">
        <f t="shared" si="72"/>
        <v>-2.33</v>
      </c>
      <c r="P56" s="814">
        <f t="shared" si="72"/>
        <v>0</v>
      </c>
      <c r="Q56" s="814">
        <f t="shared" si="72"/>
        <v>0.16900000000000004</v>
      </c>
      <c r="R56" s="814">
        <f t="shared" si="72"/>
        <v>-6.24</v>
      </c>
      <c r="S56" s="814">
        <f t="shared" si="72"/>
        <v>-3.1930000000000001</v>
      </c>
      <c r="T56" s="814">
        <f t="shared" si="72"/>
        <v>-3.1910000000000003</v>
      </c>
      <c r="U56" s="814">
        <f t="shared" si="72"/>
        <v>-4.7279999999999998</v>
      </c>
      <c r="V56" s="814">
        <f t="shared" si="72"/>
        <v>9.9999999999944578E-4</v>
      </c>
      <c r="W56" s="814">
        <f t="shared" si="72"/>
        <v>-10</v>
      </c>
      <c r="X56" s="814">
        <f t="shared" si="72"/>
        <v>-29.957000000000001</v>
      </c>
      <c r="Y56" s="814">
        <f t="shared" si="72"/>
        <v>-2.9149999999999991</v>
      </c>
      <c r="Z56" s="814">
        <f t="shared" si="72"/>
        <v>-12.417999999999999</v>
      </c>
      <c r="AA56" s="814">
        <f t="shared" si="72"/>
        <v>0</v>
      </c>
      <c r="AB56" s="814">
        <f t="shared" si="72"/>
        <v>0</v>
      </c>
      <c r="AC56" s="814">
        <f t="shared" si="72"/>
        <v>0.85</v>
      </c>
      <c r="AD56" s="814">
        <f t="shared" si="72"/>
        <v>0</v>
      </c>
      <c r="AE56" s="814">
        <f t="shared" si="72"/>
        <v>0</v>
      </c>
      <c r="AF56" s="815">
        <f t="shared" si="72"/>
        <v>0</v>
      </c>
      <c r="AG56" s="816">
        <f t="shared" si="72"/>
        <v>0</v>
      </c>
      <c r="AH56" s="816">
        <f t="shared" si="72"/>
        <v>0</v>
      </c>
      <c r="AI56" s="816">
        <f t="shared" si="72"/>
        <v>0</v>
      </c>
      <c r="AJ56" s="816">
        <f t="shared" si="72"/>
        <v>0</v>
      </c>
      <c r="AK56" s="816">
        <f t="shared" si="72"/>
        <v>0</v>
      </c>
      <c r="AL56" s="816">
        <f t="shared" si="72"/>
        <v>0</v>
      </c>
      <c r="AM56" s="816"/>
      <c r="AN56" s="813">
        <f t="shared" ref="AN56:BC56" si="73">INDEX(MO_CFSum_Acquisition,0,COLUMN())</f>
        <v>-20.773</v>
      </c>
      <c r="AO56" s="813">
        <f t="shared" si="73"/>
        <v>-5.1210000000000004</v>
      </c>
      <c r="AP56" s="813">
        <f t="shared" si="73"/>
        <v>-36.076999999999998</v>
      </c>
      <c r="AQ56" s="813">
        <f t="shared" si="73"/>
        <v>-12.183999999999999</v>
      </c>
      <c r="AR56" s="813">
        <f t="shared" si="73"/>
        <v>-13.505000000000001</v>
      </c>
      <c r="AS56" s="813">
        <f t="shared" si="73"/>
        <v>-8.67</v>
      </c>
      <c r="AT56" s="813">
        <f t="shared" si="73"/>
        <v>0</v>
      </c>
      <c r="AU56" s="813">
        <f t="shared" si="73"/>
        <v>-8.4009999999999998</v>
      </c>
      <c r="AV56" s="813">
        <f t="shared" si="73"/>
        <v>-11.111000000000001</v>
      </c>
      <c r="AW56" s="813">
        <f t="shared" si="73"/>
        <v>-55.29</v>
      </c>
      <c r="AX56" s="965">
        <f t="shared" si="73"/>
        <v>0.85</v>
      </c>
      <c r="AY56" s="817">
        <f t="shared" si="73"/>
        <v>0</v>
      </c>
      <c r="AZ56" s="817">
        <f t="shared" si="73"/>
        <v>0</v>
      </c>
      <c r="BA56" s="817">
        <f t="shared" si="73"/>
        <v>0</v>
      </c>
      <c r="BB56" s="817">
        <f t="shared" si="73"/>
        <v>0</v>
      </c>
      <c r="BC56" s="817">
        <f t="shared" si="73"/>
        <v>0</v>
      </c>
      <c r="BD56" s="684"/>
    </row>
    <row r="57" spans="1:56" s="56" customFormat="1" x14ac:dyDescent="0.25">
      <c r="A57" s="248" t="str">
        <f>INDEX(MO_CFSum_Divestiture,0,COLUMN())</f>
        <v>Divestiture</v>
      </c>
      <c r="B57" s="249"/>
      <c r="C57" s="814">
        <f t="shared" ref="C57:AL57" si="74">INDEX(MO_CFSum_Divestiture,0,COLUMN())</f>
        <v>0</v>
      </c>
      <c r="D57" s="814">
        <f t="shared" si="74"/>
        <v>0</v>
      </c>
      <c r="E57" s="814">
        <f t="shared" si="74"/>
        <v>0</v>
      </c>
      <c r="F57" s="814">
        <f t="shared" si="74"/>
        <v>0</v>
      </c>
      <c r="G57" s="814">
        <f t="shared" si="74"/>
        <v>0</v>
      </c>
      <c r="H57" s="814">
        <f t="shared" si="74"/>
        <v>0</v>
      </c>
      <c r="I57" s="814">
        <f t="shared" si="74"/>
        <v>0</v>
      </c>
      <c r="J57" s="814">
        <f t="shared" si="74"/>
        <v>0</v>
      </c>
      <c r="K57" s="814">
        <f t="shared" si="74"/>
        <v>0</v>
      </c>
      <c r="L57" s="814">
        <f t="shared" si="74"/>
        <v>0</v>
      </c>
      <c r="M57" s="814">
        <f t="shared" si="74"/>
        <v>0</v>
      </c>
      <c r="N57" s="814">
        <f t="shared" si="74"/>
        <v>0</v>
      </c>
      <c r="O57" s="814">
        <f t="shared" si="74"/>
        <v>0</v>
      </c>
      <c r="P57" s="814">
        <f t="shared" si="74"/>
        <v>0</v>
      </c>
      <c r="Q57" s="814">
        <f t="shared" si="74"/>
        <v>0</v>
      </c>
      <c r="R57" s="814">
        <f t="shared" si="74"/>
        <v>0</v>
      </c>
      <c r="S57" s="814">
        <f t="shared" si="74"/>
        <v>0</v>
      </c>
      <c r="T57" s="814">
        <f t="shared" si="74"/>
        <v>0</v>
      </c>
      <c r="U57" s="814">
        <f t="shared" si="74"/>
        <v>0</v>
      </c>
      <c r="V57" s="814">
        <f t="shared" si="74"/>
        <v>0</v>
      </c>
      <c r="W57" s="814">
        <f t="shared" si="74"/>
        <v>0</v>
      </c>
      <c r="X57" s="814">
        <f t="shared" si="74"/>
        <v>0</v>
      </c>
      <c r="Y57" s="814">
        <f t="shared" si="74"/>
        <v>0</v>
      </c>
      <c r="Z57" s="814">
        <f t="shared" si="74"/>
        <v>0</v>
      </c>
      <c r="AA57" s="814">
        <f t="shared" si="74"/>
        <v>0</v>
      </c>
      <c r="AB57" s="814">
        <f t="shared" si="74"/>
        <v>0</v>
      </c>
      <c r="AC57" s="814">
        <f t="shared" si="74"/>
        <v>0</v>
      </c>
      <c r="AD57" s="814">
        <f t="shared" si="74"/>
        <v>20.047999999999998</v>
      </c>
      <c r="AE57" s="814">
        <f t="shared" si="74"/>
        <v>3.3279999999999998</v>
      </c>
      <c r="AF57" s="815">
        <f t="shared" si="74"/>
        <v>0</v>
      </c>
      <c r="AG57" s="816">
        <f t="shared" si="74"/>
        <v>0</v>
      </c>
      <c r="AH57" s="816">
        <f t="shared" si="74"/>
        <v>0</v>
      </c>
      <c r="AI57" s="816">
        <f t="shared" si="74"/>
        <v>0</v>
      </c>
      <c r="AJ57" s="816">
        <f t="shared" si="74"/>
        <v>0</v>
      </c>
      <c r="AK57" s="816">
        <f t="shared" si="74"/>
        <v>0</v>
      </c>
      <c r="AL57" s="816">
        <f t="shared" si="74"/>
        <v>0</v>
      </c>
      <c r="AM57" s="816"/>
      <c r="AN57" s="813">
        <f t="shared" ref="AN57:BC57" si="75">INDEX(MO_CFSum_Divestiture,0,COLUMN())</f>
        <v>0</v>
      </c>
      <c r="AO57" s="813">
        <f t="shared" si="75"/>
        <v>0</v>
      </c>
      <c r="AP57" s="813">
        <f t="shared" si="75"/>
        <v>0</v>
      </c>
      <c r="AQ57" s="813">
        <f t="shared" si="75"/>
        <v>0</v>
      </c>
      <c r="AR57" s="813">
        <f t="shared" si="75"/>
        <v>0</v>
      </c>
      <c r="AS57" s="813">
        <f t="shared" si="75"/>
        <v>0</v>
      </c>
      <c r="AT57" s="813">
        <f t="shared" si="75"/>
        <v>0</v>
      </c>
      <c r="AU57" s="813">
        <f t="shared" si="75"/>
        <v>0</v>
      </c>
      <c r="AV57" s="813">
        <f t="shared" si="75"/>
        <v>0</v>
      </c>
      <c r="AW57" s="813">
        <f t="shared" si="75"/>
        <v>0</v>
      </c>
      <c r="AX57" s="965">
        <f t="shared" si="75"/>
        <v>20.047999999999998</v>
      </c>
      <c r="AY57" s="817">
        <f t="shared" si="75"/>
        <v>3.3279999999999998</v>
      </c>
      <c r="AZ57" s="817">
        <f t="shared" si="75"/>
        <v>0</v>
      </c>
      <c r="BA57" s="817">
        <f t="shared" si="75"/>
        <v>0</v>
      </c>
      <c r="BB57" s="817">
        <f t="shared" si="75"/>
        <v>0</v>
      </c>
      <c r="BC57" s="817">
        <f t="shared" si="75"/>
        <v>0</v>
      </c>
      <c r="BD57" s="684"/>
    </row>
    <row r="58" spans="1:56" s="56" customFormat="1" x14ac:dyDescent="0.25">
      <c r="A58" s="248" t="s">
        <v>309</v>
      </c>
      <c r="B58" s="249"/>
      <c r="C58" s="814">
        <f t="shared" ref="C58:AL58" ca="1" si="76">SUM(OFFSET(INDEX(MO_CFS_CFO_BeforeWC,0,COLUMN()),1,0,ROW(INDEX(MO_CFS_CFO,0,COLUMN()))-ROW(INDEX(MO_CFS_CFO_BeforeWC,0,COLUMN()))-1,1))</f>
        <v>-1.9990000000000006</v>
      </c>
      <c r="D58" s="814">
        <f t="shared" ca="1" si="76"/>
        <v>-7.9880000000000004</v>
      </c>
      <c r="E58" s="814">
        <f t="shared" ca="1" si="76"/>
        <v>-4.5580000000000007</v>
      </c>
      <c r="F58" s="814">
        <f t="shared" ca="1" si="76"/>
        <v>-3.2869999999999999</v>
      </c>
      <c r="G58" s="814">
        <f t="shared" ca="1" si="76"/>
        <v>-6.7389999999999972</v>
      </c>
      <c r="H58" s="814">
        <f t="shared" ca="1" si="76"/>
        <v>-14.017000000000001</v>
      </c>
      <c r="I58" s="814">
        <f t="shared" ca="1" si="76"/>
        <v>7.9060000000000015</v>
      </c>
      <c r="J58" s="814">
        <f t="shared" ca="1" si="76"/>
        <v>3.6740000000000013</v>
      </c>
      <c r="K58" s="814">
        <f t="shared" ca="1" si="76"/>
        <v>-4.5189999999999992</v>
      </c>
      <c r="L58" s="814">
        <f t="shared" ca="1" si="76"/>
        <v>-8.4069999999999965</v>
      </c>
      <c r="M58" s="814">
        <f t="shared" ca="1" si="76"/>
        <v>-0.88400000000000045</v>
      </c>
      <c r="N58" s="814">
        <f t="shared" ca="1" si="76"/>
        <v>7.3759999999999986</v>
      </c>
      <c r="O58" s="814">
        <f t="shared" ca="1" si="76"/>
        <v>1.343</v>
      </c>
      <c r="P58" s="814">
        <f t="shared" ca="1" si="76"/>
        <v>-6.5080000000000009</v>
      </c>
      <c r="Q58" s="814">
        <f t="shared" ca="1" si="76"/>
        <v>-4.3549999999999986</v>
      </c>
      <c r="R58" s="814">
        <f t="shared" ca="1" si="76"/>
        <v>-3.5020000000000024</v>
      </c>
      <c r="S58" s="814">
        <f t="shared" ca="1" si="76"/>
        <v>-2.79</v>
      </c>
      <c r="T58" s="814">
        <f t="shared" ca="1" si="76"/>
        <v>6.7349999999999994</v>
      </c>
      <c r="U58" s="814">
        <f t="shared" ca="1" si="76"/>
        <v>-5.24</v>
      </c>
      <c r="V58" s="814">
        <f t="shared" ca="1" si="76"/>
        <v>3.3089999999999997</v>
      </c>
      <c r="W58" s="814">
        <f t="shared" ca="1" si="76"/>
        <v>6.1830000000000007</v>
      </c>
      <c r="X58" s="814">
        <f t="shared" ca="1" si="76"/>
        <v>-7.9450000000000003</v>
      </c>
      <c r="Y58" s="814">
        <f t="shared" ca="1" si="76"/>
        <v>-8.7680000000000007</v>
      </c>
      <c r="Z58" s="814">
        <f t="shared" ca="1" si="76"/>
        <v>3.234999999999995</v>
      </c>
      <c r="AA58" s="814">
        <f t="shared" ca="1" si="76"/>
        <v>-6.2169999999999996</v>
      </c>
      <c r="AB58" s="814">
        <f t="shared" ca="1" si="76"/>
        <v>-9.4820000000000011</v>
      </c>
      <c r="AC58" s="814">
        <f t="shared" ca="1" si="76"/>
        <v>4.5599999999999996</v>
      </c>
      <c r="AD58" s="814">
        <f t="shared" ca="1" si="76"/>
        <v>8.161999999999999</v>
      </c>
      <c r="AE58" s="814">
        <f t="shared" ca="1" si="76"/>
        <v>9.1859999999999999</v>
      </c>
      <c r="AF58" s="815">
        <f t="shared" ca="1" si="76"/>
        <v>20.000549999999997</v>
      </c>
      <c r="AG58" s="816">
        <f t="shared" ca="1" si="76"/>
        <v>-5.653900543332103</v>
      </c>
      <c r="AH58" s="816">
        <f t="shared" ca="1" si="76"/>
        <v>2.903574744844196</v>
      </c>
      <c r="AI58" s="816">
        <f t="shared" ca="1" si="76"/>
        <v>-9.4535361041231916</v>
      </c>
      <c r="AJ58" s="816">
        <f t="shared" ca="1" si="76"/>
        <v>10.061976724604595</v>
      </c>
      <c r="AK58" s="816">
        <f t="shared" ca="1" si="76"/>
        <v>-7.880065945175172</v>
      </c>
      <c r="AL58" s="816">
        <f t="shared" ca="1" si="76"/>
        <v>0.98409846564250358</v>
      </c>
      <c r="AM58" s="816"/>
      <c r="AN58" s="813">
        <f t="shared" ref="AN58:BC58" ca="1" si="77">SUM(OFFSET(INDEX(MO_CFS_CFO_BeforeWC,0,COLUMN()),1,0,ROW(INDEX(MO_CFS_CFO,0,COLUMN()))-ROW(INDEX(MO_CFS_CFO_BeforeWC,0,COLUMN()))-1,1))</f>
        <v>2.923</v>
      </c>
      <c r="AO58" s="813">
        <f t="shared" ca="1" si="77"/>
        <v>7.4649999999999999</v>
      </c>
      <c r="AP58" s="813">
        <f t="shared" ca="1" si="77"/>
        <v>-8.645999999999999</v>
      </c>
      <c r="AQ58" s="813">
        <f t="shared" ca="1" si="77"/>
        <v>-8.8650000000000002</v>
      </c>
      <c r="AR58" s="813">
        <f t="shared" ca="1" si="77"/>
        <v>-17.832000000000001</v>
      </c>
      <c r="AS58" s="813">
        <f t="shared" ca="1" si="77"/>
        <v>-9.1759999999999984</v>
      </c>
      <c r="AT58" s="813">
        <f t="shared" ca="1" si="77"/>
        <v>-6.4340000000000011</v>
      </c>
      <c r="AU58" s="813">
        <f t="shared" ca="1" si="77"/>
        <v>-13.022000000000002</v>
      </c>
      <c r="AV58" s="813">
        <f t="shared" ca="1" si="77"/>
        <v>2.013999999999998</v>
      </c>
      <c r="AW58" s="813">
        <f t="shared" ca="1" si="77"/>
        <v>-7.2950000000000035</v>
      </c>
      <c r="AX58" s="965">
        <f t="shared" ca="1" si="77"/>
        <v>-2.9770000000000012</v>
      </c>
      <c r="AY58" s="817">
        <f t="shared" ca="1" si="77"/>
        <v>26.436224201512093</v>
      </c>
      <c r="AZ58" s="817">
        <f t="shared" ca="1" si="77"/>
        <v>-6.2875268590512654</v>
      </c>
      <c r="BA58" s="817">
        <f t="shared" ca="1" si="77"/>
        <v>-9.7647852657539111</v>
      </c>
      <c r="BB58" s="817">
        <f t="shared" ca="1" si="77"/>
        <v>-10.741263792329338</v>
      </c>
      <c r="BC58" s="817">
        <f t="shared" ca="1" si="77"/>
        <v>-5.9076950857810964</v>
      </c>
      <c r="BD58" s="684"/>
    </row>
    <row r="59" spans="1:56" s="56" customFormat="1" x14ac:dyDescent="0.25">
      <c r="A59" s="248" t="s">
        <v>310</v>
      </c>
      <c r="B59" s="249"/>
      <c r="C59" s="814">
        <f t="shared" ref="C59:AL59" si="78">INDEX(MO_CFSum_NetShares,0,COLUMN())</f>
        <v>-0.45100000000000001</v>
      </c>
      <c r="D59" s="814">
        <f t="shared" si="78"/>
        <v>0</v>
      </c>
      <c r="E59" s="814">
        <f t="shared" si="78"/>
        <v>-0.69600000000000006</v>
      </c>
      <c r="F59" s="814">
        <f t="shared" si="78"/>
        <v>-0.80100000000000005</v>
      </c>
      <c r="G59" s="814">
        <f t="shared" si="78"/>
        <v>-0.32</v>
      </c>
      <c r="H59" s="814">
        <f t="shared" si="78"/>
        <v>-1.0679999999999998</v>
      </c>
      <c r="I59" s="814">
        <f t="shared" si="78"/>
        <v>-2.0210000000000004</v>
      </c>
      <c r="J59" s="814">
        <f t="shared" si="78"/>
        <v>-64.03</v>
      </c>
      <c r="K59" s="814">
        <f t="shared" si="78"/>
        <v>-0.36399999999999999</v>
      </c>
      <c r="L59" s="814">
        <f t="shared" si="78"/>
        <v>-0.73699999999999999</v>
      </c>
      <c r="M59" s="814">
        <f t="shared" si="78"/>
        <v>-5.5339999999999998</v>
      </c>
      <c r="N59" s="814">
        <f t="shared" si="78"/>
        <v>-5.3919999999999995</v>
      </c>
      <c r="O59" s="814">
        <f t="shared" si="78"/>
        <v>-4.2910000000000004</v>
      </c>
      <c r="P59" s="814">
        <f t="shared" si="78"/>
        <v>-3.585</v>
      </c>
      <c r="Q59" s="814">
        <f t="shared" si="78"/>
        <v>-0.34999999999999931</v>
      </c>
      <c r="R59" s="814">
        <f t="shared" si="78"/>
        <v>-1.0100000000000002</v>
      </c>
      <c r="S59" s="814">
        <f t="shared" si="78"/>
        <v>-1.6739999999999999</v>
      </c>
      <c r="T59" s="814">
        <f t="shared" si="78"/>
        <v>-0.74500000000000011</v>
      </c>
      <c r="U59" s="814">
        <f t="shared" si="78"/>
        <v>-0.60399999999999998</v>
      </c>
      <c r="V59" s="814">
        <f t="shared" si="78"/>
        <v>-1.9180000000000001</v>
      </c>
      <c r="W59" s="814">
        <f t="shared" si="78"/>
        <v>-7.79</v>
      </c>
      <c r="X59" s="814">
        <f t="shared" si="78"/>
        <v>-3.3000000000000362E-2</v>
      </c>
      <c r="Y59" s="814">
        <f t="shared" si="78"/>
        <v>-0.76499999999999901</v>
      </c>
      <c r="Z59" s="814">
        <f t="shared" si="78"/>
        <v>-0.35000000000000081</v>
      </c>
      <c r="AA59" s="814">
        <f t="shared" si="78"/>
        <v>0</v>
      </c>
      <c r="AB59" s="814">
        <f t="shared" si="78"/>
        <v>0</v>
      </c>
      <c r="AC59" s="814">
        <f t="shared" si="78"/>
        <v>0</v>
      </c>
      <c r="AD59" s="814">
        <f t="shared" si="78"/>
        <v>-0.27800000000000002</v>
      </c>
      <c r="AE59" s="814">
        <f t="shared" si="78"/>
        <v>0</v>
      </c>
      <c r="AF59" s="815">
        <f t="shared" si="78"/>
        <v>0</v>
      </c>
      <c r="AG59" s="816">
        <f t="shared" si="78"/>
        <v>0</v>
      </c>
      <c r="AH59" s="816">
        <f t="shared" si="78"/>
        <v>0</v>
      </c>
      <c r="AI59" s="816">
        <f t="shared" si="78"/>
        <v>0</v>
      </c>
      <c r="AJ59" s="816">
        <f t="shared" si="78"/>
        <v>0</v>
      </c>
      <c r="AK59" s="816">
        <f t="shared" si="78"/>
        <v>0</v>
      </c>
      <c r="AL59" s="816">
        <f t="shared" si="78"/>
        <v>0</v>
      </c>
      <c r="AM59" s="816"/>
      <c r="AN59" s="813">
        <f t="shared" ref="AN59:BC59" si="79">INDEX(MO_CFSum_NetShares,0,COLUMN())</f>
        <v>17.466000000000001</v>
      </c>
      <c r="AO59" s="813">
        <f t="shared" si="79"/>
        <v>-9.8000000000000004E-2</v>
      </c>
      <c r="AP59" s="813">
        <f t="shared" si="79"/>
        <v>-1.2649999999999999</v>
      </c>
      <c r="AQ59" s="813">
        <f t="shared" si="79"/>
        <v>-3.8650000000000002</v>
      </c>
      <c r="AR59" s="813">
        <f t="shared" si="79"/>
        <v>-1.9480000000000002</v>
      </c>
      <c r="AS59" s="813">
        <f t="shared" si="79"/>
        <v>-67.439000000000007</v>
      </c>
      <c r="AT59" s="813">
        <f t="shared" si="79"/>
        <v>-12.026999999999999</v>
      </c>
      <c r="AU59" s="813">
        <f t="shared" si="79"/>
        <v>-9.2360000000000007</v>
      </c>
      <c r="AV59" s="813">
        <f t="shared" si="79"/>
        <v>-4.9409999999999998</v>
      </c>
      <c r="AW59" s="813">
        <f t="shared" si="79"/>
        <v>-8.9380000000000006</v>
      </c>
      <c r="AX59" s="965">
        <f t="shared" si="79"/>
        <v>-0.27800000000000002</v>
      </c>
      <c r="AY59" s="817">
        <f t="shared" si="79"/>
        <v>0</v>
      </c>
      <c r="AZ59" s="817">
        <f t="shared" si="79"/>
        <v>0</v>
      </c>
      <c r="BA59" s="817">
        <f t="shared" si="79"/>
        <v>0</v>
      </c>
      <c r="BB59" s="817">
        <f t="shared" si="79"/>
        <v>0</v>
      </c>
      <c r="BC59" s="817">
        <f t="shared" si="79"/>
        <v>0</v>
      </c>
      <c r="BD59" s="684"/>
    </row>
    <row r="60" spans="1:56" s="56" customFormat="1" x14ac:dyDescent="0.25">
      <c r="A60" s="248" t="s">
        <v>311</v>
      </c>
      <c r="B60" s="249"/>
      <c r="C60" s="814">
        <f t="shared" ref="C60:AL60" si="80">INDEX(MO_CFSum_NetDebtIssuance,0,COLUMN())</f>
        <v>0</v>
      </c>
      <c r="D60" s="814">
        <f t="shared" si="80"/>
        <v>6.77</v>
      </c>
      <c r="E60" s="814">
        <f t="shared" si="80"/>
        <v>-1.9499999999999993</v>
      </c>
      <c r="F60" s="814">
        <f t="shared" si="80"/>
        <v>-4.4130000000000003</v>
      </c>
      <c r="G60" s="814">
        <f t="shared" si="80"/>
        <v>2.37</v>
      </c>
      <c r="H60" s="814">
        <f t="shared" si="80"/>
        <v>14.994</v>
      </c>
      <c r="I60" s="814">
        <f t="shared" si="80"/>
        <v>-12.891000000000002</v>
      </c>
      <c r="J60" s="814">
        <f t="shared" si="80"/>
        <v>53.695999999999998</v>
      </c>
      <c r="K60" s="814">
        <f t="shared" si="80"/>
        <v>-2.5980000000000003</v>
      </c>
      <c r="L60" s="814">
        <f t="shared" si="80"/>
        <v>3.9309999999999992</v>
      </c>
      <c r="M60" s="814">
        <f t="shared" si="80"/>
        <v>0.77500000000000124</v>
      </c>
      <c r="N60" s="814">
        <f t="shared" si="80"/>
        <v>-2.1560000000000006</v>
      </c>
      <c r="O60" s="814">
        <f t="shared" si="80"/>
        <v>-4.3250000000000002</v>
      </c>
      <c r="P60" s="814">
        <f t="shared" si="80"/>
        <v>6.2440000000000015</v>
      </c>
      <c r="Q60" s="814">
        <f t="shared" si="80"/>
        <v>-1.1539999999999999</v>
      </c>
      <c r="R60" s="814">
        <f t="shared" si="80"/>
        <v>-1.3359999999999985</v>
      </c>
      <c r="S60" s="814">
        <f t="shared" si="80"/>
        <v>2.8200000000000003</v>
      </c>
      <c r="T60" s="814">
        <f t="shared" si="80"/>
        <v>-2.5670000000000002</v>
      </c>
      <c r="U60" s="814">
        <f t="shared" si="80"/>
        <v>2.2000000000000242E-2</v>
      </c>
      <c r="V60" s="814">
        <f t="shared" si="80"/>
        <v>7.1150000000000002</v>
      </c>
      <c r="W60" s="814">
        <f t="shared" si="80"/>
        <v>3.0220000000000002</v>
      </c>
      <c r="X60" s="814">
        <f t="shared" si="80"/>
        <v>33.174999999999997</v>
      </c>
      <c r="Y60" s="814">
        <f t="shared" si="80"/>
        <v>4.213000000000001</v>
      </c>
      <c r="Z60" s="814">
        <f t="shared" si="80"/>
        <v>9.2820000000000054</v>
      </c>
      <c r="AA60" s="814">
        <f t="shared" si="80"/>
        <v>3.7999999999996703E-2</v>
      </c>
      <c r="AB60" s="814">
        <f t="shared" si="80"/>
        <v>3.1119999999999948</v>
      </c>
      <c r="AC60" s="814">
        <f t="shared" si="80"/>
        <v>-6.5</v>
      </c>
      <c r="AD60" s="814">
        <f t="shared" si="80"/>
        <v>-30.582999999999988</v>
      </c>
      <c r="AE60" s="814">
        <f t="shared" si="80"/>
        <v>-8.0330000000000013</v>
      </c>
      <c r="AF60" s="815">
        <f t="shared" si="80"/>
        <v>0</v>
      </c>
      <c r="AG60" s="816">
        <f t="shared" si="80"/>
        <v>0</v>
      </c>
      <c r="AH60" s="816">
        <f t="shared" si="80"/>
        <v>0</v>
      </c>
      <c r="AI60" s="816">
        <f t="shared" si="80"/>
        <v>0</v>
      </c>
      <c r="AJ60" s="816">
        <f t="shared" si="80"/>
        <v>0</v>
      </c>
      <c r="AK60" s="816">
        <f t="shared" si="80"/>
        <v>0</v>
      </c>
      <c r="AL60" s="816">
        <f t="shared" si="80"/>
        <v>0</v>
      </c>
      <c r="AM60" s="816"/>
      <c r="AN60" s="813">
        <f t="shared" ref="AN60:BC60" si="81">INDEX(MO_CFSum_NetDebtIssuance,0,COLUMN())</f>
        <v>-3.234</v>
      </c>
      <c r="AO60" s="813">
        <f t="shared" si="81"/>
        <v>0</v>
      </c>
      <c r="AP60" s="813">
        <f t="shared" si="81"/>
        <v>0</v>
      </c>
      <c r="AQ60" s="813">
        <f t="shared" si="81"/>
        <v>0</v>
      </c>
      <c r="AR60" s="813">
        <f t="shared" si="81"/>
        <v>0.40699999999999997</v>
      </c>
      <c r="AS60" s="813">
        <f t="shared" si="81"/>
        <v>58.168999999999997</v>
      </c>
      <c r="AT60" s="813">
        <f t="shared" si="81"/>
        <v>-4.8000000000000043E-2</v>
      </c>
      <c r="AU60" s="813">
        <f t="shared" si="81"/>
        <v>-0.57099999999999795</v>
      </c>
      <c r="AV60" s="813">
        <f t="shared" si="81"/>
        <v>7.3900000000000006</v>
      </c>
      <c r="AW60" s="813">
        <f t="shared" si="81"/>
        <v>49.692</v>
      </c>
      <c r="AX60" s="965">
        <f t="shared" si="81"/>
        <v>-33.932999999999993</v>
      </c>
      <c r="AY60" s="817">
        <f t="shared" si="81"/>
        <v>-8.0330000000000013</v>
      </c>
      <c r="AZ60" s="817">
        <f t="shared" si="81"/>
        <v>0</v>
      </c>
      <c r="BA60" s="817">
        <f t="shared" si="81"/>
        <v>0</v>
      </c>
      <c r="BB60" s="817">
        <f t="shared" si="81"/>
        <v>0</v>
      </c>
      <c r="BC60" s="817">
        <f t="shared" si="81"/>
        <v>0</v>
      </c>
      <c r="BD60" s="684"/>
    </row>
    <row r="61" spans="1:56" s="56" customFormat="1" x14ac:dyDescent="0.25">
      <c r="A61" s="248" t="s">
        <v>303</v>
      </c>
      <c r="B61" s="249"/>
      <c r="C61" s="814">
        <f>Model!C377+Model!C373+Model!C365+Model!C364+Model!C356+Model!C355+Model!C354+Model!C368</f>
        <v>-0.749</v>
      </c>
      <c r="D61" s="814">
        <f>Model!D377+Model!D373+Model!D365+Model!D364+Model!D356+Model!D355+Model!D354+Model!D368</f>
        <v>2.0669999999999997</v>
      </c>
      <c r="E61" s="814">
        <f>Model!E377+Model!E373+Model!E365+Model!E364+Model!E356+Model!E355+Model!E354+Model!E368</f>
        <v>-0.49599999999999994</v>
      </c>
      <c r="F61" s="814">
        <f>Model!F377+Model!F373+Model!F365+Model!F364+Model!F356+Model!F355+Model!F354+Model!F368</f>
        <v>2.5710000000000006</v>
      </c>
      <c r="G61" s="814">
        <f>Model!G377+Model!G373+Model!G365+Model!G364+Model!G356+Model!G355+Model!G354+Model!G368</f>
        <v>-2.2749999999999999</v>
      </c>
      <c r="H61" s="814">
        <f>Model!H377+Model!H373+Model!H365+Model!H364+Model!H356+Model!H355+Model!H354+Model!H368</f>
        <v>-1.2949999999999999</v>
      </c>
      <c r="I61" s="814">
        <f>Model!I377+Model!I373+Model!I365+Model!I364+Model!I356+Model!I355+Model!I354+Model!I368</f>
        <v>0.29399999999999982</v>
      </c>
      <c r="J61" s="814">
        <f>Model!J377+Model!J373+Model!J365+Model!J364+Model!J356+Model!J355+Model!J354+Model!J368</f>
        <v>1.8690000000000002</v>
      </c>
      <c r="K61" s="814">
        <f>Model!K377+Model!K373+Model!K365+Model!K364+Model!K356+Model!K355+Model!K354+Model!K368</f>
        <v>-2.0409999999999999</v>
      </c>
      <c r="L61" s="814">
        <f>Model!L377+Model!L373+Model!L365+Model!L364+Model!L356+Model!L355+Model!L354+Model!L368</f>
        <v>-2.1669999999999998</v>
      </c>
      <c r="M61" s="814">
        <f>Model!M377+Model!M373+Model!M365+Model!M364+Model!M356+Model!M355+Model!M354+Model!M368</f>
        <v>0.12799999999999995</v>
      </c>
      <c r="N61" s="814">
        <f>Model!N377+Model!N373+Model!N365+Model!N364+Model!N356+Model!N355+Model!N354+Model!N368</f>
        <v>-0.55299999999999994</v>
      </c>
      <c r="O61" s="814">
        <f>Model!O377+Model!O373+Model!O365+Model!O364+Model!O356+Model!O355+Model!O354+Model!O368</f>
        <v>-1.6020000000000001</v>
      </c>
      <c r="P61" s="814">
        <f>Model!P377+Model!P373+Model!P365+Model!P364+Model!P356+Model!P355+Model!P354+Model!P368</f>
        <v>-5.3409999999999993</v>
      </c>
      <c r="Q61" s="814">
        <f>Model!Q377+Model!Q373+Model!Q365+Model!Q364+Model!Q356+Model!Q355+Model!Q354+Model!Q368</f>
        <v>0.51600000000000001</v>
      </c>
      <c r="R61" s="814">
        <f>Model!R377+Model!R373+Model!R365+Model!R364+Model!R356+Model!R355+Model!R354+Model!R368</f>
        <v>3.2759999999999998</v>
      </c>
      <c r="S61" s="814">
        <f>Model!S377+Model!S373+Model!S365+Model!S364+Model!S356+Model!S355+Model!S354+Model!S368</f>
        <v>-2.44</v>
      </c>
      <c r="T61" s="814">
        <f>Model!T377+Model!T373+Model!T365+Model!T364+Model!T356+Model!T355+Model!T354+Model!T368</f>
        <v>0.36899999999999988</v>
      </c>
      <c r="U61" s="814">
        <f>Model!U377+Model!U373+Model!U365+Model!U364+Model!U356+Model!U355+Model!U354+Model!U368</f>
        <v>-1.2449999999999999</v>
      </c>
      <c r="V61" s="814">
        <f>Model!V377+Model!V373+Model!V365+Model!V364+Model!V356+Model!V355+Model!V354+Model!V368</f>
        <v>-4.2819999999999991</v>
      </c>
      <c r="W61" s="814">
        <f>Model!W377+Model!W373+Model!W365+Model!W364+Model!W356+Model!W355+Model!W354+Model!W368</f>
        <v>-0.93500000000000005</v>
      </c>
      <c r="X61" s="814">
        <f>Model!X377+Model!X373+Model!X365+Model!X364+Model!X356+Model!X355+Model!X354+Model!X368</f>
        <v>-2.5710000000000002</v>
      </c>
      <c r="Y61" s="814">
        <f>Model!Y377+Model!Y373+Model!Y365+Model!Y364+Model!Y356+Model!Y355+Model!Y354+Model!Y368</f>
        <v>2.4000000000000021E-2</v>
      </c>
      <c r="Z61" s="814">
        <f>Model!Z377+Model!Z373+Model!Z365+Model!Z364+Model!Z356+Model!Z355+Model!Z354+Model!Z368</f>
        <v>-0.55299999999999994</v>
      </c>
      <c r="AA61" s="814">
        <f>Model!AA377+Model!AA373+Model!AA365+Model!AA364+Model!AA356+Model!AA355+Model!AA354+Model!AA368</f>
        <v>-1.881</v>
      </c>
      <c r="AB61" s="814">
        <f>Model!AB377+Model!AB373+Model!AB365+Model!AB364+Model!AB356+Model!AB355+Model!AB354+Model!AB368</f>
        <v>-1.2450000000000001</v>
      </c>
      <c r="AC61" s="814">
        <f>Model!AC377+Model!AC373+Model!AC365+Model!AC364+Model!AC356+Model!AC355+Model!AC354+Model!AC368</f>
        <v>-2.698</v>
      </c>
      <c r="AD61" s="814">
        <f>Model!AD377+Model!AD373+Model!AD365+Model!AD364+Model!AD356+Model!AD355+Model!AD354+Model!AD368</f>
        <v>2.794</v>
      </c>
      <c r="AE61" s="814">
        <f>Model!AE377+Model!AE373+Model!AE365+Model!AE364+Model!AE356+Model!AE355+Model!AE354+Model!AE368</f>
        <v>-3.8090000000000002</v>
      </c>
      <c r="AF61" s="815">
        <f>Model!AF377+Model!AF373+Model!AF365+Model!AF364+Model!AF356+Model!AF355+Model!AF354+Model!AF368</f>
        <v>-19.267000000000021</v>
      </c>
      <c r="AG61" s="816">
        <f>Model!AG377+Model!AG373+Model!AG365+Model!AG364+Model!AG356+Model!AG355+Model!AG354+Model!AG368</f>
        <v>0</v>
      </c>
      <c r="AH61" s="816">
        <f>Model!AH377+Model!AH373+Model!AH365+Model!AH364+Model!AH356+Model!AH355+Model!AH354+Model!AH368</f>
        <v>0</v>
      </c>
      <c r="AI61" s="816">
        <f>Model!AI377+Model!AI373+Model!AI365+Model!AI364+Model!AI356+Model!AI355+Model!AI354+Model!AI368</f>
        <v>0</v>
      </c>
      <c r="AJ61" s="816">
        <f>Model!AJ377+Model!AJ373+Model!AJ365+Model!AJ364+Model!AJ356+Model!AJ355+Model!AJ354+Model!AJ368</f>
        <v>0</v>
      </c>
      <c r="AK61" s="816">
        <f>Model!AK377+Model!AK373+Model!AK365+Model!AK364+Model!AK356+Model!AK355+Model!AK354+Model!AK368</f>
        <v>0</v>
      </c>
      <c r="AL61" s="816">
        <f>Model!AL377+Model!AL373+Model!AL365+Model!AL364+Model!AL356+Model!AL355+Model!AL354+Model!AL368</f>
        <v>0</v>
      </c>
      <c r="AM61" s="816"/>
      <c r="AN61" s="813">
        <f>Model!AN377+Model!AN373+Model!AN365+Model!AN364+Model!AN356+Model!AN355+Model!AN354+Model!AN368</f>
        <v>-4.2189999999999994</v>
      </c>
      <c r="AO61" s="813">
        <f>Model!AO377+Model!AO373+Model!AO365+Model!AO364+Model!AO356+Model!AO355+Model!AO354+Model!AO368</f>
        <v>-1.3410000000000002</v>
      </c>
      <c r="AP61" s="813">
        <f>Model!AP377+Model!AP373+Model!AP365+Model!AP364+Model!AP356+Model!AP355+Model!AP354+Model!AP368</f>
        <v>0.36699999999999999</v>
      </c>
      <c r="AQ61" s="813">
        <f>Model!AQ377+Model!AQ373+Model!AQ365+Model!AQ364+Model!AQ356+Model!AQ355+Model!AQ354+Model!AQ368</f>
        <v>-3.117</v>
      </c>
      <c r="AR61" s="813">
        <f>Model!AR377+Model!AR373+Model!AR365+Model!AR364+Model!AR356+Model!AR355+Model!AR354+Model!AR368</f>
        <v>3.3930000000000007</v>
      </c>
      <c r="AS61" s="813">
        <f>Model!AS377+Model!AS373+Model!AS365+Model!AS364+Model!AS356+Model!AS355+Model!AS354+Model!AS368</f>
        <v>-1.407</v>
      </c>
      <c r="AT61" s="813">
        <f>Model!AT377+Model!AT373+Model!AT365+Model!AT364+Model!AT356+Model!AT355+Model!AT354+Model!AT368</f>
        <v>-4.633</v>
      </c>
      <c r="AU61" s="813">
        <f>Model!AU377+Model!AU373+Model!AU365+Model!AU364+Model!AU356+Model!AU355+Model!AU354+Model!AU368</f>
        <v>-3.1510000000000007</v>
      </c>
      <c r="AV61" s="813">
        <f>Model!AV377+Model!AV373+Model!AV365+Model!AV364+Model!AV356+Model!AV355+Model!AV354+Model!AV368</f>
        <v>-7.5979999999999999</v>
      </c>
      <c r="AW61" s="813">
        <f>Model!AW377+Model!AW373+Model!AW365+Model!AW364+Model!AW356+Model!AW355+Model!AW354+Model!AW368</f>
        <v>-4.0350000000000001</v>
      </c>
      <c r="AX61" s="965">
        <f>Model!AX377+Model!AX373+Model!AX365+Model!AX364+Model!AX356+Model!AX355+Model!AX354+Model!AX368</f>
        <v>-3.0300000000000002</v>
      </c>
      <c r="AY61" s="817">
        <f>Model!AY377+Model!AY373+Model!AY365+Model!AY364+Model!AY356+Model!AY355+Model!AY354+Model!AY368</f>
        <v>-23.076000000000022</v>
      </c>
      <c r="AZ61" s="817">
        <f>Model!AZ377+Model!AZ373+Model!AZ365+Model!AZ364+Model!AZ356+Model!AZ355+Model!AZ354+Model!AZ368</f>
        <v>0</v>
      </c>
      <c r="BA61" s="817">
        <f>Model!BA377+Model!BA373+Model!BA365+Model!BA364+Model!BA356+Model!BA355+Model!BA354+Model!BA368</f>
        <v>0</v>
      </c>
      <c r="BB61" s="817">
        <f>Model!BB377+Model!BB373+Model!BB365+Model!BB364+Model!BB356+Model!BB355+Model!BB354+Model!BB368</f>
        <v>0</v>
      </c>
      <c r="BC61" s="817">
        <f>Model!BC377+Model!BC373+Model!BC365+Model!BC364+Model!BC356+Model!BC355+Model!BC354+Model!BC368</f>
        <v>0</v>
      </c>
      <c r="BD61" s="684"/>
    </row>
    <row r="62" spans="1:56" s="58" customFormat="1" x14ac:dyDescent="0.25">
      <c r="A62" s="250" t="s">
        <v>312</v>
      </c>
      <c r="B62" s="251"/>
      <c r="C62" s="819">
        <f t="shared" ref="C62:AL62" ca="1" si="82">SUM(C55:C61)</f>
        <v>3.286</v>
      </c>
      <c r="D62" s="819">
        <f t="shared" ca="1" si="82"/>
        <v>-5.8550000000000004</v>
      </c>
      <c r="E62" s="819">
        <f t="shared" ca="1" si="82"/>
        <v>-0.81899999999999817</v>
      </c>
      <c r="F62" s="819">
        <f t="shared" ca="1" si="82"/>
        <v>1.2739999999999965</v>
      </c>
      <c r="G62" s="819">
        <f t="shared" ca="1" si="82"/>
        <v>-0.4199999999999966</v>
      </c>
      <c r="H62" s="819">
        <f t="shared" ca="1" si="82"/>
        <v>0.79899999999999594</v>
      </c>
      <c r="I62" s="819">
        <f t="shared" ca="1" si="82"/>
        <v>3.0919999999999979</v>
      </c>
      <c r="J62" s="819">
        <f t="shared" ca="1" si="82"/>
        <v>5.4230000000000018</v>
      </c>
      <c r="K62" s="819">
        <f t="shared" ca="1" si="82"/>
        <v>-2.4059999999999988</v>
      </c>
      <c r="L62" s="819">
        <f t="shared" ca="1" si="82"/>
        <v>0.20500000000000007</v>
      </c>
      <c r="M62" s="819">
        <f t="shared" ca="1" si="82"/>
        <v>1.2910000000000028</v>
      </c>
      <c r="N62" s="819">
        <f t="shared" ca="1" si="82"/>
        <v>7.399</v>
      </c>
      <c r="O62" s="819">
        <f t="shared" ca="1" si="82"/>
        <v>-4.5600000000000023</v>
      </c>
      <c r="P62" s="819">
        <f t="shared" ca="1" si="82"/>
        <v>-1.6099999999999994</v>
      </c>
      <c r="Q62" s="819">
        <f t="shared" ca="1" si="82"/>
        <v>0.83500000000000485</v>
      </c>
      <c r="R62" s="819">
        <f t="shared" ca="1" si="82"/>
        <v>0.65099999999999758</v>
      </c>
      <c r="S62" s="819">
        <f t="shared" ca="1" si="82"/>
        <v>-0.8939999999999988</v>
      </c>
      <c r="T62" s="819">
        <f t="shared" ca="1" si="82"/>
        <v>8.2619999999999969</v>
      </c>
      <c r="U62" s="819">
        <f t="shared" ca="1" si="82"/>
        <v>-5.6939999999999991</v>
      </c>
      <c r="V62" s="819">
        <f t="shared" ca="1" si="82"/>
        <v>5.5919999999999996</v>
      </c>
      <c r="W62" s="819">
        <f t="shared" ca="1" si="82"/>
        <v>-6.6669999999999998</v>
      </c>
      <c r="X62" s="819">
        <f t="shared" ca="1" si="82"/>
        <v>-2.8110000000000093</v>
      </c>
      <c r="Y62" s="819">
        <f t="shared" ca="1" si="82"/>
        <v>-3.8109999999999973</v>
      </c>
      <c r="Z62" s="819">
        <f t="shared" ca="1" si="82"/>
        <v>3.0940000000000003</v>
      </c>
      <c r="AA62" s="819">
        <f t="shared" ca="1" si="82"/>
        <v>-4.9900000000000029</v>
      </c>
      <c r="AB62" s="819">
        <f t="shared" ca="1" si="82"/>
        <v>-2.3160000000000069</v>
      </c>
      <c r="AC62" s="819">
        <f t="shared" ca="1" si="82"/>
        <v>1.6280000000000006</v>
      </c>
      <c r="AD62" s="819">
        <f t="shared" ca="1" si="82"/>
        <v>0.42000000000001192</v>
      </c>
      <c r="AE62" s="819">
        <f t="shared" ca="1" si="82"/>
        <v>0.86599999999999877</v>
      </c>
      <c r="AF62" s="820">
        <f t="shared" ca="1" si="82"/>
        <v>3.0719999999999814</v>
      </c>
      <c r="AG62" s="819">
        <f t="shared" ca="1" si="82"/>
        <v>-1.19953147109167</v>
      </c>
      <c r="AH62" s="819">
        <f t="shared" ca="1" si="82"/>
        <v>8.7239973022533732</v>
      </c>
      <c r="AI62" s="819">
        <f t="shared" ca="1" si="82"/>
        <v>-5.343367542262107</v>
      </c>
      <c r="AJ62" s="819">
        <f t="shared" ca="1" si="82"/>
        <v>14.630251628327358</v>
      </c>
      <c r="AK62" s="819">
        <f t="shared" ca="1" si="82"/>
        <v>-2.9535242368891108</v>
      </c>
      <c r="AL62" s="819">
        <f t="shared" ca="1" si="82"/>
        <v>8.4361759945564359</v>
      </c>
      <c r="AM62" s="819"/>
      <c r="AN62" s="818">
        <f t="shared" ref="AN62:BC62" ca="1" si="83">SUM(AN55:AN61)</f>
        <v>6.8420000000000041</v>
      </c>
      <c r="AO62" s="818">
        <f t="shared" ca="1" si="83"/>
        <v>18.098999999999997</v>
      </c>
      <c r="AP62" s="818">
        <f t="shared" ca="1" si="83"/>
        <v>-24.751000000000001</v>
      </c>
      <c r="AQ62" s="818">
        <f t="shared" ca="1" si="83"/>
        <v>3.6100000000000003</v>
      </c>
      <c r="AR62" s="818">
        <f t="shared" ca="1" si="83"/>
        <v>-2.1139999999999919</v>
      </c>
      <c r="AS62" s="818">
        <f t="shared" ca="1" si="83"/>
        <v>8.8939999999999877</v>
      </c>
      <c r="AT62" s="818">
        <f t="shared" ca="1" si="83"/>
        <v>6.4889999999999963</v>
      </c>
      <c r="AU62" s="818">
        <f t="shared" ca="1" si="83"/>
        <v>-4.6840000000000019</v>
      </c>
      <c r="AV62" s="818">
        <f t="shared" ca="1" si="83"/>
        <v>7.2659999999999973</v>
      </c>
      <c r="AW62" s="818">
        <f t="shared" ca="1" si="83"/>
        <v>-10.195000000000004</v>
      </c>
      <c r="AX62" s="966">
        <f t="shared" ca="1" si="83"/>
        <v>-5.2579999999999911</v>
      </c>
      <c r="AY62" s="818">
        <f t="shared" ca="1" si="83"/>
        <v>11.462465831161687</v>
      </c>
      <c r="AZ62" s="818">
        <f t="shared" ca="1" si="83"/>
        <v>14.769535843732577</v>
      </c>
      <c r="BA62" s="818">
        <f t="shared" ca="1" si="83"/>
        <v>19.038959301755483</v>
      </c>
      <c r="BB62" s="818">
        <f t="shared" ca="1" si="83"/>
        <v>25.624514553394636</v>
      </c>
      <c r="BC62" s="818">
        <f t="shared" ca="1" si="83"/>
        <v>32.09919535254474</v>
      </c>
      <c r="BD62" s="685"/>
    </row>
    <row r="63" spans="1:56" s="58" customFormat="1" x14ac:dyDescent="0.25">
      <c r="A63" s="247"/>
      <c r="B63" s="252"/>
      <c r="C63" s="822"/>
      <c r="D63" s="822"/>
      <c r="E63" s="822"/>
      <c r="F63" s="822"/>
      <c r="G63" s="822"/>
      <c r="H63" s="822"/>
      <c r="I63" s="822"/>
      <c r="J63" s="822"/>
      <c r="K63" s="822"/>
      <c r="L63" s="822"/>
      <c r="M63" s="822"/>
      <c r="N63" s="822"/>
      <c r="O63" s="822"/>
      <c r="P63" s="822"/>
      <c r="Q63" s="822"/>
      <c r="R63" s="822"/>
      <c r="S63" s="822"/>
      <c r="T63" s="822"/>
      <c r="U63" s="822"/>
      <c r="V63" s="822"/>
      <c r="W63" s="822"/>
      <c r="X63" s="822"/>
      <c r="Y63" s="822"/>
      <c r="Z63" s="822"/>
      <c r="AA63" s="822"/>
      <c r="AB63" s="822"/>
      <c r="AC63" s="822"/>
      <c r="AD63" s="822"/>
      <c r="AE63" s="822"/>
      <c r="AF63" s="823"/>
      <c r="AG63" s="824"/>
      <c r="AH63" s="824"/>
      <c r="AI63" s="824"/>
      <c r="AJ63" s="824"/>
      <c r="AK63" s="824"/>
      <c r="AL63" s="824"/>
      <c r="AM63" s="824"/>
      <c r="AN63" s="821"/>
      <c r="AO63" s="821"/>
      <c r="AP63" s="821"/>
      <c r="AQ63" s="821"/>
      <c r="AR63" s="821"/>
      <c r="AS63" s="821"/>
      <c r="AT63" s="821"/>
      <c r="AU63" s="821"/>
      <c r="AV63" s="821"/>
      <c r="AW63" s="821"/>
      <c r="AX63" s="967"/>
      <c r="AY63" s="825"/>
      <c r="AZ63" s="825"/>
      <c r="BA63" s="825"/>
      <c r="BB63" s="825"/>
      <c r="BC63" s="825"/>
      <c r="BD63" s="685"/>
    </row>
    <row r="64" spans="1:56" s="57" customFormat="1" x14ac:dyDescent="0.25">
      <c r="A64" s="261" t="s">
        <v>313</v>
      </c>
      <c r="B64" s="262"/>
      <c r="C64" s="476">
        <f t="shared" ref="C64:AL64" si="84">INDEX(SP_CFA_CFO_BeforeWC,0,COLUMN())/INDEX(SP_CS_ShareCount,0,COLUMN())</f>
        <v>0.37909411276948596</v>
      </c>
      <c r="D64" s="476">
        <f t="shared" si="84"/>
        <v>0.42158891072721633</v>
      </c>
      <c r="E64" s="476">
        <f t="shared" si="84"/>
        <v>0.48072562358276649</v>
      </c>
      <c r="F64" s="476">
        <f t="shared" si="84"/>
        <v>0.478522867737948</v>
      </c>
      <c r="G64" s="476">
        <f t="shared" si="84"/>
        <v>0.38410050458243233</v>
      </c>
      <c r="H64" s="476">
        <f t="shared" si="84"/>
        <v>0.58609322688642795</v>
      </c>
      <c r="I64" s="476">
        <f t="shared" si="84"/>
        <v>0.55051312464545421</v>
      </c>
      <c r="J64" s="476">
        <f t="shared" si="84"/>
        <v>0.6149053991693586</v>
      </c>
      <c r="K64" s="476">
        <f t="shared" si="84"/>
        <v>0.44567665915785831</v>
      </c>
      <c r="L64" s="476">
        <f t="shared" si="84"/>
        <v>0.48029272790134825</v>
      </c>
      <c r="M64" s="476">
        <f t="shared" si="84"/>
        <v>0.42189671144048185</v>
      </c>
      <c r="N64" s="476">
        <f t="shared" si="84"/>
        <v>0.50528652374554595</v>
      </c>
      <c r="O64" s="476">
        <f t="shared" si="84"/>
        <v>0.42897035232606495</v>
      </c>
      <c r="P64" s="476">
        <f t="shared" si="84"/>
        <v>0.47097617491533478</v>
      </c>
      <c r="Q64" s="476">
        <f t="shared" si="84"/>
        <v>0.37445512629127614</v>
      </c>
      <c r="R64" s="476">
        <f t="shared" si="84"/>
        <v>0.57556480380499397</v>
      </c>
      <c r="S64" s="476">
        <f t="shared" si="84"/>
        <v>0.41018941868060094</v>
      </c>
      <c r="T64" s="476">
        <f t="shared" si="84"/>
        <v>0.52902037664112167</v>
      </c>
      <c r="U64" s="476">
        <f t="shared" si="84"/>
        <v>0.39393939393939398</v>
      </c>
      <c r="V64" s="476">
        <f t="shared" si="84"/>
        <v>0.10504226517704082</v>
      </c>
      <c r="W64" s="476">
        <f t="shared" si="84"/>
        <v>0.19284389397475021</v>
      </c>
      <c r="X64" s="476">
        <f t="shared" si="84"/>
        <v>0.34118426600807178</v>
      </c>
      <c r="Y64" s="476">
        <f t="shared" si="84"/>
        <v>0.30989896560019253</v>
      </c>
      <c r="Z64" s="476">
        <f t="shared" si="84"/>
        <v>0.26813595964448711</v>
      </c>
      <c r="AA64" s="476">
        <f t="shared" si="84"/>
        <v>0.21624857809974257</v>
      </c>
      <c r="AB64" s="476">
        <f t="shared" si="84"/>
        <v>0.3446960667461263</v>
      </c>
      <c r="AC64" s="476">
        <f t="shared" si="84"/>
        <v>0.37156856957317436</v>
      </c>
      <c r="AD64" s="476">
        <f t="shared" si="84"/>
        <v>4.0364277320799093E-2</v>
      </c>
      <c r="AE64" s="476">
        <f t="shared" si="84"/>
        <v>3.8616580008179004E-2</v>
      </c>
      <c r="AF64" s="693">
        <f t="shared" si="84"/>
        <v>0.16955018306503192</v>
      </c>
      <c r="AG64" s="140">
        <f t="shared" ca="1" si="84"/>
        <v>0.28211594538504292</v>
      </c>
      <c r="AH64" s="140">
        <f t="shared" ca="1" si="84"/>
        <v>0.36150534999762757</v>
      </c>
      <c r="AI64" s="140">
        <f t="shared" ca="1" si="84"/>
        <v>0.28535878199924941</v>
      </c>
      <c r="AJ64" s="140">
        <f t="shared" ca="1" si="84"/>
        <v>0.3119820365968945</v>
      </c>
      <c r="AK64" s="140">
        <f t="shared" ca="1" si="84"/>
        <v>0.33280302831905972</v>
      </c>
      <c r="AL64" s="140">
        <f t="shared" ca="1" si="84"/>
        <v>0.4795767727618952</v>
      </c>
      <c r="AM64" s="140"/>
      <c r="AN64" s="472">
        <f t="shared" ref="AN64:BC64" si="85">INDEX(SP_CFA_CFO_BeforeWC,0,COLUMN())/INDEX(SP_CS_ShareCount,0,COLUMN())</f>
        <v>0.99635472314750817</v>
      </c>
      <c r="AO64" s="472">
        <f t="shared" si="85"/>
        <v>0.9997864274654279</v>
      </c>
      <c r="AP64" s="472">
        <f t="shared" si="85"/>
        <v>1.3069437138348237</v>
      </c>
      <c r="AQ64" s="472">
        <f t="shared" si="85"/>
        <v>1.7731258106355383</v>
      </c>
      <c r="AR64" s="472">
        <f t="shared" si="85"/>
        <v>1.7604069827497164</v>
      </c>
      <c r="AS64" s="472">
        <f t="shared" si="85"/>
        <v>2.1270715306824801</v>
      </c>
      <c r="AT64" s="472">
        <f t="shared" si="85"/>
        <v>1.8528730305838739</v>
      </c>
      <c r="AU64" s="472">
        <f t="shared" si="85"/>
        <v>1.8521231612173188</v>
      </c>
      <c r="AV64" s="472">
        <f t="shared" si="85"/>
        <v>1.4369703075920108</v>
      </c>
      <c r="AW64" s="472">
        <f t="shared" si="85"/>
        <v>1.1083493052228079</v>
      </c>
      <c r="AX64" s="964">
        <f t="shared" si="85"/>
        <v>0.97129470375422589</v>
      </c>
      <c r="AY64" s="135">
        <f t="shared" ca="1" si="85"/>
        <v>0.85270107536731443</v>
      </c>
      <c r="AZ64" s="135">
        <f t="shared" ca="1" si="85"/>
        <v>1.4097206196770988</v>
      </c>
      <c r="BA64" s="135">
        <f t="shared" ca="1" si="85"/>
        <v>1.8599258771145111</v>
      </c>
      <c r="BB64" s="135">
        <f t="shared" ca="1" si="85"/>
        <v>2.2994001479469968</v>
      </c>
      <c r="BC64" s="135">
        <f t="shared" ca="1" si="85"/>
        <v>2.3947748264267932</v>
      </c>
      <c r="BD64" s="140"/>
    </row>
    <row r="65" spans="1:56" s="57" customFormat="1" x14ac:dyDescent="0.25">
      <c r="A65" s="261" t="s">
        <v>314</v>
      </c>
      <c r="B65" s="262"/>
      <c r="C65" s="476">
        <f t="shared" ref="C65:AL65" si="86">INDEX(SP_CFA_FCF_PreDiv,0,COLUMN())/INDEX(SP_CS_ShareCount,0,COLUMN())</f>
        <v>0.33608001658374798</v>
      </c>
      <c r="D65" s="476">
        <f t="shared" si="86"/>
        <v>0.35274645701872354</v>
      </c>
      <c r="E65" s="476">
        <f t="shared" si="86"/>
        <v>0.35461760461760472</v>
      </c>
      <c r="F65" s="476">
        <f t="shared" si="86"/>
        <v>0.37005562422744115</v>
      </c>
      <c r="G65" s="476">
        <f t="shared" si="86"/>
        <v>0.3369374935639996</v>
      </c>
      <c r="H65" s="476">
        <f t="shared" si="86"/>
        <v>0.55889775946433162</v>
      </c>
      <c r="I65" s="476">
        <f t="shared" si="86"/>
        <v>0.50559537929967513</v>
      </c>
      <c r="J65" s="476">
        <f t="shared" si="86"/>
        <v>0.58940932164282422</v>
      </c>
      <c r="K65" s="476">
        <f t="shared" si="86"/>
        <v>0.41102062034309483</v>
      </c>
      <c r="L65" s="476">
        <f t="shared" si="86"/>
        <v>0.43707502593062103</v>
      </c>
      <c r="M65" s="476">
        <f t="shared" si="86"/>
        <v>0.3940481704492822</v>
      </c>
      <c r="N65" s="476">
        <f t="shared" si="86"/>
        <v>0.47456042993165493</v>
      </c>
      <c r="O65" s="476">
        <f t="shared" si="86"/>
        <v>0.39480720099815808</v>
      </c>
      <c r="P65" s="476">
        <f t="shared" si="86"/>
        <v>0.45035945576614578</v>
      </c>
      <c r="Q65" s="476">
        <f t="shared" si="86"/>
        <v>0.35881053322983236</v>
      </c>
      <c r="R65" s="476">
        <f t="shared" si="86"/>
        <v>0.56260404280618304</v>
      </c>
      <c r="S65" s="476">
        <f t="shared" si="86"/>
        <v>0.37901549789204919</v>
      </c>
      <c r="T65" s="476">
        <f t="shared" si="86"/>
        <v>0.45511792312719068</v>
      </c>
      <c r="U65" s="476">
        <f t="shared" si="86"/>
        <v>0.36109138257575762</v>
      </c>
      <c r="V65" s="476">
        <f t="shared" si="86"/>
        <v>8.0806289531240735E-2</v>
      </c>
      <c r="W65" s="476">
        <f t="shared" si="86"/>
        <v>0.17070543887991385</v>
      </c>
      <c r="X65" s="476">
        <f t="shared" si="86"/>
        <v>0.27227275465333411</v>
      </c>
      <c r="Y65" s="476">
        <f t="shared" si="86"/>
        <v>0.26461390425787834</v>
      </c>
      <c r="Z65" s="476">
        <f t="shared" si="86"/>
        <v>0.23408599567619501</v>
      </c>
      <c r="AA65" s="476">
        <f t="shared" si="86"/>
        <v>0.18379931748787645</v>
      </c>
      <c r="AB65" s="476">
        <f t="shared" si="86"/>
        <v>0.31579261025029792</v>
      </c>
      <c r="AC65" s="476">
        <f t="shared" si="86"/>
        <v>0.31973552157742491</v>
      </c>
      <c r="AD65" s="476">
        <f t="shared" si="86"/>
        <v>1.6274970622796744E-2</v>
      </c>
      <c r="AE65" s="476">
        <f t="shared" si="86"/>
        <v>1.1333761757317286E-2</v>
      </c>
      <c r="AF65" s="693">
        <f t="shared" si="86"/>
        <v>0.13590108676701368</v>
      </c>
      <c r="AG65" s="140">
        <f t="shared" ca="1" si="86"/>
        <v>0.25886959215670557</v>
      </c>
      <c r="AH65" s="140">
        <f t="shared" ca="1" si="86"/>
        <v>0.33825899676929022</v>
      </c>
      <c r="AI65" s="140">
        <f t="shared" ca="1" si="86"/>
        <v>0.2388660755425748</v>
      </c>
      <c r="AJ65" s="140">
        <f t="shared" ca="1" si="86"/>
        <v>0.26548933014021991</v>
      </c>
      <c r="AK65" s="140">
        <f t="shared" ca="1" si="86"/>
        <v>0.28631032186238514</v>
      </c>
      <c r="AL65" s="140">
        <f t="shared" ca="1" si="86"/>
        <v>0.43308406630522062</v>
      </c>
      <c r="AM65" s="140"/>
      <c r="AN65" s="472">
        <f t="shared" ref="AN65:BC65" si="87">INDEX(SP_CFA_FCF_PreDiv,0,COLUMN())/INDEX(SP_CS_ShareCount,0,COLUMN())</f>
        <v>0.92256929168499791</v>
      </c>
      <c r="AO65" s="472">
        <f t="shared" si="87"/>
        <v>0.91804153985797421</v>
      </c>
      <c r="AP65" s="472">
        <f t="shared" si="87"/>
        <v>1.0978432403997893</v>
      </c>
      <c r="AQ65" s="472">
        <f t="shared" si="87"/>
        <v>1.6415564202334632</v>
      </c>
      <c r="AR65" s="472">
        <f t="shared" si="87"/>
        <v>1.4136452845780401</v>
      </c>
      <c r="AS65" s="472">
        <f t="shared" si="87"/>
        <v>1.9810981098109812</v>
      </c>
      <c r="AT65" s="472">
        <f t="shared" si="87"/>
        <v>1.7163461538461537</v>
      </c>
      <c r="AU65" s="472">
        <f t="shared" si="87"/>
        <v>1.7686260496694657</v>
      </c>
      <c r="AV65" s="472">
        <f t="shared" si="87"/>
        <v>1.2749362887453328</v>
      </c>
      <c r="AW65" s="472">
        <f t="shared" si="87"/>
        <v>0.93860804983229529</v>
      </c>
      <c r="AX65" s="964">
        <f t="shared" si="87"/>
        <v>0.83399561117371468</v>
      </c>
      <c r="AY65" s="135">
        <f t="shared" ca="1" si="87"/>
        <v>0.7452786889144063</v>
      </c>
      <c r="AZ65" s="135">
        <f t="shared" ca="1" si="87"/>
        <v>1.2237497938504005</v>
      </c>
      <c r="BA65" s="135">
        <f t="shared" ca="1" si="87"/>
        <v>1.6739550512878127</v>
      </c>
      <c r="BB65" s="135">
        <f t="shared" ca="1" si="87"/>
        <v>2.1134293221202984</v>
      </c>
      <c r="BC65" s="135">
        <f t="shared" ca="1" si="87"/>
        <v>2.2088040006000949</v>
      </c>
      <c r="BD65" s="140"/>
    </row>
    <row r="66" spans="1:56" s="57" customFormat="1" x14ac:dyDescent="0.25">
      <c r="A66" s="261" t="s">
        <v>136</v>
      </c>
      <c r="B66" s="262"/>
      <c r="C66" s="476">
        <f t="shared" ref="C66:AL66" si="88">INDEX(MO_CFSum_DPS,0,COLUMN())</f>
        <v>0</v>
      </c>
      <c r="D66" s="476">
        <f t="shared" si="88"/>
        <v>0</v>
      </c>
      <c r="E66" s="476">
        <f t="shared" si="88"/>
        <v>0</v>
      </c>
      <c r="F66" s="476">
        <f t="shared" si="88"/>
        <v>0</v>
      </c>
      <c r="G66" s="476">
        <f t="shared" si="88"/>
        <v>0</v>
      </c>
      <c r="H66" s="476">
        <f t="shared" si="88"/>
        <v>0</v>
      </c>
      <c r="I66" s="476">
        <f t="shared" si="88"/>
        <v>0</v>
      </c>
      <c r="J66" s="476">
        <f t="shared" si="88"/>
        <v>0</v>
      </c>
      <c r="K66" s="476">
        <f t="shared" si="88"/>
        <v>0</v>
      </c>
      <c r="L66" s="476">
        <f t="shared" si="88"/>
        <v>0</v>
      </c>
      <c r="M66" s="476">
        <f t="shared" si="88"/>
        <v>0</v>
      </c>
      <c r="N66" s="476">
        <f t="shared" si="88"/>
        <v>0</v>
      </c>
      <c r="O66" s="476">
        <f t="shared" si="88"/>
        <v>0</v>
      </c>
      <c r="P66" s="476">
        <f t="shared" si="88"/>
        <v>0</v>
      </c>
      <c r="Q66" s="476">
        <f t="shared" si="88"/>
        <v>0</v>
      </c>
      <c r="R66" s="476">
        <f t="shared" si="88"/>
        <v>0</v>
      </c>
      <c r="S66" s="476">
        <f t="shared" si="88"/>
        <v>0</v>
      </c>
      <c r="T66" s="476">
        <f t="shared" si="88"/>
        <v>0</v>
      </c>
      <c r="U66" s="476">
        <f t="shared" si="88"/>
        <v>0</v>
      </c>
      <c r="V66" s="476">
        <f t="shared" si="88"/>
        <v>0</v>
      </c>
      <c r="W66" s="476">
        <f t="shared" si="88"/>
        <v>0</v>
      </c>
      <c r="X66" s="476">
        <f t="shared" si="88"/>
        <v>0</v>
      </c>
      <c r="Y66" s="476">
        <f t="shared" si="88"/>
        <v>0</v>
      </c>
      <c r="Z66" s="476">
        <f t="shared" si="88"/>
        <v>0</v>
      </c>
      <c r="AA66" s="476">
        <f t="shared" si="88"/>
        <v>0</v>
      </c>
      <c r="AB66" s="476">
        <f t="shared" si="88"/>
        <v>0</v>
      </c>
      <c r="AC66" s="476">
        <f t="shared" si="88"/>
        <v>0</v>
      </c>
      <c r="AD66" s="476">
        <f t="shared" si="88"/>
        <v>0</v>
      </c>
      <c r="AE66" s="476">
        <f t="shared" si="88"/>
        <v>0</v>
      </c>
      <c r="AF66" s="693">
        <f t="shared" si="88"/>
        <v>0</v>
      </c>
      <c r="AG66" s="140">
        <f t="shared" si="88"/>
        <v>0</v>
      </c>
      <c r="AH66" s="140">
        <f t="shared" si="88"/>
        <v>0</v>
      </c>
      <c r="AI66" s="140">
        <f t="shared" si="88"/>
        <v>0</v>
      </c>
      <c r="AJ66" s="140">
        <f t="shared" si="88"/>
        <v>0</v>
      </c>
      <c r="AK66" s="140">
        <f t="shared" si="88"/>
        <v>0</v>
      </c>
      <c r="AL66" s="140">
        <f t="shared" si="88"/>
        <v>0</v>
      </c>
      <c r="AM66" s="140"/>
      <c r="AN66" s="472">
        <f t="shared" ref="AN66:BC66" si="89">INDEX(MO_CFSum_DPS,0,COLUMN())</f>
        <v>0</v>
      </c>
      <c r="AO66" s="472">
        <f t="shared" si="89"/>
        <v>0</v>
      </c>
      <c r="AP66" s="472">
        <f t="shared" si="89"/>
        <v>0</v>
      </c>
      <c r="AQ66" s="472">
        <f t="shared" si="89"/>
        <v>0</v>
      </c>
      <c r="AR66" s="472">
        <f t="shared" si="89"/>
        <v>0</v>
      </c>
      <c r="AS66" s="472">
        <f t="shared" si="89"/>
        <v>0</v>
      </c>
      <c r="AT66" s="472">
        <f t="shared" si="89"/>
        <v>0</v>
      </c>
      <c r="AU66" s="472">
        <f t="shared" si="89"/>
        <v>0</v>
      </c>
      <c r="AV66" s="472">
        <f t="shared" si="89"/>
        <v>0</v>
      </c>
      <c r="AW66" s="472">
        <f t="shared" si="89"/>
        <v>0</v>
      </c>
      <c r="AX66" s="964">
        <f t="shared" si="89"/>
        <v>0</v>
      </c>
      <c r="AY66" s="135">
        <f t="shared" si="89"/>
        <v>0</v>
      </c>
      <c r="AZ66" s="135">
        <f t="shared" si="89"/>
        <v>0</v>
      </c>
      <c r="BA66" s="135">
        <f t="shared" si="89"/>
        <v>0</v>
      </c>
      <c r="BB66" s="135">
        <f t="shared" si="89"/>
        <v>0</v>
      </c>
      <c r="BC66" s="135">
        <f t="shared" si="89"/>
        <v>0</v>
      </c>
      <c r="BD66" s="140"/>
    </row>
    <row r="67" spans="1:56" s="62" customFormat="1" x14ac:dyDescent="0.25">
      <c r="A67" s="267" t="s">
        <v>315</v>
      </c>
      <c r="B67" s="268"/>
      <c r="C67" s="487">
        <f t="shared" ref="C67:AL67" si="90">C66/C65</f>
        <v>0</v>
      </c>
      <c r="D67" s="487">
        <f t="shared" si="90"/>
        <v>0</v>
      </c>
      <c r="E67" s="487">
        <f t="shared" si="90"/>
        <v>0</v>
      </c>
      <c r="F67" s="487">
        <f t="shared" si="90"/>
        <v>0</v>
      </c>
      <c r="G67" s="487">
        <f t="shared" si="90"/>
        <v>0</v>
      </c>
      <c r="H67" s="487">
        <f t="shared" si="90"/>
        <v>0</v>
      </c>
      <c r="I67" s="487">
        <f t="shared" si="90"/>
        <v>0</v>
      </c>
      <c r="J67" s="487">
        <f t="shared" si="90"/>
        <v>0</v>
      </c>
      <c r="K67" s="487">
        <f t="shared" si="90"/>
        <v>0</v>
      </c>
      <c r="L67" s="487">
        <f t="shared" si="90"/>
        <v>0</v>
      </c>
      <c r="M67" s="487">
        <f t="shared" si="90"/>
        <v>0</v>
      </c>
      <c r="N67" s="487">
        <f t="shared" si="90"/>
        <v>0</v>
      </c>
      <c r="O67" s="487">
        <f t="shared" si="90"/>
        <v>0</v>
      </c>
      <c r="P67" s="487">
        <f t="shared" si="90"/>
        <v>0</v>
      </c>
      <c r="Q67" s="487">
        <f t="shared" si="90"/>
        <v>0</v>
      </c>
      <c r="R67" s="487">
        <f t="shared" si="90"/>
        <v>0</v>
      </c>
      <c r="S67" s="487">
        <f t="shared" si="90"/>
        <v>0</v>
      </c>
      <c r="T67" s="487">
        <f t="shared" si="90"/>
        <v>0</v>
      </c>
      <c r="U67" s="487">
        <f t="shared" si="90"/>
        <v>0</v>
      </c>
      <c r="V67" s="487">
        <f t="shared" si="90"/>
        <v>0</v>
      </c>
      <c r="W67" s="487">
        <f t="shared" si="90"/>
        <v>0</v>
      </c>
      <c r="X67" s="487">
        <f t="shared" si="90"/>
        <v>0</v>
      </c>
      <c r="Y67" s="487">
        <f t="shared" si="90"/>
        <v>0</v>
      </c>
      <c r="Z67" s="487">
        <f t="shared" si="90"/>
        <v>0</v>
      </c>
      <c r="AA67" s="487">
        <f t="shared" si="90"/>
        <v>0</v>
      </c>
      <c r="AB67" s="487">
        <f t="shared" si="90"/>
        <v>0</v>
      </c>
      <c r="AC67" s="487">
        <f t="shared" si="90"/>
        <v>0</v>
      </c>
      <c r="AD67" s="487">
        <f t="shared" si="90"/>
        <v>0</v>
      </c>
      <c r="AE67" s="487">
        <f t="shared" si="90"/>
        <v>0</v>
      </c>
      <c r="AF67" s="699">
        <f t="shared" si="90"/>
        <v>0</v>
      </c>
      <c r="AG67" s="151">
        <f t="shared" ca="1" si="90"/>
        <v>0</v>
      </c>
      <c r="AH67" s="151">
        <f t="shared" ca="1" si="90"/>
        <v>0</v>
      </c>
      <c r="AI67" s="151">
        <f t="shared" ca="1" si="90"/>
        <v>0</v>
      </c>
      <c r="AJ67" s="151">
        <f t="shared" ca="1" si="90"/>
        <v>0</v>
      </c>
      <c r="AK67" s="151">
        <f t="shared" ca="1" si="90"/>
        <v>0</v>
      </c>
      <c r="AL67" s="151">
        <f t="shared" ca="1" si="90"/>
        <v>0</v>
      </c>
      <c r="AM67" s="151"/>
      <c r="AN67" s="486">
        <f t="shared" ref="AN67:BC67" si="91">AN66/AN65</f>
        <v>0</v>
      </c>
      <c r="AO67" s="486">
        <f t="shared" si="91"/>
        <v>0</v>
      </c>
      <c r="AP67" s="486">
        <f t="shared" si="91"/>
        <v>0</v>
      </c>
      <c r="AQ67" s="486">
        <f t="shared" si="91"/>
        <v>0</v>
      </c>
      <c r="AR67" s="486">
        <f t="shared" si="91"/>
        <v>0</v>
      </c>
      <c r="AS67" s="486">
        <f t="shared" si="91"/>
        <v>0</v>
      </c>
      <c r="AT67" s="486">
        <f t="shared" si="91"/>
        <v>0</v>
      </c>
      <c r="AU67" s="486">
        <f t="shared" si="91"/>
        <v>0</v>
      </c>
      <c r="AV67" s="486">
        <f t="shared" si="91"/>
        <v>0</v>
      </c>
      <c r="AW67" s="486">
        <f t="shared" si="91"/>
        <v>0</v>
      </c>
      <c r="AX67" s="973">
        <f t="shared" si="91"/>
        <v>0</v>
      </c>
      <c r="AY67" s="150">
        <f t="shared" ca="1" si="91"/>
        <v>0</v>
      </c>
      <c r="AZ67" s="150">
        <f t="shared" ca="1" si="91"/>
        <v>0</v>
      </c>
      <c r="BA67" s="150">
        <f t="shared" ca="1" si="91"/>
        <v>0</v>
      </c>
      <c r="BB67" s="150">
        <f t="shared" ca="1" si="91"/>
        <v>0</v>
      </c>
      <c r="BC67" s="150">
        <f t="shared" ca="1" si="91"/>
        <v>0</v>
      </c>
      <c r="BD67" s="313"/>
    </row>
    <row r="68" spans="1:56" s="62" customFormat="1" x14ac:dyDescent="0.25">
      <c r="A68" s="267" t="s">
        <v>316</v>
      </c>
      <c r="B68" s="268"/>
      <c r="C68" s="487">
        <f t="shared" ref="C68:AL68" si="92">C66/C42</f>
        <v>0</v>
      </c>
      <c r="D68" s="487">
        <f t="shared" si="92"/>
        <v>0</v>
      </c>
      <c r="E68" s="487">
        <f t="shared" si="92"/>
        <v>0</v>
      </c>
      <c r="F68" s="487">
        <f t="shared" si="92"/>
        <v>0</v>
      </c>
      <c r="G68" s="487">
        <f t="shared" si="92"/>
        <v>0</v>
      </c>
      <c r="H68" s="487">
        <f t="shared" si="92"/>
        <v>0</v>
      </c>
      <c r="I68" s="487">
        <f t="shared" si="92"/>
        <v>0</v>
      </c>
      <c r="J68" s="487">
        <f t="shared" si="92"/>
        <v>0</v>
      </c>
      <c r="K68" s="487">
        <f t="shared" si="92"/>
        <v>0</v>
      </c>
      <c r="L68" s="487">
        <f t="shared" si="92"/>
        <v>0</v>
      </c>
      <c r="M68" s="487">
        <f t="shared" si="92"/>
        <v>0</v>
      </c>
      <c r="N68" s="487">
        <f t="shared" si="92"/>
        <v>0</v>
      </c>
      <c r="O68" s="487">
        <f t="shared" si="92"/>
        <v>0</v>
      </c>
      <c r="P68" s="487">
        <f t="shared" si="92"/>
        <v>0</v>
      </c>
      <c r="Q68" s="487">
        <f t="shared" si="92"/>
        <v>0</v>
      </c>
      <c r="R68" s="487">
        <f t="shared" si="92"/>
        <v>0</v>
      </c>
      <c r="S68" s="487">
        <f t="shared" si="92"/>
        <v>0</v>
      </c>
      <c r="T68" s="487">
        <f t="shared" si="92"/>
        <v>0</v>
      </c>
      <c r="U68" s="487">
        <f t="shared" si="92"/>
        <v>0</v>
      </c>
      <c r="V68" s="487">
        <f t="shared" si="92"/>
        <v>0</v>
      </c>
      <c r="W68" s="487">
        <f t="shared" si="92"/>
        <v>0</v>
      </c>
      <c r="X68" s="487">
        <f t="shared" si="92"/>
        <v>0</v>
      </c>
      <c r="Y68" s="487">
        <f t="shared" si="92"/>
        <v>0</v>
      </c>
      <c r="Z68" s="487">
        <f t="shared" si="92"/>
        <v>0</v>
      </c>
      <c r="AA68" s="487">
        <f t="shared" si="92"/>
        <v>0</v>
      </c>
      <c r="AB68" s="487">
        <f t="shared" si="92"/>
        <v>0</v>
      </c>
      <c r="AC68" s="487">
        <f t="shared" si="92"/>
        <v>0</v>
      </c>
      <c r="AD68" s="487">
        <f t="shared" si="92"/>
        <v>0</v>
      </c>
      <c r="AE68" s="487">
        <f t="shared" si="92"/>
        <v>0</v>
      </c>
      <c r="AF68" s="699">
        <f t="shared" si="92"/>
        <v>0</v>
      </c>
      <c r="AG68" s="151">
        <f t="shared" ca="1" si="92"/>
        <v>0</v>
      </c>
      <c r="AH68" s="151">
        <f t="shared" ca="1" si="92"/>
        <v>0</v>
      </c>
      <c r="AI68" s="151">
        <f t="shared" ca="1" si="92"/>
        <v>0</v>
      </c>
      <c r="AJ68" s="151">
        <f t="shared" ca="1" si="92"/>
        <v>0</v>
      </c>
      <c r="AK68" s="151">
        <f t="shared" ca="1" si="92"/>
        <v>0</v>
      </c>
      <c r="AL68" s="151">
        <f t="shared" ca="1" si="92"/>
        <v>0</v>
      </c>
      <c r="AM68" s="151"/>
      <c r="AN68" s="486">
        <f t="shared" ref="AN68:BC68" si="93">AN66/AN42</f>
        <v>0</v>
      </c>
      <c r="AO68" s="486">
        <f t="shared" si="93"/>
        <v>0</v>
      </c>
      <c r="AP68" s="486">
        <f t="shared" si="93"/>
        <v>0</v>
      </c>
      <c r="AQ68" s="486">
        <f t="shared" si="93"/>
        <v>0</v>
      </c>
      <c r="AR68" s="486">
        <f t="shared" si="93"/>
        <v>0</v>
      </c>
      <c r="AS68" s="486">
        <f t="shared" si="93"/>
        <v>0</v>
      </c>
      <c r="AT68" s="486">
        <f t="shared" si="93"/>
        <v>0</v>
      </c>
      <c r="AU68" s="486">
        <f t="shared" si="93"/>
        <v>0</v>
      </c>
      <c r="AV68" s="486">
        <f t="shared" si="93"/>
        <v>0</v>
      </c>
      <c r="AW68" s="486">
        <f t="shared" si="93"/>
        <v>0</v>
      </c>
      <c r="AX68" s="973">
        <f t="shared" si="93"/>
        <v>0</v>
      </c>
      <c r="AY68" s="150">
        <f t="shared" ca="1" si="93"/>
        <v>0</v>
      </c>
      <c r="AZ68" s="150">
        <f t="shared" ca="1" si="93"/>
        <v>0</v>
      </c>
      <c r="BA68" s="150">
        <f t="shared" ca="1" si="93"/>
        <v>0</v>
      </c>
      <c r="BB68" s="150">
        <f t="shared" ca="1" si="93"/>
        <v>0</v>
      </c>
      <c r="BC68" s="150">
        <f t="shared" ca="1" si="93"/>
        <v>0</v>
      </c>
      <c r="BD68" s="313"/>
    </row>
    <row r="69" spans="1:56" s="57" customFormat="1" x14ac:dyDescent="0.25">
      <c r="A69" s="261"/>
      <c r="B69" s="262"/>
      <c r="C69" s="476"/>
      <c r="D69" s="476"/>
      <c r="E69" s="476"/>
      <c r="F69" s="476"/>
      <c r="G69" s="476"/>
      <c r="H69" s="476"/>
      <c r="I69" s="476"/>
      <c r="J69" s="476"/>
      <c r="K69" s="476"/>
      <c r="L69" s="476"/>
      <c r="M69" s="476"/>
      <c r="N69" s="476"/>
      <c r="O69" s="476"/>
      <c r="P69" s="476"/>
      <c r="Q69" s="476"/>
      <c r="R69" s="476"/>
      <c r="S69" s="476"/>
      <c r="T69" s="476"/>
      <c r="U69" s="476"/>
      <c r="V69" s="476"/>
      <c r="W69" s="476"/>
      <c r="X69" s="476"/>
      <c r="Y69" s="476"/>
      <c r="Z69" s="476"/>
      <c r="AA69" s="476"/>
      <c r="AB69" s="476"/>
      <c r="AC69" s="476"/>
      <c r="AD69" s="476"/>
      <c r="AE69" s="476"/>
      <c r="AF69" s="693"/>
      <c r="AG69" s="140"/>
      <c r="AH69" s="140"/>
      <c r="AI69" s="140"/>
      <c r="AJ69" s="140"/>
      <c r="AK69" s="140"/>
      <c r="AL69" s="140"/>
      <c r="AM69" s="140"/>
      <c r="AN69" s="472"/>
      <c r="AO69" s="472"/>
      <c r="AP69" s="472"/>
      <c r="AQ69" s="472"/>
      <c r="AR69" s="472"/>
      <c r="AS69" s="472"/>
      <c r="AT69" s="472"/>
      <c r="AU69" s="472"/>
      <c r="AV69" s="472"/>
      <c r="AW69" s="472"/>
      <c r="AX69" s="964"/>
      <c r="AY69" s="135"/>
      <c r="AZ69" s="135"/>
      <c r="BA69" s="135"/>
      <c r="BB69" s="135"/>
      <c r="BC69" s="135"/>
      <c r="BD69" s="140"/>
    </row>
    <row r="70" spans="1:56" x14ac:dyDescent="0.25">
      <c r="A70" s="132" t="s">
        <v>317</v>
      </c>
      <c r="B70" s="686"/>
      <c r="C70" s="826"/>
      <c r="D70" s="826"/>
      <c r="E70" s="826"/>
      <c r="F70" s="826"/>
      <c r="G70" s="826"/>
      <c r="H70" s="826"/>
      <c r="I70" s="826"/>
      <c r="J70" s="826"/>
      <c r="K70" s="826"/>
      <c r="L70" s="826"/>
      <c r="M70" s="826"/>
      <c r="N70" s="826"/>
      <c r="O70" s="826"/>
      <c r="P70" s="826"/>
      <c r="Q70" s="826"/>
      <c r="R70" s="826"/>
      <c r="S70" s="826"/>
      <c r="T70" s="826"/>
      <c r="U70" s="826"/>
      <c r="V70" s="826"/>
      <c r="W70" s="826"/>
      <c r="X70" s="826"/>
      <c r="Y70" s="826"/>
      <c r="Z70" s="826"/>
      <c r="AA70" s="826"/>
      <c r="AB70" s="826"/>
      <c r="AC70" s="826"/>
      <c r="AD70" s="826"/>
      <c r="AE70" s="826"/>
      <c r="AF70" s="827"/>
      <c r="AG70" s="828"/>
      <c r="AH70" s="828"/>
      <c r="AI70" s="828"/>
      <c r="AJ70" s="828"/>
      <c r="AK70" s="828"/>
      <c r="AL70" s="828"/>
      <c r="AM70" s="828"/>
      <c r="AN70" s="826"/>
      <c r="AO70" s="826"/>
      <c r="AP70" s="826"/>
      <c r="AQ70" s="826"/>
      <c r="AR70" s="826"/>
      <c r="AS70" s="826"/>
      <c r="AT70" s="826"/>
      <c r="AU70" s="826"/>
      <c r="AV70" s="826"/>
      <c r="AW70" s="826"/>
      <c r="AX70" s="827"/>
      <c r="AY70" s="828"/>
      <c r="AZ70" s="828"/>
      <c r="BA70" s="828"/>
      <c r="BB70" s="828"/>
      <c r="BC70" s="828"/>
      <c r="BD70" s="684"/>
    </row>
    <row r="71" spans="1:56" s="63" customFormat="1" x14ac:dyDescent="0.25">
      <c r="A71" s="269" t="s">
        <v>144</v>
      </c>
      <c r="B71" s="270"/>
      <c r="C71" s="488"/>
      <c r="D71" s="488"/>
      <c r="E71" s="488"/>
      <c r="F71" s="488">
        <f t="shared" ref="F71:AL71" si="94">INDEX(MO_BSS_Debt_Net,0,COLUMN())/INDEX(SP_BSR_EBITDA_LTM,0,COLUMN())</f>
        <v>-0.10245581104332846</v>
      </c>
      <c r="G71" s="488">
        <f t="shared" si="94"/>
        <v>-4.7557117068152202E-2</v>
      </c>
      <c r="H71" s="488">
        <f t="shared" si="94"/>
        <v>0.20420049724429273</v>
      </c>
      <c r="I71" s="488">
        <f t="shared" si="94"/>
        <v>-7.1991574369776365E-2</v>
      </c>
      <c r="J71" s="488">
        <f t="shared" si="94"/>
        <v>0.75613441626457278</v>
      </c>
      <c r="K71" s="488">
        <f t="shared" si="94"/>
        <v>0.75723242197619856</v>
      </c>
      <c r="L71" s="488">
        <f t="shared" si="94"/>
        <v>0.92245190816009748</v>
      </c>
      <c r="M71" s="488">
        <f t="shared" si="94"/>
        <v>1.0144230769230744</v>
      </c>
      <c r="N71" s="488">
        <f t="shared" si="94"/>
        <v>0.83462428774928843</v>
      </c>
      <c r="O71" s="488">
        <f t="shared" si="94"/>
        <v>0.85899332984269416</v>
      </c>
      <c r="P71" s="678">
        <f t="shared" si="94"/>
        <v>1.0297593394878317</v>
      </c>
      <c r="Q71" s="678">
        <f t="shared" si="94"/>
        <v>0.96132474863291661</v>
      </c>
      <c r="R71" s="678">
        <f t="shared" si="94"/>
        <v>0.93672549330554344</v>
      </c>
      <c r="S71" s="678">
        <f t="shared" si="94"/>
        <v>1.0156366176238647</v>
      </c>
      <c r="T71" s="678">
        <f t="shared" si="94"/>
        <v>0.74196026546595251</v>
      </c>
      <c r="U71" s="678">
        <f t="shared" si="94"/>
        <v>0.83969718967126405</v>
      </c>
      <c r="V71" s="678">
        <f t="shared" si="94"/>
        <v>0.87190005593884012</v>
      </c>
      <c r="W71" s="678">
        <f t="shared" si="94"/>
        <v>1.1094654263300041</v>
      </c>
      <c r="X71" s="678">
        <f t="shared" si="94"/>
        <v>1.9699195758637729</v>
      </c>
      <c r="Y71" s="678">
        <f t="shared" si="94"/>
        <v>2.2826584632994704</v>
      </c>
      <c r="Z71" s="678">
        <f t="shared" si="94"/>
        <v>2.7697082057069138</v>
      </c>
      <c r="AA71" s="678">
        <f t="shared" si="94"/>
        <v>3.7317356725764212</v>
      </c>
      <c r="AB71" s="678">
        <f t="shared" si="94"/>
        <v>3.999342717861635</v>
      </c>
      <c r="AC71" s="678">
        <f t="shared" si="94"/>
        <v>3.6315972129528213</v>
      </c>
      <c r="AD71" s="678">
        <f t="shared" si="94"/>
        <v>2.5594653373408631</v>
      </c>
      <c r="AE71" s="678">
        <f t="shared" si="94"/>
        <v>2.6514223071733807</v>
      </c>
      <c r="AF71" s="700">
        <f t="shared" si="94"/>
        <v>2.3159518072289216</v>
      </c>
      <c r="AG71" s="152">
        <f t="shared" ca="1" si="94"/>
        <v>2.7867639453584783</v>
      </c>
      <c r="AH71" s="152">
        <f t="shared" ca="1" si="94"/>
        <v>2.801698310499428</v>
      </c>
      <c r="AI71" s="152">
        <f t="shared" ca="1" si="94"/>
        <v>2.7303110443278809</v>
      </c>
      <c r="AJ71" s="152">
        <f t="shared" ca="1" si="94"/>
        <v>2.1089508166984481</v>
      </c>
      <c r="AK71" s="152">
        <f t="shared" ca="1" si="94"/>
        <v>2.1304466655933991</v>
      </c>
      <c r="AL71" s="152">
        <f t="shared" ca="1" si="94"/>
        <v>1.6619073710706855</v>
      </c>
      <c r="AM71" s="152"/>
      <c r="AN71" s="680">
        <f t="shared" ref="AN71:BC71" si="95">INDEX(MO_BSS_Debt_Net,0,COLUMN())/INDEX(SP_BSR_EBITDA_LTM,0,COLUMN())</f>
        <v>-0.57484169637631022</v>
      </c>
      <c r="AO71" s="680">
        <f t="shared" si="95"/>
        <v>-1.0575192096597148</v>
      </c>
      <c r="AP71" s="680">
        <f t="shared" si="95"/>
        <v>-0.10956264681816993</v>
      </c>
      <c r="AQ71" s="680">
        <f t="shared" si="95"/>
        <v>-0.1628512075875527</v>
      </c>
      <c r="AR71" s="680">
        <f t="shared" si="95"/>
        <v>-0.10245581104332854</v>
      </c>
      <c r="AS71" s="680">
        <f t="shared" si="95"/>
        <v>0.75613441626457345</v>
      </c>
      <c r="AT71" s="680">
        <f t="shared" si="95"/>
        <v>0.83462428774928865</v>
      </c>
      <c r="AU71" s="680">
        <f t="shared" si="95"/>
        <v>1.0862757461118107</v>
      </c>
      <c r="AV71" s="680">
        <f t="shared" si="95"/>
        <v>0.85421994884910479</v>
      </c>
      <c r="AW71" s="680">
        <f t="shared" si="95"/>
        <v>2.7186486272648152</v>
      </c>
      <c r="AX71" s="974">
        <f t="shared" si="95"/>
        <v>2.5594653373408613</v>
      </c>
      <c r="AY71" s="682">
        <f t="shared" ca="1" si="95"/>
        <v>2.801698310499428</v>
      </c>
      <c r="AZ71" s="682">
        <f t="shared" ca="1" si="95"/>
        <v>1.6619073710706855</v>
      </c>
      <c r="BA71" s="682">
        <f t="shared" ca="1" si="95"/>
        <v>0.76871728171314502</v>
      </c>
      <c r="BB71" s="682">
        <f t="shared" ca="1" si="95"/>
        <v>0.10298882203686141</v>
      </c>
      <c r="BC71" s="682">
        <f t="shared" ca="1" si="95"/>
        <v>-0.52024234037016537</v>
      </c>
      <c r="BD71" s="152"/>
    </row>
    <row r="72" spans="1:56" s="63" customFormat="1" x14ac:dyDescent="0.25">
      <c r="A72" s="269" t="s">
        <v>145</v>
      </c>
      <c r="B72" s="270"/>
      <c r="C72" s="488"/>
      <c r="D72" s="488"/>
      <c r="E72" s="488"/>
      <c r="F72" s="488">
        <f t="shared" ref="F72:AL72" si="96">INDEX(MO_BSS_Debt_Net,0,COLUMN())/INDEX(SP_BSR_CashFlow_LTM,0,COLUMN())</f>
        <v>-0.15373331377438756</v>
      </c>
      <c r="G72" s="488">
        <f t="shared" si="96"/>
        <v>-7.1574642126789365E-2</v>
      </c>
      <c r="H72" s="488">
        <f t="shared" si="96"/>
        <v>0.31355117731859689</v>
      </c>
      <c r="I72" s="488">
        <f t="shared" si="96"/>
        <v>-0.10921273031825797</v>
      </c>
      <c r="J72" s="488">
        <f t="shared" si="96"/>
        <v>1.0961069348334742</v>
      </c>
      <c r="K72" s="488">
        <f t="shared" si="96"/>
        <v>1.0844175117487014</v>
      </c>
      <c r="L72" s="488">
        <f t="shared" si="96"/>
        <v>1.272374685711229</v>
      </c>
      <c r="M72" s="488">
        <f t="shared" si="96"/>
        <v>1.3839931760691804</v>
      </c>
      <c r="N72" s="488">
        <f t="shared" si="96"/>
        <v>1.1722520945354509</v>
      </c>
      <c r="O72" s="488">
        <f t="shared" si="96"/>
        <v>1.1981773148736188</v>
      </c>
      <c r="P72" s="678">
        <f t="shared" si="96"/>
        <v>1.4605263157894737</v>
      </c>
      <c r="Q72" s="678">
        <f t="shared" si="96"/>
        <v>1.44998004523081</v>
      </c>
      <c r="R72" s="678">
        <f t="shared" si="96"/>
        <v>1.3295604360268818</v>
      </c>
      <c r="S72" s="678">
        <f t="shared" si="96"/>
        <v>1.4641569493617437</v>
      </c>
      <c r="T72" s="678">
        <f t="shared" si="96"/>
        <v>1.0945694947269009</v>
      </c>
      <c r="U72" s="678">
        <f t="shared" si="96"/>
        <v>1.259284603421462</v>
      </c>
      <c r="V72" s="678">
        <f t="shared" si="96"/>
        <v>1.7357089829250185</v>
      </c>
      <c r="W72" s="678">
        <f t="shared" si="96"/>
        <v>2.5174359223773166</v>
      </c>
      <c r="X72" s="678">
        <f t="shared" si="96"/>
        <v>5.0628752886836033</v>
      </c>
      <c r="Y72" s="678">
        <f t="shared" si="96"/>
        <v>6.0517797306695327</v>
      </c>
      <c r="Z72" s="678">
        <f t="shared" si="96"/>
        <v>5.5705485004052946</v>
      </c>
      <c r="AA72" s="678">
        <f t="shared" si="96"/>
        <v>7.4751243781094541</v>
      </c>
      <c r="AB72" s="678">
        <f t="shared" si="96"/>
        <v>7.6802356158619958</v>
      </c>
      <c r="AC72" s="678">
        <f t="shared" si="96"/>
        <v>6.7494914413296945</v>
      </c>
      <c r="AD72" s="678">
        <f t="shared" si="96"/>
        <v>6.3956158026500569</v>
      </c>
      <c r="AE72" s="678">
        <f t="shared" si="96"/>
        <v>7.0256964099508403</v>
      </c>
      <c r="AF72" s="700">
        <f t="shared" si="96"/>
        <v>6.8264919100900112</v>
      </c>
      <c r="AG72" s="152">
        <f t="shared" ca="1" si="96"/>
        <v>8.0356343575013831</v>
      </c>
      <c r="AH72" s="152">
        <f t="shared" ca="1" si="96"/>
        <v>4.4058192583276217</v>
      </c>
      <c r="AI72" s="152">
        <f t="shared" ca="1" si="96"/>
        <v>3.6980946346458317</v>
      </c>
      <c r="AJ72" s="152">
        <f t="shared" ca="1" si="96"/>
        <v>2.5884906823842901</v>
      </c>
      <c r="AK72" s="152">
        <f t="shared" ca="1" si="96"/>
        <v>2.6198023012067013</v>
      </c>
      <c r="AL72" s="152">
        <f t="shared" ca="1" si="96"/>
        <v>2.0525979973408575</v>
      </c>
      <c r="AM72" s="152"/>
      <c r="AN72" s="680">
        <f t="shared" ref="AN72:BC72" si="97">INDEX(MO_BSS_Debt_Net,0,COLUMN())/INDEX(SP_BSR_CashFlow_LTM,0,COLUMN())</f>
        <v>-0.68144830631426223</v>
      </c>
      <c r="AO72" s="680">
        <f t="shared" si="97"/>
        <v>-1.5434979973297733</v>
      </c>
      <c r="AP72" s="680">
        <f t="shared" si="97"/>
        <v>-0.16707587039645805</v>
      </c>
      <c r="AQ72" s="680">
        <f t="shared" si="97"/>
        <v>-0.22708254089007227</v>
      </c>
      <c r="AR72" s="680">
        <f t="shared" si="97"/>
        <v>-0.15373331377438754</v>
      </c>
      <c r="AS72" s="680">
        <f t="shared" si="97"/>
        <v>1.0961069348334742</v>
      </c>
      <c r="AT72" s="680">
        <f t="shared" si="97"/>
        <v>1.1722520945354511</v>
      </c>
      <c r="AU72" s="680">
        <f t="shared" si="97"/>
        <v>1.3295604360268818</v>
      </c>
      <c r="AV72" s="680">
        <f t="shared" si="97"/>
        <v>1.7357089829250185</v>
      </c>
      <c r="AW72" s="680">
        <f t="shared" si="97"/>
        <v>5.5705485004052946</v>
      </c>
      <c r="AX72" s="974">
        <f t="shared" si="97"/>
        <v>6.3956158026500569</v>
      </c>
      <c r="AY72" s="682">
        <f t="shared" ca="1" si="97"/>
        <v>4.4058192583276217</v>
      </c>
      <c r="AZ72" s="682">
        <f t="shared" ca="1" si="97"/>
        <v>2.0525979973408575</v>
      </c>
      <c r="BA72" s="682">
        <f t="shared" ca="1" si="97"/>
        <v>0.96085753210794844</v>
      </c>
      <c r="BB72" s="682">
        <f t="shared" ca="1" si="97"/>
        <v>0.12956966055767333</v>
      </c>
      <c r="BC72" s="682">
        <f t="shared" ca="1" si="97"/>
        <v>-0.65456700555842751</v>
      </c>
      <c r="BD72" s="152"/>
    </row>
    <row r="73" spans="1:56" s="64" customFormat="1" x14ac:dyDescent="0.25">
      <c r="A73" s="271" t="s">
        <v>318</v>
      </c>
      <c r="B73" s="272"/>
      <c r="C73" s="489"/>
      <c r="D73" s="489"/>
      <c r="E73" s="489"/>
      <c r="F73" s="489">
        <f t="shared" ref="F73:AL73" si="98">INDEX(MO_BSS_Debt_Net,0,COLUMN())/SUM(INDEX(MO_BS_SE,0,COLUMN()),INDEX(MO_BSS_Debt,0,COLUMN()),IFERROR(INDEX(MO_BSS_OL,0,COLUMN()),0))</f>
        <v>-2.7089343135126193E-2</v>
      </c>
      <c r="G73" s="489">
        <f t="shared" si="98"/>
        <v>-1.2213359920239284E-2</v>
      </c>
      <c r="H73" s="489">
        <f t="shared" si="98"/>
        <v>5.2093728793261747E-2</v>
      </c>
      <c r="I73" s="489">
        <f t="shared" si="98"/>
        <v>-1.9690380612548321E-2</v>
      </c>
      <c r="J73" s="489">
        <f t="shared" si="98"/>
        <v>0.20939035002211115</v>
      </c>
      <c r="K73" s="489">
        <f t="shared" si="98"/>
        <v>0.21055892268828463</v>
      </c>
      <c r="L73" s="489">
        <f t="shared" si="98"/>
        <v>0.21493507080309784</v>
      </c>
      <c r="M73" s="489">
        <f t="shared" si="98"/>
        <v>0.21493141361495696</v>
      </c>
      <c r="N73" s="489">
        <f t="shared" si="98"/>
        <v>0.17290383267549522</v>
      </c>
      <c r="O73" s="489">
        <f t="shared" si="98"/>
        <v>0.17702224682623832</v>
      </c>
      <c r="P73" s="489">
        <f t="shared" si="98"/>
        <v>0.20810242165046269</v>
      </c>
      <c r="Q73" s="489">
        <f t="shared" si="98"/>
        <v>0.1969551861221539</v>
      </c>
      <c r="R73" s="489">
        <f t="shared" si="98"/>
        <v>0.18361383720413868</v>
      </c>
      <c r="S73" s="489">
        <f t="shared" si="98"/>
        <v>0.19361891303320694</v>
      </c>
      <c r="T73" s="489">
        <f t="shared" si="98"/>
        <v>0.14426372349695035</v>
      </c>
      <c r="U73" s="489">
        <f t="shared" si="98"/>
        <v>0.16310990963406433</v>
      </c>
      <c r="V73" s="489">
        <f t="shared" si="98"/>
        <v>0.16584827586206899</v>
      </c>
      <c r="W73" s="489">
        <f t="shared" si="98"/>
        <v>0.20240646311706192</v>
      </c>
      <c r="X73" s="489">
        <f t="shared" si="98"/>
        <v>0.30457404648028702</v>
      </c>
      <c r="Y73" s="489">
        <f t="shared" si="98"/>
        <v>0.32421200235738823</v>
      </c>
      <c r="Z73" s="489">
        <f t="shared" si="98"/>
        <v>0.34013046533957619</v>
      </c>
      <c r="AA73" s="489">
        <f t="shared" si="98"/>
        <v>0.41616083635849321</v>
      </c>
      <c r="AB73" s="489">
        <f t="shared" si="98"/>
        <v>0.42217127725082182</v>
      </c>
      <c r="AC73" s="489">
        <f t="shared" si="98"/>
        <v>0.40150169117343232</v>
      </c>
      <c r="AD73" s="489">
        <f t="shared" si="98"/>
        <v>0.32446238391147847</v>
      </c>
      <c r="AE73" s="489">
        <f t="shared" si="98"/>
        <v>0.30841540131570344</v>
      </c>
      <c r="AF73" s="701">
        <f t="shared" si="98"/>
        <v>0.25123204215779898</v>
      </c>
      <c r="AG73" s="679">
        <f t="shared" ca="1" si="98"/>
        <v>0.25299838291211107</v>
      </c>
      <c r="AH73" s="679">
        <f t="shared" ca="1" si="98"/>
        <v>0.21977977894838421</v>
      </c>
      <c r="AI73" s="679">
        <f t="shared" ca="1" si="98"/>
        <v>0.23572870631260515</v>
      </c>
      <c r="AJ73" s="679">
        <f t="shared" ca="1" si="98"/>
        <v>0.18437434285580825</v>
      </c>
      <c r="AK73" s="679">
        <f t="shared" ca="1" si="98"/>
        <v>0.19192245353995213</v>
      </c>
      <c r="AL73" s="679">
        <f t="shared" ca="1" si="98"/>
        <v>0.16088509539131693</v>
      </c>
      <c r="AM73" s="679"/>
      <c r="AN73" s="681">
        <f t="shared" ref="AN73:BC73" si="99">INDEX(MO_BSS_Debt_Net,0,COLUMN())/SUM(INDEX(MO_BS_SE,0,COLUMN()),INDEX(MO_BSS_Debt,0,COLUMN()),IFERROR(INDEX(MO_BSS_OL,0,COLUMN()),0))</f>
        <v>-9.7420867526377491E-2</v>
      </c>
      <c r="AO73" s="681">
        <f t="shared" si="99"/>
        <v>-0.23161066457243143</v>
      </c>
      <c r="AP73" s="681">
        <f t="shared" si="99"/>
        <v>-2.8948212616985373E-2</v>
      </c>
      <c r="AQ73" s="681">
        <f t="shared" si="99"/>
        <v>-4.6379461804621804E-2</v>
      </c>
      <c r="AR73" s="681">
        <f t="shared" si="99"/>
        <v>-2.7089343135126193E-2</v>
      </c>
      <c r="AS73" s="681">
        <f t="shared" si="99"/>
        <v>0.20939035002211115</v>
      </c>
      <c r="AT73" s="681">
        <f t="shared" si="99"/>
        <v>0.17290383267549522</v>
      </c>
      <c r="AU73" s="681">
        <f t="shared" si="99"/>
        <v>0.18361383720413868</v>
      </c>
      <c r="AV73" s="681">
        <f t="shared" si="99"/>
        <v>0.16584827586206899</v>
      </c>
      <c r="AW73" s="681">
        <f t="shared" si="99"/>
        <v>0.34013046533957619</v>
      </c>
      <c r="AX73" s="975">
        <f t="shared" si="99"/>
        <v>0.32446238391147847</v>
      </c>
      <c r="AY73" s="683">
        <f t="shared" ca="1" si="99"/>
        <v>0.21977977894838421</v>
      </c>
      <c r="AZ73" s="683">
        <f t="shared" ca="1" si="99"/>
        <v>0.16088509539131693</v>
      </c>
      <c r="BA73" s="683">
        <f t="shared" ca="1" si="99"/>
        <v>9.2386899841068862E-2</v>
      </c>
      <c r="BB73" s="683">
        <f t="shared" ca="1" si="99"/>
        <v>1.4095878922180905E-2</v>
      </c>
      <c r="BC73" s="683">
        <f t="shared" ca="1" si="99"/>
        <v>-6.808729966554114E-2</v>
      </c>
      <c r="BD73" s="314"/>
    </row>
    <row r="74" spans="1:56" s="61" customFormat="1" hidden="1" outlineLevel="1" x14ac:dyDescent="0.25">
      <c r="A74" s="266" t="s">
        <v>319</v>
      </c>
      <c r="B74" s="184"/>
      <c r="C74" s="814"/>
      <c r="D74" s="814"/>
      <c r="E74" s="814"/>
      <c r="F74" s="814">
        <f t="shared" ref="F74:AL74" si="100">SUM(F40,E40,D40,C40)</f>
        <v>51.144000000000091</v>
      </c>
      <c r="G74" s="814">
        <f t="shared" si="100"/>
        <v>51.517000000000067</v>
      </c>
      <c r="H74" s="814">
        <f t="shared" si="100"/>
        <v>57.517000000000081</v>
      </c>
      <c r="I74" s="814">
        <f t="shared" si="100"/>
        <v>58.86800000000008</v>
      </c>
      <c r="J74" s="814">
        <f t="shared" si="100"/>
        <v>58.237000000000094</v>
      </c>
      <c r="K74" s="814">
        <f t="shared" si="100"/>
        <v>57.8990000000001</v>
      </c>
      <c r="L74" s="814">
        <f t="shared" si="100"/>
        <v>51.568000000000104</v>
      </c>
      <c r="M74" s="814">
        <f t="shared" si="100"/>
        <v>46.384000000000107</v>
      </c>
      <c r="N74" s="814">
        <f t="shared" si="100"/>
        <v>44.927999999999969</v>
      </c>
      <c r="O74" s="814">
        <f t="shared" si="100"/>
        <v>43.926999999999964</v>
      </c>
      <c r="P74" s="814">
        <f t="shared" si="100"/>
        <v>44.086999999999961</v>
      </c>
      <c r="Q74" s="814">
        <f t="shared" si="100"/>
        <v>45.351999999999954</v>
      </c>
      <c r="R74" s="814">
        <f t="shared" si="100"/>
        <v>44.141000000000005</v>
      </c>
      <c r="S74" s="814">
        <f t="shared" si="100"/>
        <v>44.38300000000001</v>
      </c>
      <c r="T74" s="814">
        <f t="shared" si="100"/>
        <v>46.861000000000004</v>
      </c>
      <c r="U74" s="814">
        <f t="shared" si="100"/>
        <v>48.215000000000011</v>
      </c>
      <c r="V74" s="814">
        <f t="shared" si="100"/>
        <v>48.26700000000001</v>
      </c>
      <c r="W74" s="814">
        <f t="shared" si="100"/>
        <v>46.653999999999996</v>
      </c>
      <c r="X74" s="814">
        <f t="shared" si="100"/>
        <v>44.51400000000001</v>
      </c>
      <c r="Y74" s="814">
        <f t="shared" si="100"/>
        <v>41.934000000000005</v>
      </c>
      <c r="Z74" s="814">
        <f t="shared" si="100"/>
        <v>37.218000000000032</v>
      </c>
      <c r="AA74" s="814">
        <f t="shared" si="100"/>
        <v>37.847000000000051</v>
      </c>
      <c r="AB74" s="814">
        <f t="shared" si="100"/>
        <v>36.514000000000067</v>
      </c>
      <c r="AC74" s="814">
        <f t="shared" si="100"/>
        <v>37.459000000000074</v>
      </c>
      <c r="AD74" s="814">
        <f t="shared" si="100"/>
        <v>40.922999999999945</v>
      </c>
      <c r="AE74" s="814">
        <f t="shared" si="100"/>
        <v>35.575999999999929</v>
      </c>
      <c r="AF74" s="815">
        <f t="shared" si="100"/>
        <v>31.124999999999922</v>
      </c>
      <c r="AG74" s="816">
        <f t="shared" si="100"/>
        <v>26.296999999999915</v>
      </c>
      <c r="AH74" s="816">
        <f t="shared" si="100"/>
        <v>23.042999999999992</v>
      </c>
      <c r="AI74" s="816">
        <f t="shared" si="100"/>
        <v>25.602541459999976</v>
      </c>
      <c r="AJ74" s="816">
        <f t="shared" si="100"/>
        <v>26.208600809999968</v>
      </c>
      <c r="AK74" s="816">
        <f t="shared" si="100"/>
        <v>27.330500809999982</v>
      </c>
      <c r="AL74" s="816">
        <f t="shared" si="100"/>
        <v>29.959550809999996</v>
      </c>
      <c r="AM74" s="816"/>
      <c r="AN74" s="813">
        <f t="shared" ref="AN74:BC74" si="101">AN40</f>
        <v>18.793000000000006</v>
      </c>
      <c r="AO74" s="813">
        <f t="shared" si="101"/>
        <v>27.329999999999995</v>
      </c>
      <c r="AP74" s="813">
        <f t="shared" si="101"/>
        <v>37.886999999999958</v>
      </c>
      <c r="AQ74" s="813">
        <f t="shared" si="101"/>
        <v>47.657000000000004</v>
      </c>
      <c r="AR74" s="813">
        <f t="shared" si="101"/>
        <v>51.144000000000048</v>
      </c>
      <c r="AS74" s="813">
        <f t="shared" si="101"/>
        <v>58.237000000000045</v>
      </c>
      <c r="AT74" s="813">
        <f t="shared" si="101"/>
        <v>44.927999999999955</v>
      </c>
      <c r="AU74" s="813">
        <f t="shared" si="101"/>
        <v>38.064000000000036</v>
      </c>
      <c r="AV74" s="813">
        <f t="shared" si="101"/>
        <v>49.266000000000005</v>
      </c>
      <c r="AW74" s="813">
        <f t="shared" si="101"/>
        <v>37.917000000000002</v>
      </c>
      <c r="AX74" s="965">
        <f t="shared" si="101"/>
        <v>40.922999999999973</v>
      </c>
      <c r="AY74" s="817">
        <f t="shared" si="101"/>
        <v>23.042999999999992</v>
      </c>
      <c r="AZ74" s="817">
        <f t="shared" si="101"/>
        <v>29.959550809999996</v>
      </c>
      <c r="BA74" s="817">
        <f t="shared" si="101"/>
        <v>40.003054120000016</v>
      </c>
      <c r="BB74" s="817">
        <f t="shared" si="101"/>
        <v>49.77748428000011</v>
      </c>
      <c r="BC74" s="817">
        <f t="shared" si="101"/>
        <v>51.846358493999958</v>
      </c>
      <c r="BD74" s="312"/>
    </row>
    <row r="75" spans="1:56" s="61" customFormat="1" hidden="1" outlineLevel="1" x14ac:dyDescent="0.25">
      <c r="A75" s="266" t="s">
        <v>320</v>
      </c>
      <c r="B75" s="184"/>
      <c r="C75" s="814"/>
      <c r="D75" s="814"/>
      <c r="E75" s="814"/>
      <c r="F75" s="814">
        <f t="shared" ref="F75:AL75" si="102">SUM(F51,E51,D51,C51)</f>
        <v>34.085000000000001</v>
      </c>
      <c r="G75" s="814">
        <f t="shared" si="102"/>
        <v>34.230000000000004</v>
      </c>
      <c r="H75" s="814">
        <f t="shared" si="102"/>
        <v>37.457999999999998</v>
      </c>
      <c r="I75" s="814">
        <f t="shared" si="102"/>
        <v>38.805</v>
      </c>
      <c r="J75" s="814">
        <f t="shared" si="102"/>
        <v>40.173999999999999</v>
      </c>
      <c r="K75" s="814">
        <f t="shared" si="102"/>
        <v>40.43</v>
      </c>
      <c r="L75" s="814">
        <f t="shared" si="102"/>
        <v>37.385999999999996</v>
      </c>
      <c r="M75" s="814">
        <f t="shared" si="102"/>
        <v>33.998000000000005</v>
      </c>
      <c r="N75" s="814">
        <f t="shared" si="102"/>
        <v>31.988</v>
      </c>
      <c r="O75" s="814">
        <f t="shared" si="102"/>
        <v>31.491999999999997</v>
      </c>
      <c r="P75" s="814">
        <f t="shared" si="102"/>
        <v>31.084</v>
      </c>
      <c r="Q75" s="814">
        <f t="shared" si="102"/>
        <v>30.067999999999998</v>
      </c>
      <c r="R75" s="814">
        <f t="shared" si="102"/>
        <v>31.099</v>
      </c>
      <c r="S75" s="814">
        <f t="shared" si="102"/>
        <v>30.786999999999999</v>
      </c>
      <c r="T75" s="814">
        <f t="shared" si="102"/>
        <v>31.765000000000001</v>
      </c>
      <c r="U75" s="814">
        <f t="shared" si="102"/>
        <v>32.15</v>
      </c>
      <c r="V75" s="814">
        <f t="shared" si="102"/>
        <v>24.246000000000002</v>
      </c>
      <c r="W75" s="814">
        <f t="shared" si="102"/>
        <v>20.561</v>
      </c>
      <c r="X75" s="814">
        <f t="shared" si="102"/>
        <v>17.32</v>
      </c>
      <c r="Y75" s="814">
        <f t="shared" si="102"/>
        <v>15.817</v>
      </c>
      <c r="Z75" s="814">
        <f t="shared" si="102"/>
        <v>18.505000000000003</v>
      </c>
      <c r="AA75" s="814">
        <f t="shared" si="102"/>
        <v>18.893999999999998</v>
      </c>
      <c r="AB75" s="814">
        <f t="shared" si="102"/>
        <v>19.014000000000003</v>
      </c>
      <c r="AC75" s="814">
        <f t="shared" si="102"/>
        <v>20.155000000000001</v>
      </c>
      <c r="AD75" s="814">
        <f t="shared" si="102"/>
        <v>16.377000000000002</v>
      </c>
      <c r="AE75" s="814">
        <f t="shared" si="102"/>
        <v>13.426000000000002</v>
      </c>
      <c r="AF75" s="815">
        <f t="shared" si="102"/>
        <v>10.559450000000005</v>
      </c>
      <c r="AG75" s="816">
        <f t="shared" si="102"/>
        <v>9.1198190722404391</v>
      </c>
      <c r="AH75" s="816">
        <f t="shared" ca="1" si="102"/>
        <v>14.653241629649614</v>
      </c>
      <c r="AI75" s="816">
        <f t="shared" ca="1" si="102"/>
        <v>18.902410191510697</v>
      </c>
      <c r="AJ75" s="816">
        <f t="shared" ca="1" si="102"/>
        <v>21.353235095233462</v>
      </c>
      <c r="AK75" s="816">
        <f t="shared" ca="1" si="102"/>
        <v>22.225407731279084</v>
      </c>
      <c r="AL75" s="816">
        <f t="shared" ca="1" si="102"/>
        <v>24.257062702783841</v>
      </c>
      <c r="AM75" s="816"/>
      <c r="AN75" s="813">
        <f t="shared" ref="AN75:BC75" si="103">AN51</f>
        <v>15.853000000000002</v>
      </c>
      <c r="AO75" s="813">
        <f t="shared" si="103"/>
        <v>18.724999999999998</v>
      </c>
      <c r="AP75" s="813">
        <f t="shared" si="103"/>
        <v>24.844999999999999</v>
      </c>
      <c r="AQ75" s="813">
        <f t="shared" si="103"/>
        <v>34.177</v>
      </c>
      <c r="AR75" s="813">
        <f t="shared" si="103"/>
        <v>34.085000000000008</v>
      </c>
      <c r="AS75" s="813">
        <f t="shared" si="103"/>
        <v>40.173999999999999</v>
      </c>
      <c r="AT75" s="813">
        <f t="shared" si="103"/>
        <v>31.987999999999996</v>
      </c>
      <c r="AU75" s="813">
        <f t="shared" si="103"/>
        <v>31.099</v>
      </c>
      <c r="AV75" s="813">
        <f t="shared" si="103"/>
        <v>24.246000000000002</v>
      </c>
      <c r="AW75" s="813">
        <f t="shared" si="103"/>
        <v>18.505000000000003</v>
      </c>
      <c r="AX75" s="965">
        <f t="shared" si="103"/>
        <v>16.377000000000002</v>
      </c>
      <c r="AY75" s="817">
        <f t="shared" ca="1" si="103"/>
        <v>14.653241629649616</v>
      </c>
      <c r="AZ75" s="817">
        <f t="shared" ca="1" si="103"/>
        <v>24.257062702783841</v>
      </c>
      <c r="BA75" s="817">
        <f t="shared" ca="1" si="103"/>
        <v>32.003744567509393</v>
      </c>
      <c r="BB75" s="817">
        <f t="shared" ca="1" si="103"/>
        <v>39.565778345723977</v>
      </c>
      <c r="BC75" s="817">
        <f t="shared" ca="1" si="103"/>
        <v>41.206890438325836</v>
      </c>
      <c r="BD75" s="312"/>
    </row>
    <row r="76" spans="1:56" collapsed="1" x14ac:dyDescent="0.25">
      <c r="A76" s="247"/>
      <c r="B76" s="252"/>
      <c r="C76" s="822"/>
      <c r="D76" s="822"/>
      <c r="E76" s="822"/>
      <c r="F76" s="822"/>
      <c r="G76" s="822"/>
      <c r="H76" s="822"/>
      <c r="I76" s="822"/>
      <c r="J76" s="822"/>
      <c r="K76" s="822"/>
      <c r="L76" s="822"/>
      <c r="M76" s="822"/>
      <c r="N76" s="822"/>
      <c r="O76" s="822"/>
      <c r="P76" s="822"/>
      <c r="Q76" s="822"/>
      <c r="R76" s="822"/>
      <c r="S76" s="822"/>
      <c r="T76" s="822"/>
      <c r="U76" s="822"/>
      <c r="V76" s="822"/>
      <c r="W76" s="822"/>
      <c r="X76" s="822"/>
      <c r="Y76" s="822"/>
      <c r="Z76" s="822"/>
      <c r="AA76" s="822"/>
      <c r="AB76" s="822"/>
      <c r="AC76" s="822"/>
      <c r="AD76" s="822"/>
      <c r="AE76" s="822"/>
      <c r="AF76" s="823"/>
      <c r="AG76" s="824"/>
      <c r="AH76" s="824"/>
      <c r="AI76" s="824"/>
      <c r="AJ76" s="824"/>
      <c r="AK76" s="824"/>
      <c r="AL76" s="824"/>
      <c r="AM76" s="824"/>
      <c r="AN76" s="821"/>
      <c r="AO76" s="821"/>
      <c r="AP76" s="821"/>
      <c r="AQ76" s="821"/>
      <c r="AR76" s="821"/>
      <c r="AS76" s="821"/>
      <c r="AT76" s="821"/>
      <c r="AU76" s="821"/>
      <c r="AV76" s="821"/>
      <c r="AW76" s="821"/>
      <c r="AX76" s="967"/>
      <c r="AY76" s="825"/>
      <c r="AZ76" s="825"/>
      <c r="BA76" s="825"/>
      <c r="BB76" s="825"/>
      <c r="BC76" s="825"/>
      <c r="BD76" s="685"/>
    </row>
    <row r="77" spans="1:56" x14ac:dyDescent="0.25">
      <c r="A77" s="132" t="s">
        <v>391</v>
      </c>
      <c r="B77" s="686"/>
      <c r="C77" s="826"/>
      <c r="D77" s="826"/>
      <c r="E77" s="826"/>
      <c r="F77" s="826"/>
      <c r="G77" s="826"/>
      <c r="H77" s="826"/>
      <c r="I77" s="826"/>
      <c r="J77" s="826"/>
      <c r="K77" s="826"/>
      <c r="L77" s="826"/>
      <c r="M77" s="826"/>
      <c r="N77" s="826"/>
      <c r="O77" s="826"/>
      <c r="P77" s="826"/>
      <c r="Q77" s="826"/>
      <c r="R77" s="826"/>
      <c r="S77" s="826"/>
      <c r="T77" s="826"/>
      <c r="U77" s="826"/>
      <c r="V77" s="826"/>
      <c r="W77" s="826"/>
      <c r="X77" s="826"/>
      <c r="Y77" s="826"/>
      <c r="Z77" s="826"/>
      <c r="AA77" s="826"/>
      <c r="AB77" s="826"/>
      <c r="AC77" s="826"/>
      <c r="AD77" s="826"/>
      <c r="AE77" s="826"/>
      <c r="AF77" s="827"/>
      <c r="AG77" s="828"/>
      <c r="AH77" s="828"/>
      <c r="AI77" s="828"/>
      <c r="AJ77" s="828"/>
      <c r="AK77" s="828"/>
      <c r="AL77" s="828"/>
      <c r="AM77" s="828"/>
      <c r="AN77" s="826"/>
      <c r="AO77" s="826"/>
      <c r="AP77" s="826"/>
      <c r="AQ77" s="826"/>
      <c r="AR77" s="826"/>
      <c r="AS77" s="826"/>
      <c r="AT77" s="826"/>
      <c r="AU77" s="826"/>
      <c r="AV77" s="826"/>
      <c r="AW77" s="826"/>
      <c r="AX77" s="827"/>
      <c r="AY77" s="828"/>
      <c r="AZ77" s="828"/>
      <c r="BA77" s="828"/>
      <c r="BB77" s="828"/>
      <c r="BC77" s="828"/>
      <c r="BD77" s="684"/>
    </row>
    <row r="78" spans="1:56" hidden="1" outlineLevel="1" x14ac:dyDescent="0.25">
      <c r="A78" s="248" t="s">
        <v>321</v>
      </c>
      <c r="B78" s="249"/>
      <c r="C78" s="814">
        <f t="shared" ref="C78:AL78" si="104">INDEX(SP_NGF_NI,0,COLUMN())</f>
        <v>4.9250000000000096</v>
      </c>
      <c r="D78" s="814">
        <f t="shared" si="104"/>
        <v>5.2469999999999981</v>
      </c>
      <c r="E78" s="814">
        <f t="shared" si="104"/>
        <v>6.143000000000014</v>
      </c>
      <c r="F78" s="814">
        <f t="shared" si="104"/>
        <v>7.4410000000000656</v>
      </c>
      <c r="G78" s="814">
        <f t="shared" si="104"/>
        <v>4.3169999999999913</v>
      </c>
      <c r="H78" s="814">
        <f t="shared" si="104"/>
        <v>8.1130000000000173</v>
      </c>
      <c r="I78" s="814">
        <f t="shared" si="104"/>
        <v>7.2439999999999953</v>
      </c>
      <c r="J78" s="814">
        <f t="shared" si="104"/>
        <v>7.4240000000000963</v>
      </c>
      <c r="K78" s="814">
        <f t="shared" si="104"/>
        <v>4.1070000000000029</v>
      </c>
      <c r="L78" s="814">
        <f t="shared" si="104"/>
        <v>4.7140000000000022</v>
      </c>
      <c r="M78" s="814">
        <f t="shared" si="104"/>
        <v>3.7160000000000033</v>
      </c>
      <c r="N78" s="814">
        <f t="shared" si="104"/>
        <v>6.2519999999999474</v>
      </c>
      <c r="O78" s="814">
        <f t="shared" si="104"/>
        <v>3.8000000000000069</v>
      </c>
      <c r="P78" s="814">
        <f t="shared" si="104"/>
        <v>4.9130000000000011</v>
      </c>
      <c r="Q78" s="814">
        <f t="shared" si="104"/>
        <v>4.8019999999999881</v>
      </c>
      <c r="R78" s="814">
        <f t="shared" si="104"/>
        <v>6.7319999999999967</v>
      </c>
      <c r="S78" s="814">
        <f t="shared" si="104"/>
        <v>4.4228200000000042</v>
      </c>
      <c r="T78" s="814">
        <f t="shared" si="104"/>
        <v>6.8729800000000081</v>
      </c>
      <c r="U78" s="814">
        <f t="shared" si="104"/>
        <v>6.3222800000000028</v>
      </c>
      <c r="V78" s="814">
        <f t="shared" si="104"/>
        <v>6.5969700000000451</v>
      </c>
      <c r="W78" s="814">
        <f t="shared" si="104"/>
        <v>2.6320000000000019</v>
      </c>
      <c r="X78" s="814">
        <f t="shared" si="104"/>
        <v>5.5671200000000045</v>
      </c>
      <c r="Y78" s="814">
        <f t="shared" si="104"/>
        <v>4.4079600000000045</v>
      </c>
      <c r="Z78" s="814">
        <f t="shared" si="104"/>
        <v>1.8836800000000344</v>
      </c>
      <c r="AA78" s="814">
        <f t="shared" si="104"/>
        <v>2.6724200000000131</v>
      </c>
      <c r="AB78" s="814">
        <f t="shared" si="104"/>
        <v>3.7224000000000199</v>
      </c>
      <c r="AC78" s="814">
        <f t="shared" si="104"/>
        <v>4.0042899999999939</v>
      </c>
      <c r="AD78" s="814">
        <f t="shared" si="104"/>
        <v>3.8783999999999166</v>
      </c>
      <c r="AE78" s="814">
        <f t="shared" si="104"/>
        <v>-0.43814999999998605</v>
      </c>
      <c r="AF78" s="815">
        <f t="shared" si="104"/>
        <v>2.1471200000000046</v>
      </c>
      <c r="AG78" s="816">
        <f t="shared" si="104"/>
        <v>1.43807856480874</v>
      </c>
      <c r="AH78" s="816">
        <f t="shared" ca="1" si="104"/>
        <v>2.7863910956246434</v>
      </c>
      <c r="AI78" s="816">
        <f t="shared" ca="1" si="104"/>
        <v>1.4931533857330186</v>
      </c>
      <c r="AJ78" s="816">
        <f t="shared" ca="1" si="104"/>
        <v>1.9453102945835072</v>
      </c>
      <c r="AK78" s="816">
        <f t="shared" ca="1" si="104"/>
        <v>2.2989242835031245</v>
      </c>
      <c r="AL78" s="816">
        <f t="shared" ca="1" si="104"/>
        <v>4.7916609376293353</v>
      </c>
      <c r="AM78" s="816"/>
      <c r="AN78" s="813">
        <f t="shared" ref="AN78:BC78" si="105">INDEX(SP_NGF_NI,0,COLUMN())</f>
        <v>-1.1899999999999968</v>
      </c>
      <c r="AO78" s="813">
        <f t="shared" si="105"/>
        <v>12.731999999999987</v>
      </c>
      <c r="AP78" s="813">
        <f t="shared" si="105"/>
        <v>17.859999999999971</v>
      </c>
      <c r="AQ78" s="813">
        <f t="shared" si="105"/>
        <v>22.688000000000013</v>
      </c>
      <c r="AR78" s="813">
        <f t="shared" si="105"/>
        <v>23.756000000000064</v>
      </c>
      <c r="AS78" s="813">
        <f t="shared" si="105"/>
        <v>27.098000000000027</v>
      </c>
      <c r="AT78" s="813">
        <f t="shared" si="105"/>
        <v>18.78899999999997</v>
      </c>
      <c r="AU78" s="813">
        <f t="shared" si="105"/>
        <v>20.414910000000027</v>
      </c>
      <c r="AV78" s="813">
        <f t="shared" si="105"/>
        <v>24.195910000000037</v>
      </c>
      <c r="AW78" s="813">
        <f t="shared" si="105"/>
        <v>15.011759999999988</v>
      </c>
      <c r="AX78" s="965">
        <f t="shared" si="105"/>
        <v>14.177339999999932</v>
      </c>
      <c r="AY78" s="817">
        <f t="shared" ca="1" si="105"/>
        <v>5.9334396604333737</v>
      </c>
      <c r="AZ78" s="817">
        <f t="shared" ca="1" si="105"/>
        <v>10.529048901449041</v>
      </c>
      <c r="BA78" s="817">
        <f t="shared" ca="1" si="105"/>
        <v>18.175124508191089</v>
      </c>
      <c r="BB78" s="817">
        <f t="shared" ca="1" si="105"/>
        <v>25.638950055519775</v>
      </c>
      <c r="BC78" s="817">
        <f t="shared" ca="1" si="105"/>
        <v>27.258749004061862</v>
      </c>
      <c r="BD78" s="684"/>
    </row>
    <row r="79" spans="1:56" hidden="1" outlineLevel="1" x14ac:dyDescent="0.25">
      <c r="A79" s="248" t="s">
        <v>322</v>
      </c>
      <c r="B79" s="249"/>
      <c r="C79" s="814"/>
      <c r="D79" s="814"/>
      <c r="E79" s="814"/>
      <c r="F79" s="814">
        <f t="shared" ref="F79:AL79" si="106">SUM(F78,E78,D78,C78)</f>
        <v>23.756000000000085</v>
      </c>
      <c r="G79" s="814">
        <f t="shared" si="106"/>
        <v>23.148000000000067</v>
      </c>
      <c r="H79" s="814">
        <f t="shared" si="106"/>
        <v>26.014000000000088</v>
      </c>
      <c r="I79" s="814">
        <f t="shared" si="106"/>
        <v>27.115000000000073</v>
      </c>
      <c r="J79" s="814">
        <f t="shared" si="106"/>
        <v>27.098000000000098</v>
      </c>
      <c r="K79" s="814">
        <f t="shared" si="106"/>
        <v>26.888000000000112</v>
      </c>
      <c r="L79" s="814">
        <f t="shared" si="106"/>
        <v>23.489000000000097</v>
      </c>
      <c r="M79" s="814">
        <f t="shared" si="106"/>
        <v>19.961000000000105</v>
      </c>
      <c r="N79" s="814">
        <f t="shared" si="106"/>
        <v>18.788999999999955</v>
      </c>
      <c r="O79" s="814">
        <f t="shared" si="106"/>
        <v>18.481999999999957</v>
      </c>
      <c r="P79" s="814">
        <f t="shared" si="106"/>
        <v>18.680999999999958</v>
      </c>
      <c r="Q79" s="814">
        <f t="shared" si="106"/>
        <v>19.766999999999946</v>
      </c>
      <c r="R79" s="814">
        <f t="shared" si="106"/>
        <v>20.246999999999993</v>
      </c>
      <c r="S79" s="814">
        <f t="shared" si="106"/>
        <v>20.86981999999999</v>
      </c>
      <c r="T79" s="814">
        <f t="shared" si="106"/>
        <v>22.829799999999999</v>
      </c>
      <c r="U79" s="814">
        <f t="shared" si="106"/>
        <v>24.350080000000013</v>
      </c>
      <c r="V79" s="814">
        <f t="shared" si="106"/>
        <v>24.215050000000062</v>
      </c>
      <c r="W79" s="814">
        <f t="shared" si="106"/>
        <v>22.424230000000058</v>
      </c>
      <c r="X79" s="814">
        <f t="shared" si="106"/>
        <v>21.118370000000056</v>
      </c>
      <c r="Y79" s="814">
        <f t="shared" si="106"/>
        <v>19.204050000000056</v>
      </c>
      <c r="Z79" s="814">
        <f t="shared" si="106"/>
        <v>14.490760000000044</v>
      </c>
      <c r="AA79" s="814">
        <f t="shared" si="106"/>
        <v>14.531180000000058</v>
      </c>
      <c r="AB79" s="814">
        <f t="shared" si="106"/>
        <v>12.686460000000071</v>
      </c>
      <c r="AC79" s="814">
        <f t="shared" si="106"/>
        <v>12.282790000000061</v>
      </c>
      <c r="AD79" s="814">
        <f t="shared" si="106"/>
        <v>14.277509999999943</v>
      </c>
      <c r="AE79" s="814">
        <f t="shared" si="106"/>
        <v>11.166939999999943</v>
      </c>
      <c r="AF79" s="815">
        <f t="shared" si="106"/>
        <v>9.5916599999999299</v>
      </c>
      <c r="AG79" s="816">
        <f t="shared" si="106"/>
        <v>7.0254485648086753</v>
      </c>
      <c r="AH79" s="816">
        <f t="shared" ca="1" si="106"/>
        <v>5.9334396604334021</v>
      </c>
      <c r="AI79" s="816">
        <f t="shared" ca="1" si="106"/>
        <v>7.8647430461664065</v>
      </c>
      <c r="AJ79" s="816">
        <f t="shared" ca="1" si="106"/>
        <v>7.6629333407499098</v>
      </c>
      <c r="AK79" s="816">
        <f t="shared" ca="1" si="106"/>
        <v>8.5237790594442941</v>
      </c>
      <c r="AL79" s="816">
        <f t="shared" ca="1" si="106"/>
        <v>10.529048901448986</v>
      </c>
      <c r="AM79" s="816"/>
      <c r="AN79" s="813">
        <f t="shared" ref="AN79:BC79" si="107">AN78</f>
        <v>-1.1899999999999968</v>
      </c>
      <c r="AO79" s="813">
        <f t="shared" si="107"/>
        <v>12.731999999999987</v>
      </c>
      <c r="AP79" s="813">
        <f t="shared" si="107"/>
        <v>17.859999999999971</v>
      </c>
      <c r="AQ79" s="813">
        <f t="shared" si="107"/>
        <v>22.688000000000013</v>
      </c>
      <c r="AR79" s="813">
        <f t="shared" si="107"/>
        <v>23.756000000000064</v>
      </c>
      <c r="AS79" s="813">
        <f t="shared" si="107"/>
        <v>27.098000000000027</v>
      </c>
      <c r="AT79" s="813">
        <f t="shared" si="107"/>
        <v>18.78899999999997</v>
      </c>
      <c r="AU79" s="813">
        <f t="shared" si="107"/>
        <v>20.414910000000027</v>
      </c>
      <c r="AV79" s="813">
        <f t="shared" si="107"/>
        <v>24.195910000000037</v>
      </c>
      <c r="AW79" s="813">
        <f t="shared" si="107"/>
        <v>15.011759999999988</v>
      </c>
      <c r="AX79" s="965">
        <f t="shared" si="107"/>
        <v>14.177339999999932</v>
      </c>
      <c r="AY79" s="817">
        <f t="shared" ca="1" si="107"/>
        <v>5.9334396604333737</v>
      </c>
      <c r="AZ79" s="817">
        <f t="shared" ca="1" si="107"/>
        <v>10.529048901449041</v>
      </c>
      <c r="BA79" s="817">
        <f t="shared" ca="1" si="107"/>
        <v>18.175124508191089</v>
      </c>
      <c r="BB79" s="817">
        <f t="shared" ca="1" si="107"/>
        <v>25.638950055519775</v>
      </c>
      <c r="BC79" s="817">
        <f t="shared" ca="1" si="107"/>
        <v>27.258749004061862</v>
      </c>
      <c r="BD79" s="684"/>
    </row>
    <row r="80" spans="1:56" hidden="1" outlineLevel="1" x14ac:dyDescent="0.25">
      <c r="A80" s="248" t="s">
        <v>323</v>
      </c>
      <c r="B80" s="249"/>
      <c r="C80" s="814">
        <f t="shared" ref="C80:AL80" si="108">INDEX(MO_BS_SE,0,COLUMN())</f>
        <v>170.86300000000003</v>
      </c>
      <c r="D80" s="814">
        <f t="shared" si="108"/>
        <v>176.39000000000001</v>
      </c>
      <c r="E80" s="814">
        <f t="shared" si="108"/>
        <v>185.31800000000004</v>
      </c>
      <c r="F80" s="814">
        <f t="shared" si="108"/>
        <v>193.02699999999999</v>
      </c>
      <c r="G80" s="814">
        <f t="shared" si="108"/>
        <v>197.82300000000001</v>
      </c>
      <c r="H80" s="814">
        <f t="shared" si="108"/>
        <v>207.68799999999999</v>
      </c>
      <c r="I80" s="814">
        <f t="shared" si="108"/>
        <v>210.352</v>
      </c>
      <c r="J80" s="814">
        <f t="shared" si="108"/>
        <v>151.72499999999999</v>
      </c>
      <c r="K80" s="814">
        <f t="shared" si="108"/>
        <v>152.244</v>
      </c>
      <c r="L80" s="814">
        <f t="shared" si="108"/>
        <v>161.40899999999999</v>
      </c>
      <c r="M80" s="814">
        <f t="shared" si="108"/>
        <v>158.23700000000002</v>
      </c>
      <c r="N80" s="814">
        <f t="shared" si="108"/>
        <v>158.34399999999999</v>
      </c>
      <c r="O80" s="814">
        <f t="shared" si="108"/>
        <v>158.95099999999996</v>
      </c>
      <c r="P80" s="814">
        <f t="shared" si="108"/>
        <v>157.89800000000002</v>
      </c>
      <c r="Q80" s="814">
        <f t="shared" si="108"/>
        <v>162.06700000000001</v>
      </c>
      <c r="R80" s="814">
        <f t="shared" si="108"/>
        <v>167.49600000000004</v>
      </c>
      <c r="S80" s="814">
        <f t="shared" si="108"/>
        <v>172.28399999999996</v>
      </c>
      <c r="T80" s="814">
        <f t="shared" si="108"/>
        <v>182.52700000000002</v>
      </c>
      <c r="U80" s="814">
        <f t="shared" si="108"/>
        <v>189.70699999999999</v>
      </c>
      <c r="V80" s="814">
        <f t="shared" si="108"/>
        <v>188.054</v>
      </c>
      <c r="W80" s="814">
        <f t="shared" si="108"/>
        <v>187.02199999999996</v>
      </c>
      <c r="X80" s="814">
        <f t="shared" si="108"/>
        <v>186.084</v>
      </c>
      <c r="Y80" s="814">
        <f t="shared" si="108"/>
        <v>189.19799999999998</v>
      </c>
      <c r="Z80" s="814">
        <f t="shared" si="108"/>
        <v>186.56899999999999</v>
      </c>
      <c r="AA80" s="814">
        <f t="shared" si="108"/>
        <v>189.714</v>
      </c>
      <c r="AB80" s="814">
        <f t="shared" si="108"/>
        <v>193.76399999999998</v>
      </c>
      <c r="AC80" s="814">
        <f t="shared" si="108"/>
        <v>195.04300000000003</v>
      </c>
      <c r="AD80" s="814">
        <f t="shared" si="108"/>
        <v>209.91399999999999</v>
      </c>
      <c r="AE80" s="814">
        <f t="shared" si="108"/>
        <v>202.49200000000002</v>
      </c>
      <c r="AF80" s="815">
        <f t="shared" si="108"/>
        <v>202.74100000000001</v>
      </c>
      <c r="AG80" s="816">
        <f t="shared" ca="1" si="108"/>
        <v>205.47907856480876</v>
      </c>
      <c r="AH80" s="816">
        <f t="shared" ca="1" si="108"/>
        <v>209.56546966043339</v>
      </c>
      <c r="AI80" s="816">
        <f t="shared" ca="1" si="108"/>
        <v>212.3586230461664</v>
      </c>
      <c r="AJ80" s="816">
        <f t="shared" ca="1" si="108"/>
        <v>215.6039333407499</v>
      </c>
      <c r="AK80" s="816">
        <f t="shared" ca="1" si="108"/>
        <v>219.20285762425303</v>
      </c>
      <c r="AL80" s="816">
        <f t="shared" ca="1" si="108"/>
        <v>225.29451856188237</v>
      </c>
      <c r="AM80" s="816"/>
      <c r="AN80" s="813">
        <f t="shared" ref="AN80:BC80" si="109">INDEX(MO_BS_SE,0,COLUMN())</f>
        <v>110.89</v>
      </c>
      <c r="AO80" s="813">
        <f t="shared" si="109"/>
        <v>124.78700000000001</v>
      </c>
      <c r="AP80" s="813">
        <f t="shared" si="109"/>
        <v>143.39399999999998</v>
      </c>
      <c r="AQ80" s="813">
        <f t="shared" si="109"/>
        <v>167.33700000000002</v>
      </c>
      <c r="AR80" s="813">
        <f t="shared" si="109"/>
        <v>193.02699999999999</v>
      </c>
      <c r="AS80" s="813">
        <f t="shared" si="109"/>
        <v>151.72499999999999</v>
      </c>
      <c r="AT80" s="813">
        <f t="shared" si="109"/>
        <v>158.34399999999999</v>
      </c>
      <c r="AU80" s="813">
        <f t="shared" si="109"/>
        <v>167.49600000000004</v>
      </c>
      <c r="AV80" s="813">
        <f t="shared" si="109"/>
        <v>188.054</v>
      </c>
      <c r="AW80" s="813">
        <f t="shared" si="109"/>
        <v>186.56899999999999</v>
      </c>
      <c r="AX80" s="965">
        <f t="shared" si="109"/>
        <v>209.91399999999999</v>
      </c>
      <c r="AY80" s="817">
        <f t="shared" ca="1" si="109"/>
        <v>209.56546966043339</v>
      </c>
      <c r="AZ80" s="817">
        <f t="shared" ca="1" si="109"/>
        <v>225.29451856188237</v>
      </c>
      <c r="BA80" s="817">
        <f t="shared" ca="1" si="109"/>
        <v>248.66964307007342</v>
      </c>
      <c r="BB80" s="817">
        <f t="shared" ca="1" si="109"/>
        <v>279.50859312559317</v>
      </c>
      <c r="BC80" s="817">
        <f t="shared" ca="1" si="109"/>
        <v>311.96734212965509</v>
      </c>
      <c r="BD80" s="684"/>
    </row>
    <row r="81" spans="1:56" hidden="1" outlineLevel="1" x14ac:dyDescent="0.25">
      <c r="A81" s="248" t="s">
        <v>324</v>
      </c>
      <c r="B81" s="249"/>
      <c r="C81" s="814"/>
      <c r="D81" s="814"/>
      <c r="E81" s="814"/>
      <c r="F81" s="814">
        <f t="shared" ref="F81:AL81" si="110">AVERAGE(F80,E80,D80,C80)</f>
        <v>181.39950000000002</v>
      </c>
      <c r="G81" s="814">
        <f t="shared" si="110"/>
        <v>188.13950000000003</v>
      </c>
      <c r="H81" s="814">
        <f t="shared" si="110"/>
        <v>195.964</v>
      </c>
      <c r="I81" s="814">
        <f t="shared" si="110"/>
        <v>202.22249999999997</v>
      </c>
      <c r="J81" s="814">
        <f t="shared" si="110"/>
        <v>191.89699999999999</v>
      </c>
      <c r="K81" s="814">
        <f t="shared" si="110"/>
        <v>180.50225</v>
      </c>
      <c r="L81" s="814">
        <f t="shared" si="110"/>
        <v>168.9325</v>
      </c>
      <c r="M81" s="814">
        <f t="shared" si="110"/>
        <v>155.90375</v>
      </c>
      <c r="N81" s="814">
        <f t="shared" si="110"/>
        <v>157.55850000000001</v>
      </c>
      <c r="O81" s="814">
        <f t="shared" si="110"/>
        <v>159.23525000000001</v>
      </c>
      <c r="P81" s="814">
        <f t="shared" si="110"/>
        <v>158.35750000000002</v>
      </c>
      <c r="Q81" s="814">
        <f t="shared" si="110"/>
        <v>159.315</v>
      </c>
      <c r="R81" s="814">
        <f t="shared" si="110"/>
        <v>161.60300000000001</v>
      </c>
      <c r="S81" s="814">
        <f t="shared" si="110"/>
        <v>164.93625</v>
      </c>
      <c r="T81" s="814">
        <f t="shared" si="110"/>
        <v>171.09350000000001</v>
      </c>
      <c r="U81" s="814">
        <f t="shared" si="110"/>
        <v>178.00350000000003</v>
      </c>
      <c r="V81" s="814">
        <f t="shared" si="110"/>
        <v>183.143</v>
      </c>
      <c r="W81" s="814">
        <f t="shared" si="110"/>
        <v>186.82749999999999</v>
      </c>
      <c r="X81" s="814">
        <f t="shared" si="110"/>
        <v>187.71674999999999</v>
      </c>
      <c r="Y81" s="814">
        <f t="shared" si="110"/>
        <v>187.58949999999999</v>
      </c>
      <c r="Z81" s="814">
        <f t="shared" si="110"/>
        <v>187.21824999999995</v>
      </c>
      <c r="AA81" s="814">
        <f t="shared" si="110"/>
        <v>187.89125000000001</v>
      </c>
      <c r="AB81" s="814">
        <f t="shared" si="110"/>
        <v>189.81124999999997</v>
      </c>
      <c r="AC81" s="814">
        <f t="shared" si="110"/>
        <v>191.27249999999998</v>
      </c>
      <c r="AD81" s="814">
        <f t="shared" si="110"/>
        <v>197.10874999999999</v>
      </c>
      <c r="AE81" s="814">
        <f t="shared" si="110"/>
        <v>200.30325000000002</v>
      </c>
      <c r="AF81" s="815">
        <f t="shared" si="110"/>
        <v>202.54750000000001</v>
      </c>
      <c r="AG81" s="816">
        <f t="shared" ca="1" si="110"/>
        <v>205.15651964120218</v>
      </c>
      <c r="AH81" s="816">
        <f t="shared" ca="1" si="110"/>
        <v>205.06938705631052</v>
      </c>
      <c r="AI81" s="816">
        <f t="shared" ca="1" si="110"/>
        <v>207.53604281785215</v>
      </c>
      <c r="AJ81" s="816">
        <f t="shared" ca="1" si="110"/>
        <v>210.7517761530396</v>
      </c>
      <c r="AK81" s="816">
        <f t="shared" ca="1" si="110"/>
        <v>214.18272091790067</v>
      </c>
      <c r="AL81" s="816">
        <f t="shared" ca="1" si="110"/>
        <v>218.11498314326292</v>
      </c>
      <c r="AM81" s="816"/>
      <c r="AN81" s="813">
        <f>AN80</f>
        <v>110.89</v>
      </c>
      <c r="AO81" s="813">
        <f t="shared" ref="AO81:BC81" si="111">AVERAGE(AO80,AN80)</f>
        <v>117.83850000000001</v>
      </c>
      <c r="AP81" s="813">
        <f t="shared" si="111"/>
        <v>134.09049999999999</v>
      </c>
      <c r="AQ81" s="813">
        <f t="shared" si="111"/>
        <v>155.3655</v>
      </c>
      <c r="AR81" s="813">
        <f t="shared" si="111"/>
        <v>180.18200000000002</v>
      </c>
      <c r="AS81" s="813">
        <f t="shared" si="111"/>
        <v>172.37599999999998</v>
      </c>
      <c r="AT81" s="813">
        <f t="shared" si="111"/>
        <v>155.03449999999998</v>
      </c>
      <c r="AU81" s="813">
        <f t="shared" si="111"/>
        <v>162.92000000000002</v>
      </c>
      <c r="AV81" s="813">
        <f t="shared" si="111"/>
        <v>177.77500000000003</v>
      </c>
      <c r="AW81" s="813">
        <f t="shared" si="111"/>
        <v>187.3115</v>
      </c>
      <c r="AX81" s="965">
        <f t="shared" si="111"/>
        <v>198.24149999999997</v>
      </c>
      <c r="AY81" s="817">
        <f t="shared" ca="1" si="111"/>
        <v>209.73973483021669</v>
      </c>
      <c r="AZ81" s="817">
        <f t="shared" ca="1" si="111"/>
        <v>217.4299941111579</v>
      </c>
      <c r="BA81" s="817">
        <f t="shared" ca="1" si="111"/>
        <v>236.98208081597789</v>
      </c>
      <c r="BB81" s="817">
        <f t="shared" ca="1" si="111"/>
        <v>264.08911809783331</v>
      </c>
      <c r="BC81" s="817">
        <f t="shared" ca="1" si="111"/>
        <v>295.73796762762413</v>
      </c>
      <c r="BD81" s="684"/>
    </row>
    <row r="82" spans="1:56" s="61" customFormat="1" collapsed="1" x14ac:dyDescent="0.25">
      <c r="A82" s="266" t="s">
        <v>325</v>
      </c>
      <c r="B82" s="184"/>
      <c r="C82" s="485"/>
      <c r="D82" s="485"/>
      <c r="E82" s="485"/>
      <c r="F82" s="485"/>
      <c r="G82" s="485">
        <f t="shared" ref="G82:AL82" si="112">IF(G81&lt;0,"NMF",IF(ABS(G79/G81)&gt;1,"NMF",G79/G81))</f>
        <v>0.1230363639746043</v>
      </c>
      <c r="H82" s="485">
        <f t="shared" si="112"/>
        <v>0.13274887224184079</v>
      </c>
      <c r="I82" s="485">
        <f t="shared" si="112"/>
        <v>0.13408498065249949</v>
      </c>
      <c r="J82" s="485">
        <f t="shared" si="112"/>
        <v>0.14121117057588237</v>
      </c>
      <c r="K82" s="485">
        <f t="shared" si="112"/>
        <v>0.14896213205098613</v>
      </c>
      <c r="L82" s="485">
        <f t="shared" si="112"/>
        <v>0.1390437008864493</v>
      </c>
      <c r="M82" s="485">
        <f t="shared" si="112"/>
        <v>0.12803412361793803</v>
      </c>
      <c r="N82" s="485">
        <f t="shared" si="112"/>
        <v>0.11925094488713686</v>
      </c>
      <c r="O82" s="485">
        <f t="shared" si="112"/>
        <v>0.11606726525690735</v>
      </c>
      <c r="P82" s="485">
        <f t="shared" si="112"/>
        <v>0.11796725762909845</v>
      </c>
      <c r="Q82" s="485">
        <f t="shared" si="112"/>
        <v>0.12407494586197124</v>
      </c>
      <c r="R82" s="485">
        <f t="shared" si="112"/>
        <v>0.12528851568349592</v>
      </c>
      <c r="S82" s="485">
        <f t="shared" si="112"/>
        <v>0.12653264518867133</v>
      </c>
      <c r="T82" s="485">
        <f t="shared" si="112"/>
        <v>0.13343464246157802</v>
      </c>
      <c r="U82" s="485">
        <f t="shared" si="112"/>
        <v>0.13679551244778901</v>
      </c>
      <c r="V82" s="485">
        <f t="shared" si="112"/>
        <v>0.13221935864324633</v>
      </c>
      <c r="W82" s="485">
        <f t="shared" si="112"/>
        <v>0.12002638797821552</v>
      </c>
      <c r="X82" s="485">
        <f t="shared" si="112"/>
        <v>0.1125012552156377</v>
      </c>
      <c r="Y82" s="485">
        <f t="shared" si="112"/>
        <v>0.10237273408159869</v>
      </c>
      <c r="Z82" s="485">
        <f t="shared" si="112"/>
        <v>7.7400360274706384E-2</v>
      </c>
      <c r="AA82" s="485">
        <f t="shared" si="112"/>
        <v>7.7338247523501269E-2</v>
      </c>
      <c r="AB82" s="485">
        <f t="shared" si="112"/>
        <v>6.6837239626207995E-2</v>
      </c>
      <c r="AC82" s="485">
        <f t="shared" si="112"/>
        <v>6.4216183716948663E-2</v>
      </c>
      <c r="AD82" s="485">
        <f t="shared" si="112"/>
        <v>7.2434683899116323E-2</v>
      </c>
      <c r="AE82" s="485">
        <f t="shared" si="112"/>
        <v>5.5750168806546783E-2</v>
      </c>
      <c r="AF82" s="698">
        <f t="shared" si="112"/>
        <v>4.7355114232463642E-2</v>
      </c>
      <c r="AG82" s="149">
        <f t="shared" ca="1" si="112"/>
        <v>3.4244334896572956E-2</v>
      </c>
      <c r="AH82" s="149">
        <f t="shared" ca="1" si="112"/>
        <v>2.8933814771700293E-2</v>
      </c>
      <c r="AI82" s="149">
        <f t="shared" ca="1" si="112"/>
        <v>3.789579361436049E-2</v>
      </c>
      <c r="AJ82" s="149">
        <f t="shared" ca="1" si="112"/>
        <v>3.6359994115472562E-2</v>
      </c>
      <c r="AK82" s="149">
        <f t="shared" ca="1" si="112"/>
        <v>3.9796763356608873E-2</v>
      </c>
      <c r="AL82" s="149">
        <f t="shared" ca="1" si="112"/>
        <v>4.8272928112110786E-2</v>
      </c>
      <c r="AM82" s="149"/>
      <c r="AN82" s="484">
        <f t="shared" ref="AN82:BC82" si="113">IF(AN81&lt;0,"NMF",IF(ABS(AN79/AN81)&gt;1,"NMF",AN79/AN81))</f>
        <v>-1.073135539724048E-2</v>
      </c>
      <c r="AO82" s="484">
        <f t="shared" si="113"/>
        <v>0.10804618185058351</v>
      </c>
      <c r="AP82" s="484">
        <f t="shared" si="113"/>
        <v>0.13319362669242021</v>
      </c>
      <c r="AQ82" s="484">
        <f t="shared" si="113"/>
        <v>0.14602984575082636</v>
      </c>
      <c r="AR82" s="484">
        <f t="shared" si="113"/>
        <v>0.1318444683708698</v>
      </c>
      <c r="AS82" s="484">
        <f t="shared" si="113"/>
        <v>0.15720285886666374</v>
      </c>
      <c r="AT82" s="484">
        <f t="shared" si="113"/>
        <v>0.12119237976063374</v>
      </c>
      <c r="AU82" s="484">
        <f t="shared" si="113"/>
        <v>0.125306346673214</v>
      </c>
      <c r="AV82" s="484">
        <f t="shared" si="113"/>
        <v>0.13610412037688108</v>
      </c>
      <c r="AW82" s="484">
        <f t="shared" si="113"/>
        <v>8.0143290721605392E-2</v>
      </c>
      <c r="AX82" s="972">
        <f t="shared" si="113"/>
        <v>7.1515500034049037E-2</v>
      </c>
      <c r="AY82" s="148">
        <f t="shared" ca="1" si="113"/>
        <v>2.828953543417257E-2</v>
      </c>
      <c r="AZ82" s="148">
        <f t="shared" ca="1" si="113"/>
        <v>4.8425006607258701E-2</v>
      </c>
      <c r="BA82" s="148">
        <f t="shared" ca="1" si="113"/>
        <v>7.6694087779170514E-2</v>
      </c>
      <c r="BB82" s="148">
        <f t="shared" ca="1" si="113"/>
        <v>9.7084462397355131E-2</v>
      </c>
      <c r="BC82" s="148">
        <f t="shared" ca="1" si="113"/>
        <v>9.2171962980365368E-2</v>
      </c>
      <c r="BD82" s="312"/>
    </row>
    <row r="83" spans="1:56" hidden="1" outlineLevel="1" x14ac:dyDescent="0.25">
      <c r="A83" s="248" t="s">
        <v>326</v>
      </c>
      <c r="B83" s="249"/>
      <c r="C83" s="814">
        <f t="shared" ref="C83:AL83" si="114">INDEX(SP_GF_NI,0,COLUMN())+INDEX(SP_GF_IE,0,COLUMN())*(1-INDEX(SP_GF_Tax,0,COLUMN())/INDEX(SP_GF_EBT,0,COLUMN()))+INDEX(SP_GF_NCI,0,COLUMN())</f>
        <v>4.990948044991975</v>
      </c>
      <c r="D83" s="814">
        <f t="shared" si="114"/>
        <v>5.2873286363107006</v>
      </c>
      <c r="E83" s="814">
        <f t="shared" si="114"/>
        <v>6.1969174956114825</v>
      </c>
      <c r="F83" s="814">
        <f t="shared" si="114"/>
        <v>7.5082066672141226</v>
      </c>
      <c r="G83" s="814">
        <f t="shared" si="114"/>
        <v>4.4411735653149904</v>
      </c>
      <c r="H83" s="814">
        <f t="shared" si="114"/>
        <v>8.1583437613413832</v>
      </c>
      <c r="I83" s="814">
        <f t="shared" si="114"/>
        <v>7.3202114917723193</v>
      </c>
      <c r="J83" s="814">
        <f t="shared" si="114"/>
        <v>7.7223900722356964</v>
      </c>
      <c r="K83" s="814">
        <f t="shared" si="114"/>
        <v>4.3293127687972746</v>
      </c>
      <c r="L83" s="814">
        <f t="shared" si="114"/>
        <v>4.9089829683698305</v>
      </c>
      <c r="M83" s="814">
        <f t="shared" si="114"/>
        <v>3.929454975502622</v>
      </c>
      <c r="N83" s="814">
        <f t="shared" si="114"/>
        <v>6.4938948028860706</v>
      </c>
      <c r="O83" s="814">
        <f t="shared" si="114"/>
        <v>3.954985849841858</v>
      </c>
      <c r="P83" s="814">
        <f t="shared" si="114"/>
        <v>5.1343285230267295</v>
      </c>
      <c r="Q83" s="814">
        <f t="shared" si="114"/>
        <v>5.0329199842333354</v>
      </c>
      <c r="R83" s="814">
        <f t="shared" si="114"/>
        <v>7.2085876642594968</v>
      </c>
      <c r="S83" s="814">
        <f t="shared" si="114"/>
        <v>4.3804501480750284</v>
      </c>
      <c r="T83" s="814">
        <f t="shared" si="114"/>
        <v>6.2330758865248317</v>
      </c>
      <c r="U83" s="814">
        <f t="shared" si="114"/>
        <v>3.7082658002038769</v>
      </c>
      <c r="V83" s="814">
        <f t="shared" si="114"/>
        <v>-0.79459168704144179</v>
      </c>
      <c r="W83" s="814">
        <f t="shared" si="114"/>
        <v>3.0459275561668981</v>
      </c>
      <c r="X83" s="814">
        <f t="shared" si="114"/>
        <v>3.4657173425718399</v>
      </c>
      <c r="Y83" s="814">
        <f t="shared" si="114"/>
        <v>4.0613446847676062</v>
      </c>
      <c r="Z83" s="814">
        <f t="shared" si="114"/>
        <v>0.82567073170737881</v>
      </c>
      <c r="AA83" s="814">
        <f t="shared" si="114"/>
        <v>1.4436299376299624</v>
      </c>
      <c r="AB83" s="814">
        <f t="shared" si="114"/>
        <v>4.4149949103784243</v>
      </c>
      <c r="AC83" s="814">
        <f t="shared" si="114"/>
        <v>3.2280647969052167</v>
      </c>
      <c r="AD83" s="814">
        <f t="shared" si="114"/>
        <v>10.297619331323947</v>
      </c>
      <c r="AE83" s="814">
        <f t="shared" si="114"/>
        <v>-0.63589703588142377</v>
      </c>
      <c r="AF83" s="815">
        <f t="shared" si="114"/>
        <v>-0.4006164154103819</v>
      </c>
      <c r="AG83" s="816">
        <f t="shared" si="114"/>
        <v>1.7707999999999968</v>
      </c>
      <c r="AH83" s="816">
        <f t="shared" ca="1" si="114"/>
        <v>3.1197999999999881</v>
      </c>
      <c r="AI83" s="816">
        <f t="shared" ca="1" si="114"/>
        <v>1.8114915095999928</v>
      </c>
      <c r="AJ83" s="816">
        <f t="shared" ca="1" si="114"/>
        <v>2.2724451059999979</v>
      </c>
      <c r="AK83" s="816">
        <f t="shared" ca="1" si="114"/>
        <v>2.6234440000000077</v>
      </c>
      <c r="AL83" s="816">
        <f t="shared" ca="1" si="114"/>
        <v>5.1178779999999993</v>
      </c>
      <c r="AM83" s="816"/>
      <c r="AN83" s="813">
        <f t="shared" ref="AN83:BC83" si="115">INDEX(SP_GF_NI,0,COLUMN())+INDEX(SP_GF_IE,0,COLUMN())*(1-INDEX(SP_GF_Tax,0,COLUMN())/INDEX(SP_GF_EBT,0,COLUMN()))+INDEX(SP_GF_NCI,0,COLUMN())</f>
        <v>-1.2660618556700958</v>
      </c>
      <c r="AO83" s="813">
        <f t="shared" si="115"/>
        <v>12.876098983310941</v>
      </c>
      <c r="AP83" s="813">
        <f t="shared" si="115"/>
        <v>17.99147617202631</v>
      </c>
      <c r="AQ83" s="813">
        <f t="shared" si="115"/>
        <v>22.858467348192843</v>
      </c>
      <c r="AR83" s="813">
        <f t="shared" si="115"/>
        <v>23.981906672209576</v>
      </c>
      <c r="AS83" s="813">
        <f t="shared" si="115"/>
        <v>27.62511472806672</v>
      </c>
      <c r="AT83" s="813">
        <f t="shared" si="115"/>
        <v>19.664927792593563</v>
      </c>
      <c r="AU83" s="813">
        <f t="shared" si="115"/>
        <v>21.304045215422551</v>
      </c>
      <c r="AV83" s="813">
        <f t="shared" si="115"/>
        <v>14.941617705317729</v>
      </c>
      <c r="AW83" s="813">
        <f t="shared" si="115"/>
        <v>11.798136422136411</v>
      </c>
      <c r="AX83" s="965">
        <f t="shared" si="115"/>
        <v>19.302503598730311</v>
      </c>
      <c r="AY83" s="817">
        <f t="shared" ca="1" si="115"/>
        <v>6.2864403807164226</v>
      </c>
      <c r="AZ83" s="817">
        <f t="shared" ca="1" si="115"/>
        <v>11.825258615600056</v>
      </c>
      <c r="BA83" s="817">
        <f t="shared" ca="1" si="115"/>
        <v>19.458321131200037</v>
      </c>
      <c r="BB83" s="817">
        <f t="shared" ca="1" si="115"/>
        <v>26.886888052800124</v>
      </c>
      <c r="BC83" s="817">
        <f t="shared" ca="1" si="115"/>
        <v>28.459232455440009</v>
      </c>
      <c r="BD83" s="684"/>
    </row>
    <row r="84" spans="1:56" hidden="1" outlineLevel="1" x14ac:dyDescent="0.25">
      <c r="A84" s="248" t="s">
        <v>327</v>
      </c>
      <c r="B84" s="249"/>
      <c r="C84" s="814"/>
      <c r="D84" s="814"/>
      <c r="E84" s="814"/>
      <c r="F84" s="814">
        <f t="shared" ref="F84:AL84" si="116">SUM(F83,E83,D83,C83)</f>
        <v>23.98340084412828</v>
      </c>
      <c r="G84" s="814">
        <f t="shared" si="116"/>
        <v>23.433626364451296</v>
      </c>
      <c r="H84" s="814">
        <f t="shared" si="116"/>
        <v>26.30464148948198</v>
      </c>
      <c r="I84" s="814">
        <f t="shared" si="116"/>
        <v>27.427935485642816</v>
      </c>
      <c r="J84" s="814">
        <f t="shared" si="116"/>
        <v>27.642118890664392</v>
      </c>
      <c r="K84" s="814">
        <f t="shared" si="116"/>
        <v>27.530258094146674</v>
      </c>
      <c r="L84" s="814">
        <f t="shared" si="116"/>
        <v>24.28089730117512</v>
      </c>
      <c r="M84" s="814">
        <f t="shared" si="116"/>
        <v>20.890140784905423</v>
      </c>
      <c r="N84" s="814">
        <f t="shared" si="116"/>
        <v>19.661645515555797</v>
      </c>
      <c r="O84" s="814">
        <f t="shared" si="116"/>
        <v>19.287318596600382</v>
      </c>
      <c r="P84" s="814">
        <f t="shared" si="116"/>
        <v>19.51266415125728</v>
      </c>
      <c r="Q84" s="814">
        <f t="shared" si="116"/>
        <v>20.616129159987995</v>
      </c>
      <c r="R84" s="814">
        <f t="shared" si="116"/>
        <v>21.330822021361417</v>
      </c>
      <c r="S84" s="814">
        <f t="shared" si="116"/>
        <v>21.756286319594587</v>
      </c>
      <c r="T84" s="814">
        <f t="shared" si="116"/>
        <v>22.855033683092692</v>
      </c>
      <c r="U84" s="814">
        <f t="shared" si="116"/>
        <v>21.530379499063233</v>
      </c>
      <c r="V84" s="814">
        <f t="shared" si="116"/>
        <v>13.527200147762294</v>
      </c>
      <c r="W84" s="814">
        <f t="shared" si="116"/>
        <v>12.192677555854164</v>
      </c>
      <c r="X84" s="814">
        <f t="shared" si="116"/>
        <v>9.4253190119011734</v>
      </c>
      <c r="Y84" s="814">
        <f t="shared" si="116"/>
        <v>9.7783978964649041</v>
      </c>
      <c r="Z84" s="814">
        <f t="shared" si="116"/>
        <v>11.398660315213723</v>
      </c>
      <c r="AA84" s="814">
        <f t="shared" si="116"/>
        <v>9.7963626966767876</v>
      </c>
      <c r="AB84" s="814">
        <f t="shared" si="116"/>
        <v>10.745640264483372</v>
      </c>
      <c r="AC84" s="814">
        <f t="shared" si="116"/>
        <v>9.9123603766209811</v>
      </c>
      <c r="AD84" s="814">
        <f t="shared" si="116"/>
        <v>19.384308976237548</v>
      </c>
      <c r="AE84" s="814">
        <f t="shared" si="116"/>
        <v>17.304782002726164</v>
      </c>
      <c r="AF84" s="815">
        <f t="shared" si="116"/>
        <v>12.489170676937359</v>
      </c>
      <c r="AG84" s="816">
        <f t="shared" si="116"/>
        <v>11.031905880032138</v>
      </c>
      <c r="AH84" s="816">
        <f t="shared" ca="1" si="116"/>
        <v>3.854086548708179</v>
      </c>
      <c r="AI84" s="816">
        <f t="shared" ca="1" si="116"/>
        <v>6.3014750941895956</v>
      </c>
      <c r="AJ84" s="816">
        <f t="shared" ca="1" si="116"/>
        <v>8.9745366155999768</v>
      </c>
      <c r="AK84" s="816">
        <f t="shared" ca="1" si="116"/>
        <v>9.8271806155999855</v>
      </c>
      <c r="AL84" s="816">
        <f t="shared" ca="1" si="116"/>
        <v>11.825258615599997</v>
      </c>
      <c r="AM84" s="816"/>
      <c r="AN84" s="813">
        <f t="shared" ref="AN84:BC84" si="117">AN83</f>
        <v>-1.2660618556700958</v>
      </c>
      <c r="AO84" s="813">
        <f t="shared" si="117"/>
        <v>12.876098983310941</v>
      </c>
      <c r="AP84" s="813">
        <f t="shared" si="117"/>
        <v>17.99147617202631</v>
      </c>
      <c r="AQ84" s="813">
        <f t="shared" si="117"/>
        <v>22.858467348192843</v>
      </c>
      <c r="AR84" s="813">
        <f t="shared" si="117"/>
        <v>23.981906672209576</v>
      </c>
      <c r="AS84" s="813">
        <f t="shared" si="117"/>
        <v>27.62511472806672</v>
      </c>
      <c r="AT84" s="813">
        <f t="shared" si="117"/>
        <v>19.664927792593563</v>
      </c>
      <c r="AU84" s="813">
        <f t="shared" si="117"/>
        <v>21.304045215422551</v>
      </c>
      <c r="AV84" s="813">
        <f t="shared" si="117"/>
        <v>14.941617705317729</v>
      </c>
      <c r="AW84" s="813">
        <f t="shared" si="117"/>
        <v>11.798136422136411</v>
      </c>
      <c r="AX84" s="965">
        <f t="shared" si="117"/>
        <v>19.302503598730311</v>
      </c>
      <c r="AY84" s="817">
        <f t="shared" ca="1" si="117"/>
        <v>6.2864403807164226</v>
      </c>
      <c r="AZ84" s="817">
        <f t="shared" ca="1" si="117"/>
        <v>11.825258615600056</v>
      </c>
      <c r="BA84" s="817">
        <f t="shared" ca="1" si="117"/>
        <v>19.458321131200037</v>
      </c>
      <c r="BB84" s="817">
        <f t="shared" ca="1" si="117"/>
        <v>26.886888052800124</v>
      </c>
      <c r="BC84" s="817">
        <f t="shared" ca="1" si="117"/>
        <v>28.459232455440009</v>
      </c>
      <c r="BD84" s="684"/>
    </row>
    <row r="85" spans="1:56" hidden="1" outlineLevel="1" x14ac:dyDescent="0.25">
      <c r="A85" s="248" t="s">
        <v>223</v>
      </c>
      <c r="B85" s="249"/>
      <c r="C85" s="814">
        <f t="shared" ref="C85:AL85" si="118">INDEX(MO_BS_TA,0,COLUMN())</f>
        <v>236.47199999999998</v>
      </c>
      <c r="D85" s="814">
        <f t="shared" si="118"/>
        <v>259.54899999999998</v>
      </c>
      <c r="E85" s="814">
        <f t="shared" si="118"/>
        <v>271.73599999999999</v>
      </c>
      <c r="F85" s="814">
        <f t="shared" si="118"/>
        <v>280.15599999999995</v>
      </c>
      <c r="G85" s="814">
        <f t="shared" si="118"/>
        <v>290.52800000000002</v>
      </c>
      <c r="H85" s="814">
        <f t="shared" si="118"/>
        <v>321.82900000000006</v>
      </c>
      <c r="I85" s="814">
        <f t="shared" si="118"/>
        <v>302.68399999999997</v>
      </c>
      <c r="J85" s="814">
        <f t="shared" si="118"/>
        <v>305.452</v>
      </c>
      <c r="K85" s="814">
        <f t="shared" si="118"/>
        <v>294.65499999999997</v>
      </c>
      <c r="L85" s="814">
        <f t="shared" si="118"/>
        <v>309.125</v>
      </c>
      <c r="M85" s="814">
        <f t="shared" si="118"/>
        <v>306.92099999999999</v>
      </c>
      <c r="N85" s="814">
        <f t="shared" si="118"/>
        <v>302.35000000000002</v>
      </c>
      <c r="O85" s="814">
        <f t="shared" si="118"/>
        <v>294.517</v>
      </c>
      <c r="P85" s="814">
        <f t="shared" si="118"/>
        <v>295.87</v>
      </c>
      <c r="Q85" s="814">
        <f t="shared" si="118"/>
        <v>307.30099999999993</v>
      </c>
      <c r="R85" s="814">
        <f t="shared" si="118"/>
        <v>315.601</v>
      </c>
      <c r="S85" s="814">
        <f t="shared" si="118"/>
        <v>324.54199999999997</v>
      </c>
      <c r="T85" s="814">
        <f t="shared" si="118"/>
        <v>341.48900000000003</v>
      </c>
      <c r="U85" s="814">
        <f t="shared" si="118"/>
        <v>351.07399999999996</v>
      </c>
      <c r="V85" s="814">
        <f t="shared" si="118"/>
        <v>365.00699999999995</v>
      </c>
      <c r="W85" s="814">
        <f t="shared" si="118"/>
        <v>363.07499999999999</v>
      </c>
      <c r="X85" s="814">
        <f t="shared" si="118"/>
        <v>389.09500000000003</v>
      </c>
      <c r="Y85" s="814">
        <f t="shared" si="118"/>
        <v>401.49699999999996</v>
      </c>
      <c r="Z85" s="814">
        <f t="shared" si="118"/>
        <v>434.73799999999994</v>
      </c>
      <c r="AA85" s="814">
        <f t="shared" si="118"/>
        <v>461.46500000000003</v>
      </c>
      <c r="AB85" s="814">
        <f t="shared" si="118"/>
        <v>461.255</v>
      </c>
      <c r="AC85" s="814">
        <f t="shared" si="118"/>
        <v>449.57299999999998</v>
      </c>
      <c r="AD85" s="814">
        <f t="shared" si="118"/>
        <v>448.90200000000004</v>
      </c>
      <c r="AE85" s="814">
        <f t="shared" si="118"/>
        <v>416.59400000000005</v>
      </c>
      <c r="AF85" s="815">
        <f t="shared" si="118"/>
        <v>393.71000000000004</v>
      </c>
      <c r="AG85" s="816">
        <f t="shared" ca="1" si="118"/>
        <v>395.99148004266999</v>
      </c>
      <c r="AH85" s="816">
        <f t="shared" ca="1" si="118"/>
        <v>409.02190796972059</v>
      </c>
      <c r="AI85" s="816">
        <f t="shared" ca="1" si="118"/>
        <v>399.39751241116539</v>
      </c>
      <c r="AJ85" s="816">
        <f t="shared" ca="1" si="118"/>
        <v>408.41616784801369</v>
      </c>
      <c r="AK85" s="816">
        <f t="shared" ca="1" si="118"/>
        <v>413.15539864594109</v>
      </c>
      <c r="AL85" s="816">
        <f t="shared" ca="1" si="118"/>
        <v>430.45046739653537</v>
      </c>
      <c r="AM85" s="816"/>
      <c r="AN85" s="813">
        <f t="shared" ref="AN85:BC85" si="119">INDEX(MO_BS_TA,0,COLUMN())</f>
        <v>156.70100000000002</v>
      </c>
      <c r="AO85" s="813">
        <f t="shared" si="119"/>
        <v>183.19600000000003</v>
      </c>
      <c r="AP85" s="813">
        <f t="shared" si="119"/>
        <v>211.57599999999996</v>
      </c>
      <c r="AQ85" s="813">
        <f t="shared" si="119"/>
        <v>244.43399999999997</v>
      </c>
      <c r="AR85" s="813">
        <f t="shared" si="119"/>
        <v>280.15599999999995</v>
      </c>
      <c r="AS85" s="813">
        <f t="shared" si="119"/>
        <v>305.452</v>
      </c>
      <c r="AT85" s="813">
        <f t="shared" si="119"/>
        <v>302.35000000000002</v>
      </c>
      <c r="AU85" s="813">
        <f t="shared" si="119"/>
        <v>315.601</v>
      </c>
      <c r="AV85" s="813">
        <f t="shared" si="119"/>
        <v>365.00699999999995</v>
      </c>
      <c r="AW85" s="813">
        <f t="shared" si="119"/>
        <v>434.73799999999994</v>
      </c>
      <c r="AX85" s="965">
        <f t="shared" si="119"/>
        <v>448.90200000000004</v>
      </c>
      <c r="AY85" s="817">
        <f t="shared" ca="1" si="119"/>
        <v>409.02190796972059</v>
      </c>
      <c r="AZ85" s="817">
        <f t="shared" ca="1" si="119"/>
        <v>430.45046739653537</v>
      </c>
      <c r="BA85" s="817">
        <f t="shared" ca="1" si="119"/>
        <v>462.70697327045491</v>
      </c>
      <c r="BB85" s="817">
        <f t="shared" ca="1" si="119"/>
        <v>503.39078905323015</v>
      </c>
      <c r="BC85" s="817">
        <f t="shared" ca="1" si="119"/>
        <v>541.4326000819342</v>
      </c>
      <c r="BD85" s="684"/>
    </row>
    <row r="86" spans="1:56" hidden="1" outlineLevel="1" x14ac:dyDescent="0.25">
      <c r="A86" s="248" t="s">
        <v>328</v>
      </c>
      <c r="B86" s="249"/>
      <c r="C86" s="814"/>
      <c r="D86" s="814"/>
      <c r="E86" s="814"/>
      <c r="F86" s="814">
        <f t="shared" ref="F86:AL86" si="120">AVERAGE(F85,E85,D85,C85)</f>
        <v>261.97825</v>
      </c>
      <c r="G86" s="814">
        <f t="shared" si="120"/>
        <v>275.49225000000001</v>
      </c>
      <c r="H86" s="814">
        <f t="shared" si="120"/>
        <v>291.06225000000001</v>
      </c>
      <c r="I86" s="814">
        <f t="shared" si="120"/>
        <v>298.79925000000003</v>
      </c>
      <c r="J86" s="814">
        <f t="shared" si="120"/>
        <v>305.12324999999998</v>
      </c>
      <c r="K86" s="814">
        <f t="shared" si="120"/>
        <v>306.15499999999997</v>
      </c>
      <c r="L86" s="814">
        <f t="shared" si="120"/>
        <v>302.97899999999998</v>
      </c>
      <c r="M86" s="814">
        <f t="shared" si="120"/>
        <v>304.03825000000001</v>
      </c>
      <c r="N86" s="814">
        <f t="shared" si="120"/>
        <v>303.26274999999998</v>
      </c>
      <c r="O86" s="814">
        <f t="shared" si="120"/>
        <v>303.22825</v>
      </c>
      <c r="P86" s="814">
        <f t="shared" si="120"/>
        <v>299.91449999999998</v>
      </c>
      <c r="Q86" s="814">
        <f t="shared" si="120"/>
        <v>300.0095</v>
      </c>
      <c r="R86" s="814">
        <f t="shared" si="120"/>
        <v>303.32225</v>
      </c>
      <c r="S86" s="814">
        <f t="shared" si="120"/>
        <v>310.82849999999996</v>
      </c>
      <c r="T86" s="814">
        <f t="shared" si="120"/>
        <v>322.23325</v>
      </c>
      <c r="U86" s="814">
        <f t="shared" si="120"/>
        <v>333.17650000000003</v>
      </c>
      <c r="V86" s="814">
        <f t="shared" si="120"/>
        <v>345.52799999999996</v>
      </c>
      <c r="W86" s="814">
        <f t="shared" si="120"/>
        <v>355.16125</v>
      </c>
      <c r="X86" s="814">
        <f t="shared" si="120"/>
        <v>367.06275000000005</v>
      </c>
      <c r="Y86" s="814">
        <f t="shared" si="120"/>
        <v>379.66849999999999</v>
      </c>
      <c r="Z86" s="814">
        <f t="shared" si="120"/>
        <v>397.10124999999999</v>
      </c>
      <c r="AA86" s="814">
        <f t="shared" si="120"/>
        <v>421.69874999999996</v>
      </c>
      <c r="AB86" s="814">
        <f t="shared" si="120"/>
        <v>439.73874999999998</v>
      </c>
      <c r="AC86" s="814">
        <f t="shared" si="120"/>
        <v>451.75774999999999</v>
      </c>
      <c r="AD86" s="814">
        <f t="shared" si="120"/>
        <v>455.29875000000004</v>
      </c>
      <c r="AE86" s="814">
        <f t="shared" si="120"/>
        <v>444.08100000000002</v>
      </c>
      <c r="AF86" s="815">
        <f t="shared" si="120"/>
        <v>427.19475</v>
      </c>
      <c r="AG86" s="816">
        <f t="shared" ca="1" si="120"/>
        <v>413.79937001066753</v>
      </c>
      <c r="AH86" s="816">
        <f t="shared" ca="1" si="120"/>
        <v>403.82934700309767</v>
      </c>
      <c r="AI86" s="816">
        <f t="shared" ca="1" si="120"/>
        <v>399.53022510588903</v>
      </c>
      <c r="AJ86" s="816">
        <f t="shared" ca="1" si="120"/>
        <v>403.20676706789243</v>
      </c>
      <c r="AK86" s="816">
        <f t="shared" ca="1" si="120"/>
        <v>407.49774671871018</v>
      </c>
      <c r="AL86" s="816">
        <f t="shared" ca="1" si="120"/>
        <v>412.85488657541384</v>
      </c>
      <c r="AM86" s="816"/>
      <c r="AN86" s="813">
        <f>AN85</f>
        <v>156.70100000000002</v>
      </c>
      <c r="AO86" s="813">
        <f t="shared" ref="AO86:BC86" si="121">AVERAGE(AO85,AN85)</f>
        <v>169.94850000000002</v>
      </c>
      <c r="AP86" s="813">
        <f t="shared" si="121"/>
        <v>197.386</v>
      </c>
      <c r="AQ86" s="813">
        <f t="shared" si="121"/>
        <v>228.00499999999997</v>
      </c>
      <c r="AR86" s="813">
        <f t="shared" si="121"/>
        <v>262.29499999999996</v>
      </c>
      <c r="AS86" s="813">
        <f t="shared" si="121"/>
        <v>292.80399999999997</v>
      </c>
      <c r="AT86" s="813">
        <f t="shared" si="121"/>
        <v>303.90100000000001</v>
      </c>
      <c r="AU86" s="813">
        <f t="shared" si="121"/>
        <v>308.97550000000001</v>
      </c>
      <c r="AV86" s="813">
        <f t="shared" si="121"/>
        <v>340.30399999999997</v>
      </c>
      <c r="AW86" s="813">
        <f t="shared" si="121"/>
        <v>399.87249999999995</v>
      </c>
      <c r="AX86" s="965">
        <f t="shared" si="121"/>
        <v>441.82</v>
      </c>
      <c r="AY86" s="817">
        <f t="shared" ca="1" si="121"/>
        <v>428.96195398486032</v>
      </c>
      <c r="AZ86" s="817">
        <f t="shared" ca="1" si="121"/>
        <v>419.73618768312798</v>
      </c>
      <c r="BA86" s="817">
        <f t="shared" ca="1" si="121"/>
        <v>446.57872033349514</v>
      </c>
      <c r="BB86" s="817">
        <f t="shared" ca="1" si="121"/>
        <v>483.04888116184253</v>
      </c>
      <c r="BC86" s="817">
        <f t="shared" ca="1" si="121"/>
        <v>522.41169456758212</v>
      </c>
      <c r="BD86" s="684"/>
    </row>
    <row r="87" spans="1:56" s="61" customFormat="1" collapsed="1" x14ac:dyDescent="0.25">
      <c r="A87" s="266" t="s">
        <v>329</v>
      </c>
      <c r="B87" s="184"/>
      <c r="C87" s="485"/>
      <c r="D87" s="485"/>
      <c r="E87" s="485"/>
      <c r="F87" s="485"/>
      <c r="G87" s="485">
        <f t="shared" ref="G87:AL87" si="122">IF(G86&lt;0,"NMF",IF(ABS(G84/G86)&gt;1,"NMF",G84/G86))</f>
        <v>8.5060927719205509E-2</v>
      </c>
      <c r="H87" s="485">
        <f t="shared" si="122"/>
        <v>9.037462429250781E-2</v>
      </c>
      <c r="I87" s="485">
        <f t="shared" si="122"/>
        <v>9.1793856529568979E-2</v>
      </c>
      <c r="J87" s="485">
        <f t="shared" si="122"/>
        <v>9.0593289402444405E-2</v>
      </c>
      <c r="K87" s="485">
        <f t="shared" si="122"/>
        <v>8.9922614669519285E-2</v>
      </c>
      <c r="L87" s="485">
        <f t="shared" si="122"/>
        <v>8.01405288854182E-2</v>
      </c>
      <c r="M87" s="485">
        <f t="shared" si="122"/>
        <v>6.8708923251944193E-2</v>
      </c>
      <c r="N87" s="485">
        <f t="shared" si="122"/>
        <v>6.4833697892523232E-2</v>
      </c>
      <c r="O87" s="485">
        <f t="shared" si="122"/>
        <v>6.3606601946224944E-2</v>
      </c>
      <c r="P87" s="485">
        <f t="shared" si="122"/>
        <v>6.5060756153027879E-2</v>
      </c>
      <c r="Q87" s="485">
        <f t="shared" si="122"/>
        <v>6.8718254455235564E-2</v>
      </c>
      <c r="R87" s="485">
        <f t="shared" si="122"/>
        <v>7.0323960808550703E-2</v>
      </c>
      <c r="S87" s="485">
        <f t="shared" si="122"/>
        <v>6.9994502819383006E-2</v>
      </c>
      <c r="T87" s="485">
        <f t="shared" si="122"/>
        <v>7.0926987463561547E-2</v>
      </c>
      <c r="U87" s="485">
        <f t="shared" si="122"/>
        <v>6.4621542933139736E-2</v>
      </c>
      <c r="V87" s="485">
        <f t="shared" si="122"/>
        <v>3.9149360247974968E-2</v>
      </c>
      <c r="W87" s="485">
        <f t="shared" si="122"/>
        <v>3.4329977033964613E-2</v>
      </c>
      <c r="X87" s="485">
        <f t="shared" si="122"/>
        <v>2.5677677759187421E-2</v>
      </c>
      <c r="Y87" s="485">
        <f t="shared" si="122"/>
        <v>2.5755093973992848E-2</v>
      </c>
      <c r="Z87" s="485">
        <f t="shared" si="122"/>
        <v>2.8704669943027686E-2</v>
      </c>
      <c r="AA87" s="485">
        <f t="shared" si="122"/>
        <v>2.3230713149319956E-2</v>
      </c>
      <c r="AB87" s="485">
        <f t="shared" si="122"/>
        <v>2.4436418815679473E-2</v>
      </c>
      <c r="AC87" s="485">
        <f t="shared" si="122"/>
        <v>2.1941760548924688E-2</v>
      </c>
      <c r="AD87" s="485">
        <f t="shared" si="122"/>
        <v>4.2574922457479944E-2</v>
      </c>
      <c r="AE87" s="485">
        <f t="shared" si="122"/>
        <v>3.8967625281707982E-2</v>
      </c>
      <c r="AF87" s="698">
        <f t="shared" si="122"/>
        <v>2.9235309368706799E-2</v>
      </c>
      <c r="AG87" s="149">
        <f t="shared" ca="1" si="122"/>
        <v>2.6660035465369946E-2</v>
      </c>
      <c r="AH87" s="149">
        <f t="shared" ca="1" si="122"/>
        <v>9.5438495921858178E-3</v>
      </c>
      <c r="AI87" s="149">
        <f t="shared" ca="1" si="122"/>
        <v>1.5772211207598853E-2</v>
      </c>
      <c r="AJ87" s="149">
        <f t="shared" ca="1" si="122"/>
        <v>2.2257901772984961E-2</v>
      </c>
      <c r="AK87" s="149">
        <f t="shared" ca="1" si="122"/>
        <v>2.4115914001319735E-2</v>
      </c>
      <c r="AL87" s="149">
        <f t="shared" ca="1" si="122"/>
        <v>2.8642651449978528E-2</v>
      </c>
      <c r="AM87" s="149"/>
      <c r="AN87" s="484">
        <f t="shared" ref="AN87:BC87" si="123">IF(AN86&lt;0,"NMF",IF(ABS(AN84/AN86)&gt;1,"NMF",AN84/AN86))</f>
        <v>-8.079475278843758E-3</v>
      </c>
      <c r="AO87" s="484">
        <f t="shared" si="123"/>
        <v>7.5764710976036501E-2</v>
      </c>
      <c r="AP87" s="484">
        <f t="shared" si="123"/>
        <v>9.1148694294561475E-2</v>
      </c>
      <c r="AQ87" s="484">
        <f t="shared" si="123"/>
        <v>0.10025423717985503</v>
      </c>
      <c r="AR87" s="484">
        <f t="shared" si="123"/>
        <v>9.1431047760001452E-2</v>
      </c>
      <c r="AS87" s="484">
        <f t="shared" si="123"/>
        <v>9.4346780536012906E-2</v>
      </c>
      <c r="AT87" s="484">
        <f t="shared" si="123"/>
        <v>6.4708335255868069E-2</v>
      </c>
      <c r="AU87" s="484">
        <f t="shared" si="123"/>
        <v>6.8950597103726835E-2</v>
      </c>
      <c r="AV87" s="484">
        <f t="shared" si="123"/>
        <v>4.3906676692950217E-2</v>
      </c>
      <c r="AW87" s="484">
        <f t="shared" si="123"/>
        <v>2.9504745693030684E-2</v>
      </c>
      <c r="AX87" s="972">
        <f t="shared" si="123"/>
        <v>4.3688614364968341E-2</v>
      </c>
      <c r="AY87" s="148">
        <f t="shared" ca="1" si="123"/>
        <v>1.4655006865569935E-2</v>
      </c>
      <c r="AZ87" s="148">
        <f t="shared" ca="1" si="123"/>
        <v>2.8173073855922364E-2</v>
      </c>
      <c r="BA87" s="148">
        <f t="shared" ca="1" si="123"/>
        <v>4.3571984613751842E-2</v>
      </c>
      <c r="BB87" s="148">
        <f t="shared" ca="1" si="123"/>
        <v>5.5660801838793288E-2</v>
      </c>
      <c r="BC87" s="148">
        <f t="shared" ca="1" si="123"/>
        <v>5.4476637394185214E-2</v>
      </c>
      <c r="BD87" s="312"/>
    </row>
    <row r="88" spans="1:56" hidden="1" outlineLevel="1" x14ac:dyDescent="0.25">
      <c r="A88" s="248" t="s">
        <v>330</v>
      </c>
      <c r="B88" s="249"/>
      <c r="C88" s="814">
        <f t="shared" ref="C88:AL88" si="124">INDEX(MO_BSS_Debt,0,COLUMN())</f>
        <v>0</v>
      </c>
      <c r="D88" s="814">
        <f t="shared" si="124"/>
        <v>6.77</v>
      </c>
      <c r="E88" s="814">
        <f t="shared" si="124"/>
        <v>4.82</v>
      </c>
      <c r="F88" s="814">
        <f t="shared" si="124"/>
        <v>0.40699999999999997</v>
      </c>
      <c r="G88" s="814">
        <f t="shared" si="124"/>
        <v>2.7770000000000001</v>
      </c>
      <c r="H88" s="814">
        <f t="shared" si="124"/>
        <v>17.771000000000001</v>
      </c>
      <c r="I88" s="814">
        <f t="shared" si="124"/>
        <v>4.88</v>
      </c>
      <c r="J88" s="814">
        <f t="shared" si="124"/>
        <v>58.575999999999993</v>
      </c>
      <c r="K88" s="814">
        <f t="shared" si="124"/>
        <v>55.977999999999994</v>
      </c>
      <c r="L88" s="814">
        <f t="shared" si="124"/>
        <v>59.908999999999999</v>
      </c>
      <c r="M88" s="814">
        <f t="shared" si="124"/>
        <v>60.683999999999997</v>
      </c>
      <c r="N88" s="814">
        <f t="shared" si="124"/>
        <v>58.528000000000006</v>
      </c>
      <c r="O88" s="814">
        <f t="shared" si="124"/>
        <v>54.202999999999996</v>
      </c>
      <c r="P88" s="814">
        <f t="shared" si="124"/>
        <v>60.259</v>
      </c>
      <c r="Q88" s="814">
        <f t="shared" si="124"/>
        <v>59.292999999999992</v>
      </c>
      <c r="R88" s="814">
        <f t="shared" si="124"/>
        <v>57.694000000000003</v>
      </c>
      <c r="S88" s="814">
        <f t="shared" si="124"/>
        <v>60.528999999999996</v>
      </c>
      <c r="T88" s="814">
        <f t="shared" si="124"/>
        <v>58.483000000000004</v>
      </c>
      <c r="U88" s="814">
        <f t="shared" si="124"/>
        <v>58.506</v>
      </c>
      <c r="V88" s="814">
        <f t="shared" si="124"/>
        <v>65.695999999999998</v>
      </c>
      <c r="W88" s="814">
        <f t="shared" si="124"/>
        <v>68.706000000000003</v>
      </c>
      <c r="X88" s="814">
        <f t="shared" si="124"/>
        <v>101.82300000000001</v>
      </c>
      <c r="Y88" s="814">
        <f t="shared" si="124"/>
        <v>106.044</v>
      </c>
      <c r="Z88" s="814">
        <f t="shared" si="124"/>
        <v>116.5</v>
      </c>
      <c r="AA88" s="814">
        <f t="shared" si="124"/>
        <v>116.607</v>
      </c>
      <c r="AB88" s="814">
        <f t="shared" si="124"/>
        <v>119.65</v>
      </c>
      <c r="AC88" s="814">
        <f t="shared" si="124"/>
        <v>113.15</v>
      </c>
      <c r="AD88" s="814">
        <f t="shared" si="124"/>
        <v>82.87</v>
      </c>
      <c r="AE88" s="814">
        <f t="shared" si="124"/>
        <v>74.837000000000003</v>
      </c>
      <c r="AF88" s="815">
        <f t="shared" si="124"/>
        <v>57.65</v>
      </c>
      <c r="AG88" s="816">
        <f t="shared" si="124"/>
        <v>57.65</v>
      </c>
      <c r="AH88" s="816">
        <f t="shared" si="124"/>
        <v>57.65</v>
      </c>
      <c r="AI88" s="816">
        <f t="shared" si="124"/>
        <v>57.65</v>
      </c>
      <c r="AJ88" s="816">
        <f t="shared" si="124"/>
        <v>57.65</v>
      </c>
      <c r="AK88" s="816">
        <f t="shared" si="124"/>
        <v>57.65</v>
      </c>
      <c r="AL88" s="816">
        <f t="shared" si="124"/>
        <v>57.65</v>
      </c>
      <c r="AM88" s="816"/>
      <c r="AN88" s="813">
        <f t="shared" ref="AN88:BC88" si="125">INDEX(MO_BSS_Debt,0,COLUMN())</f>
        <v>0</v>
      </c>
      <c r="AO88" s="813">
        <f t="shared" si="125"/>
        <v>0</v>
      </c>
      <c r="AP88" s="813">
        <f t="shared" si="125"/>
        <v>0</v>
      </c>
      <c r="AQ88" s="813">
        <f t="shared" si="125"/>
        <v>0</v>
      </c>
      <c r="AR88" s="813">
        <f t="shared" si="125"/>
        <v>0.40699999999999997</v>
      </c>
      <c r="AS88" s="813">
        <f t="shared" si="125"/>
        <v>58.575999999999993</v>
      </c>
      <c r="AT88" s="813">
        <f t="shared" si="125"/>
        <v>58.528000000000006</v>
      </c>
      <c r="AU88" s="813">
        <f t="shared" si="125"/>
        <v>57.694000000000003</v>
      </c>
      <c r="AV88" s="813">
        <f t="shared" si="125"/>
        <v>65.695999999999998</v>
      </c>
      <c r="AW88" s="813">
        <f t="shared" si="125"/>
        <v>116.5</v>
      </c>
      <c r="AX88" s="965">
        <f t="shared" si="125"/>
        <v>82.87</v>
      </c>
      <c r="AY88" s="817">
        <f t="shared" si="125"/>
        <v>57.65</v>
      </c>
      <c r="AZ88" s="817">
        <f t="shared" si="125"/>
        <v>57.65</v>
      </c>
      <c r="BA88" s="817">
        <f t="shared" si="125"/>
        <v>57.65</v>
      </c>
      <c r="BB88" s="817">
        <f t="shared" si="125"/>
        <v>57.65</v>
      </c>
      <c r="BC88" s="817">
        <f t="shared" si="125"/>
        <v>57.65</v>
      </c>
      <c r="BD88" s="684"/>
    </row>
    <row r="89" spans="1:56" hidden="1" outlineLevel="1" x14ac:dyDescent="0.25">
      <c r="A89" s="248" t="s">
        <v>331</v>
      </c>
      <c r="B89" s="249"/>
      <c r="C89" s="814"/>
      <c r="D89" s="814"/>
      <c r="E89" s="814"/>
      <c r="F89" s="814">
        <f t="shared" ref="F89:AL89" si="126">AVERAGE(F88,E88,D88,C88)</f>
        <v>2.99925</v>
      </c>
      <c r="G89" s="814">
        <f t="shared" si="126"/>
        <v>3.6935000000000002</v>
      </c>
      <c r="H89" s="814">
        <f t="shared" si="126"/>
        <v>6.4437500000000005</v>
      </c>
      <c r="I89" s="814">
        <f t="shared" si="126"/>
        <v>6.4587500000000002</v>
      </c>
      <c r="J89" s="814">
        <f t="shared" si="126"/>
        <v>21.001000000000001</v>
      </c>
      <c r="K89" s="814">
        <f t="shared" si="126"/>
        <v>34.301249999999996</v>
      </c>
      <c r="L89" s="814">
        <f t="shared" si="126"/>
        <v>44.835749999999997</v>
      </c>
      <c r="M89" s="814">
        <f t="shared" si="126"/>
        <v>58.786749999999991</v>
      </c>
      <c r="N89" s="814">
        <f t="shared" si="126"/>
        <v>58.774749999999997</v>
      </c>
      <c r="O89" s="814">
        <f t="shared" si="126"/>
        <v>58.330999999999996</v>
      </c>
      <c r="P89" s="814">
        <f t="shared" si="126"/>
        <v>58.418500000000002</v>
      </c>
      <c r="Q89" s="814">
        <f t="shared" si="126"/>
        <v>58.070750000000004</v>
      </c>
      <c r="R89" s="814">
        <f t="shared" si="126"/>
        <v>57.862249999999996</v>
      </c>
      <c r="S89" s="814">
        <f t="shared" si="126"/>
        <v>59.443749999999994</v>
      </c>
      <c r="T89" s="814">
        <f t="shared" si="126"/>
        <v>58.999750000000006</v>
      </c>
      <c r="U89" s="814">
        <f t="shared" si="126"/>
        <v>58.802999999999997</v>
      </c>
      <c r="V89" s="814">
        <f t="shared" si="126"/>
        <v>60.8035</v>
      </c>
      <c r="W89" s="814">
        <f t="shared" si="126"/>
        <v>62.847749999999998</v>
      </c>
      <c r="X89" s="814">
        <f t="shared" si="126"/>
        <v>73.682749999999999</v>
      </c>
      <c r="Y89" s="814">
        <f t="shared" si="126"/>
        <v>85.567250000000001</v>
      </c>
      <c r="Z89" s="814">
        <f t="shared" si="126"/>
        <v>98.268249999999995</v>
      </c>
      <c r="AA89" s="814">
        <f t="shared" si="126"/>
        <v>110.24350000000001</v>
      </c>
      <c r="AB89" s="814">
        <f t="shared" si="126"/>
        <v>114.70025</v>
      </c>
      <c r="AC89" s="814">
        <f t="shared" si="126"/>
        <v>116.47675000000001</v>
      </c>
      <c r="AD89" s="814">
        <f t="shared" si="126"/>
        <v>108.06925000000001</v>
      </c>
      <c r="AE89" s="814">
        <f t="shared" si="126"/>
        <v>97.626749999999987</v>
      </c>
      <c r="AF89" s="815">
        <f t="shared" si="126"/>
        <v>82.126750000000001</v>
      </c>
      <c r="AG89" s="816">
        <f t="shared" si="126"/>
        <v>68.251750000000001</v>
      </c>
      <c r="AH89" s="816">
        <f t="shared" si="126"/>
        <v>61.946749999999994</v>
      </c>
      <c r="AI89" s="816">
        <f t="shared" si="126"/>
        <v>57.65</v>
      </c>
      <c r="AJ89" s="816">
        <f t="shared" si="126"/>
        <v>57.65</v>
      </c>
      <c r="AK89" s="816">
        <f t="shared" si="126"/>
        <v>57.65</v>
      </c>
      <c r="AL89" s="816">
        <f t="shared" si="126"/>
        <v>57.65</v>
      </c>
      <c r="AM89" s="816"/>
      <c r="AN89" s="813">
        <f>AN88</f>
        <v>0</v>
      </c>
      <c r="AO89" s="813">
        <f t="shared" ref="AO89:BC89" si="127">AVERAGE(AO88,AN88)</f>
        <v>0</v>
      </c>
      <c r="AP89" s="813">
        <f t="shared" si="127"/>
        <v>0</v>
      </c>
      <c r="AQ89" s="813">
        <f t="shared" si="127"/>
        <v>0</v>
      </c>
      <c r="AR89" s="813">
        <f t="shared" si="127"/>
        <v>0.20349999999999999</v>
      </c>
      <c r="AS89" s="813">
        <f t="shared" si="127"/>
        <v>29.491499999999995</v>
      </c>
      <c r="AT89" s="813">
        <f t="shared" si="127"/>
        <v>58.552</v>
      </c>
      <c r="AU89" s="813">
        <f t="shared" si="127"/>
        <v>58.111000000000004</v>
      </c>
      <c r="AV89" s="813">
        <f t="shared" si="127"/>
        <v>61.695</v>
      </c>
      <c r="AW89" s="813">
        <f t="shared" si="127"/>
        <v>91.097999999999999</v>
      </c>
      <c r="AX89" s="965">
        <f t="shared" si="127"/>
        <v>99.685000000000002</v>
      </c>
      <c r="AY89" s="817">
        <f t="shared" si="127"/>
        <v>70.260000000000005</v>
      </c>
      <c r="AZ89" s="817">
        <f t="shared" si="127"/>
        <v>57.65</v>
      </c>
      <c r="BA89" s="817">
        <f t="shared" si="127"/>
        <v>57.65</v>
      </c>
      <c r="BB89" s="817">
        <f t="shared" si="127"/>
        <v>57.65</v>
      </c>
      <c r="BC89" s="817">
        <f t="shared" si="127"/>
        <v>57.65</v>
      </c>
      <c r="BD89" s="684"/>
    </row>
    <row r="90" spans="1:56" hidden="1" outlineLevel="1" x14ac:dyDescent="0.25">
      <c r="A90" s="248" t="s">
        <v>332</v>
      </c>
      <c r="B90" s="249"/>
      <c r="C90" s="814">
        <f t="shared" ref="C90:AL90" si="128">SUM(INDEX(SP_BSR_Debt_Avg,0,COLUMN()),INDEX(SP_BSR_SE_Avg,0,COLUMN()))</f>
        <v>0</v>
      </c>
      <c r="D90" s="814">
        <f t="shared" si="128"/>
        <v>0</v>
      </c>
      <c r="E90" s="814">
        <f t="shared" si="128"/>
        <v>0</v>
      </c>
      <c r="F90" s="814">
        <f t="shared" si="128"/>
        <v>184.39875000000001</v>
      </c>
      <c r="G90" s="814">
        <f t="shared" si="128"/>
        <v>191.83300000000003</v>
      </c>
      <c r="H90" s="814">
        <f t="shared" si="128"/>
        <v>202.40774999999999</v>
      </c>
      <c r="I90" s="814">
        <f t="shared" si="128"/>
        <v>208.68124999999998</v>
      </c>
      <c r="J90" s="814">
        <f t="shared" si="128"/>
        <v>212.898</v>
      </c>
      <c r="K90" s="814">
        <f t="shared" si="128"/>
        <v>214.80349999999999</v>
      </c>
      <c r="L90" s="814">
        <f t="shared" si="128"/>
        <v>213.76824999999999</v>
      </c>
      <c r="M90" s="814">
        <f t="shared" si="128"/>
        <v>214.69049999999999</v>
      </c>
      <c r="N90" s="814">
        <f t="shared" si="128"/>
        <v>216.33325000000002</v>
      </c>
      <c r="O90" s="814">
        <f t="shared" si="128"/>
        <v>217.56625</v>
      </c>
      <c r="P90" s="814">
        <f t="shared" si="128"/>
        <v>216.77600000000001</v>
      </c>
      <c r="Q90" s="814">
        <f t="shared" si="128"/>
        <v>217.38575</v>
      </c>
      <c r="R90" s="814">
        <f t="shared" si="128"/>
        <v>219.46525</v>
      </c>
      <c r="S90" s="814">
        <f t="shared" si="128"/>
        <v>224.38</v>
      </c>
      <c r="T90" s="814">
        <f t="shared" si="128"/>
        <v>230.09325000000001</v>
      </c>
      <c r="U90" s="814">
        <f t="shared" si="128"/>
        <v>236.80650000000003</v>
      </c>
      <c r="V90" s="814">
        <f t="shared" si="128"/>
        <v>243.94650000000001</v>
      </c>
      <c r="W90" s="814">
        <f t="shared" si="128"/>
        <v>249.67524999999998</v>
      </c>
      <c r="X90" s="814">
        <f t="shared" si="128"/>
        <v>261.39949999999999</v>
      </c>
      <c r="Y90" s="814">
        <f t="shared" si="128"/>
        <v>273.15674999999999</v>
      </c>
      <c r="Z90" s="814">
        <f t="shared" si="128"/>
        <v>285.48649999999998</v>
      </c>
      <c r="AA90" s="814">
        <f t="shared" si="128"/>
        <v>298.13475000000005</v>
      </c>
      <c r="AB90" s="814">
        <f t="shared" si="128"/>
        <v>304.51149999999996</v>
      </c>
      <c r="AC90" s="814">
        <f t="shared" si="128"/>
        <v>307.74924999999996</v>
      </c>
      <c r="AD90" s="814">
        <f t="shared" si="128"/>
        <v>305.178</v>
      </c>
      <c r="AE90" s="814">
        <f t="shared" si="128"/>
        <v>297.93</v>
      </c>
      <c r="AF90" s="815">
        <f t="shared" si="128"/>
        <v>284.67425000000003</v>
      </c>
      <c r="AG90" s="816">
        <f t="shared" ca="1" si="128"/>
        <v>273.4082696412022</v>
      </c>
      <c r="AH90" s="816">
        <f t="shared" ca="1" si="128"/>
        <v>267.01613705631053</v>
      </c>
      <c r="AI90" s="816">
        <f t="shared" ca="1" si="128"/>
        <v>265.18604281785213</v>
      </c>
      <c r="AJ90" s="816">
        <f t="shared" ca="1" si="128"/>
        <v>268.40177615303958</v>
      </c>
      <c r="AK90" s="816">
        <f t="shared" ca="1" si="128"/>
        <v>271.83272091790064</v>
      </c>
      <c r="AL90" s="816">
        <f t="shared" ca="1" si="128"/>
        <v>275.7649831432629</v>
      </c>
      <c r="AM90" s="816"/>
      <c r="AN90" s="813">
        <f t="shared" ref="AN90:BC90" si="129">SUM(INDEX(SP_BSR_Debt_Avg,0,COLUMN()),INDEX(SP_BSR_SE_Avg,0,COLUMN()))</f>
        <v>110.89</v>
      </c>
      <c r="AO90" s="813">
        <f t="shared" si="129"/>
        <v>117.83850000000001</v>
      </c>
      <c r="AP90" s="813">
        <f t="shared" si="129"/>
        <v>134.09049999999999</v>
      </c>
      <c r="AQ90" s="813">
        <f t="shared" si="129"/>
        <v>155.3655</v>
      </c>
      <c r="AR90" s="813">
        <f t="shared" si="129"/>
        <v>180.38550000000001</v>
      </c>
      <c r="AS90" s="813">
        <f t="shared" si="129"/>
        <v>201.86749999999998</v>
      </c>
      <c r="AT90" s="813">
        <f t="shared" si="129"/>
        <v>213.58649999999997</v>
      </c>
      <c r="AU90" s="813">
        <f t="shared" si="129"/>
        <v>221.03100000000001</v>
      </c>
      <c r="AV90" s="813">
        <f t="shared" si="129"/>
        <v>239.47000000000003</v>
      </c>
      <c r="AW90" s="813">
        <f t="shared" si="129"/>
        <v>278.40949999999998</v>
      </c>
      <c r="AX90" s="965">
        <f t="shared" si="129"/>
        <v>297.92649999999998</v>
      </c>
      <c r="AY90" s="817">
        <f t="shared" ca="1" si="129"/>
        <v>279.99973483021671</v>
      </c>
      <c r="AZ90" s="817">
        <f t="shared" ca="1" si="129"/>
        <v>275.07999411115787</v>
      </c>
      <c r="BA90" s="817">
        <f t="shared" ca="1" si="129"/>
        <v>294.63208081597787</v>
      </c>
      <c r="BB90" s="817">
        <f t="shared" ca="1" si="129"/>
        <v>321.73911809783328</v>
      </c>
      <c r="BC90" s="817">
        <f t="shared" ca="1" si="129"/>
        <v>353.38796762762411</v>
      </c>
      <c r="BD90" s="684"/>
    </row>
    <row r="91" spans="1:56" s="61" customFormat="1" collapsed="1" x14ac:dyDescent="0.25">
      <c r="A91" s="266" t="s">
        <v>333</v>
      </c>
      <c r="B91" s="184"/>
      <c r="C91" s="485"/>
      <c r="D91" s="485"/>
      <c r="E91" s="485"/>
      <c r="F91" s="485">
        <f t="shared" ref="F91:AL91" si="130">IF(F90&lt;0,"NMF",IF(ABS(F84/F90)&gt;1,"NMF",F84/F90))</f>
        <v>0.13006270836504194</v>
      </c>
      <c r="G91" s="485">
        <f t="shared" si="130"/>
        <v>0.12215638792309609</v>
      </c>
      <c r="H91" s="485">
        <f t="shared" si="130"/>
        <v>0.12995866753857982</v>
      </c>
      <c r="I91" s="485">
        <f t="shared" si="130"/>
        <v>0.13143459455817338</v>
      </c>
      <c r="J91" s="485">
        <f t="shared" si="130"/>
        <v>0.12983738170703527</v>
      </c>
      <c r="K91" s="485">
        <f t="shared" si="130"/>
        <v>0.12816484877642439</v>
      </c>
      <c r="L91" s="485">
        <f t="shared" si="130"/>
        <v>0.11358514326227173</v>
      </c>
      <c r="M91" s="485">
        <f t="shared" si="130"/>
        <v>9.7303517318676994E-2</v>
      </c>
      <c r="N91" s="485">
        <f t="shared" si="130"/>
        <v>9.0885915667405712E-2</v>
      </c>
      <c r="O91" s="485">
        <f t="shared" si="130"/>
        <v>8.8650324195965052E-2</v>
      </c>
      <c r="P91" s="485">
        <f t="shared" si="130"/>
        <v>9.0013027970150192E-2</v>
      </c>
      <c r="Q91" s="485">
        <f t="shared" si="130"/>
        <v>9.4836617211514526E-2</v>
      </c>
      <c r="R91" s="485">
        <f t="shared" si="130"/>
        <v>9.7194530894350775E-2</v>
      </c>
      <c r="S91" s="485">
        <f t="shared" si="130"/>
        <v>9.6961789462494813E-2</v>
      </c>
      <c r="T91" s="485">
        <f t="shared" si="130"/>
        <v>9.9329440055684781E-2</v>
      </c>
      <c r="U91" s="485">
        <f t="shared" si="130"/>
        <v>9.0919715037649854E-2</v>
      </c>
      <c r="V91" s="485">
        <f t="shared" si="130"/>
        <v>5.5451503291755744E-2</v>
      </c>
      <c r="W91" s="485">
        <f t="shared" si="130"/>
        <v>4.8834145778783304E-2</v>
      </c>
      <c r="X91" s="485">
        <f t="shared" si="130"/>
        <v>3.6057142465464445E-2</v>
      </c>
      <c r="Y91" s="485">
        <f t="shared" si="130"/>
        <v>3.5797753108663448E-2</v>
      </c>
      <c r="Z91" s="485">
        <f t="shared" si="130"/>
        <v>3.9927143018019147E-2</v>
      </c>
      <c r="AA91" s="485">
        <f t="shared" si="130"/>
        <v>3.2858842173469502E-2</v>
      </c>
      <c r="AB91" s="485">
        <f t="shared" si="130"/>
        <v>3.5288126275964532E-2</v>
      </c>
      <c r="AC91" s="485">
        <f t="shared" si="130"/>
        <v>3.2209210506998744E-2</v>
      </c>
      <c r="AD91" s="485">
        <f t="shared" si="130"/>
        <v>6.3518041851763726E-2</v>
      </c>
      <c r="AE91" s="485">
        <f t="shared" si="130"/>
        <v>5.8083382011634155E-2</v>
      </c>
      <c r="AF91" s="698">
        <f t="shared" si="130"/>
        <v>4.3871796191391942E-2</v>
      </c>
      <c r="AG91" s="149">
        <f t="shared" ca="1" si="130"/>
        <v>4.0349569142548156E-2</v>
      </c>
      <c r="AH91" s="149">
        <f t="shared" ca="1" si="130"/>
        <v>1.4433908718765556E-2</v>
      </c>
      <c r="AI91" s="149">
        <f t="shared" ca="1" si="130"/>
        <v>2.3762468896290589E-2</v>
      </c>
      <c r="AJ91" s="149">
        <f t="shared" ca="1" si="130"/>
        <v>3.3436949427945666E-2</v>
      </c>
      <c r="AK91" s="149">
        <f t="shared" ca="1" si="130"/>
        <v>3.615157359429149E-2</v>
      </c>
      <c r="AL91" s="149">
        <f t="shared" ca="1" si="130"/>
        <v>4.288165408389305E-2</v>
      </c>
      <c r="AM91" s="149"/>
      <c r="AN91" s="484">
        <f t="shared" ref="AN91:BC91" si="131">IF(AN90&lt;0,"NMF",IF(ABS(AN84/AN90)&gt;1,"NMF",AN84/AN90))</f>
        <v>-1.1417277082424888E-2</v>
      </c>
      <c r="AO91" s="484">
        <f t="shared" si="131"/>
        <v>0.10926903332366705</v>
      </c>
      <c r="AP91" s="484">
        <f t="shared" si="131"/>
        <v>0.13417412994974523</v>
      </c>
      <c r="AQ91" s="484">
        <f t="shared" si="131"/>
        <v>0.14712704782073782</v>
      </c>
      <c r="AR91" s="484">
        <f t="shared" si="131"/>
        <v>0.13294808436492719</v>
      </c>
      <c r="AS91" s="484">
        <f t="shared" si="131"/>
        <v>0.13684775770278387</v>
      </c>
      <c r="AT91" s="484">
        <f t="shared" si="131"/>
        <v>9.207008772836095E-2</v>
      </c>
      <c r="AU91" s="484">
        <f t="shared" si="131"/>
        <v>9.6384874589639236E-2</v>
      </c>
      <c r="AV91" s="484">
        <f t="shared" si="131"/>
        <v>6.2394528355609165E-2</v>
      </c>
      <c r="AW91" s="484">
        <f t="shared" si="131"/>
        <v>4.2376917533835635E-2</v>
      </c>
      <c r="AX91" s="972">
        <f t="shared" si="131"/>
        <v>6.4789481965284432E-2</v>
      </c>
      <c r="AY91" s="148">
        <f t="shared" ca="1" si="131"/>
        <v>2.2451594050716971E-2</v>
      </c>
      <c r="AZ91" s="148">
        <f t="shared" ca="1" si="131"/>
        <v>4.2988435614192841E-2</v>
      </c>
      <c r="BA91" s="148">
        <f t="shared" ca="1" si="131"/>
        <v>6.604277808889851E-2</v>
      </c>
      <c r="BB91" s="148">
        <f t="shared" ca="1" si="131"/>
        <v>8.3567357963057684E-2</v>
      </c>
      <c r="BC91" s="148">
        <f t="shared" ca="1" si="131"/>
        <v>8.0532545141515366E-2</v>
      </c>
      <c r="BD91" s="312"/>
    </row>
    <row r="92" spans="1:56" hidden="1" outlineLevel="1" x14ac:dyDescent="0.25">
      <c r="A92" s="248" t="s">
        <v>105</v>
      </c>
      <c r="B92" s="249"/>
      <c r="C92" s="814">
        <f t="shared" ref="C92:AL92" si="132">INDEX(MO_RIS_EBIT,0,COLUMN())</f>
        <v>7.0920000000000094</v>
      </c>
      <c r="D92" s="814">
        <f t="shared" si="132"/>
        <v>8.5149999999999988</v>
      </c>
      <c r="E92" s="814">
        <f t="shared" si="132"/>
        <v>10.205000000000014</v>
      </c>
      <c r="F92" s="814">
        <f t="shared" si="132"/>
        <v>10.864000000000066</v>
      </c>
      <c r="G92" s="814">
        <f t="shared" si="132"/>
        <v>6.7659999999999911</v>
      </c>
      <c r="H92" s="814">
        <f t="shared" si="132"/>
        <v>13.305000000000017</v>
      </c>
      <c r="I92" s="814">
        <f t="shared" si="132"/>
        <v>10.654999999999996</v>
      </c>
      <c r="J92" s="814">
        <f t="shared" si="132"/>
        <v>11.741000000000096</v>
      </c>
      <c r="K92" s="814">
        <f t="shared" si="132"/>
        <v>7.5360000000000031</v>
      </c>
      <c r="L92" s="814">
        <f t="shared" si="132"/>
        <v>8.0690000000000026</v>
      </c>
      <c r="M92" s="814">
        <f t="shared" si="132"/>
        <v>8.1160000000000032</v>
      </c>
      <c r="N92" s="814">
        <f t="shared" si="132"/>
        <v>10.522999999999946</v>
      </c>
      <c r="O92" s="814">
        <f t="shared" si="132"/>
        <v>5.957000000000007</v>
      </c>
      <c r="P92" s="814">
        <f t="shared" si="132"/>
        <v>8.0650000000000013</v>
      </c>
      <c r="Q92" s="814">
        <f t="shared" si="132"/>
        <v>8.0079999999999885</v>
      </c>
      <c r="R92" s="814">
        <f t="shared" si="132"/>
        <v>9.5299999999999976</v>
      </c>
      <c r="S92" s="814">
        <f t="shared" si="132"/>
        <v>6.3940000000000037</v>
      </c>
      <c r="T92" s="814">
        <f t="shared" si="132"/>
        <v>9.1970000000000081</v>
      </c>
      <c r="U92" s="814">
        <f t="shared" si="132"/>
        <v>4.0930000000000035</v>
      </c>
      <c r="V92" s="814">
        <f t="shared" si="132"/>
        <v>4.9240000000000457</v>
      </c>
      <c r="W92" s="814">
        <f t="shared" si="132"/>
        <v>3.0950000000000015</v>
      </c>
      <c r="X92" s="814">
        <f t="shared" si="132"/>
        <v>7.3460000000000045</v>
      </c>
      <c r="Y92" s="814">
        <f t="shared" si="132"/>
        <v>5.6750000000000043</v>
      </c>
      <c r="Z92" s="814">
        <f t="shared" si="132"/>
        <v>1.9810000000000341</v>
      </c>
      <c r="AA92" s="814">
        <f t="shared" si="132"/>
        <v>3.1620000000000128</v>
      </c>
      <c r="AB92" s="814">
        <f t="shared" si="132"/>
        <v>5.6510000000000202</v>
      </c>
      <c r="AC92" s="814">
        <f t="shared" si="132"/>
        <v>4.5969999999999942</v>
      </c>
      <c r="AD92" s="814">
        <f t="shared" si="132"/>
        <v>3.4359999999999165</v>
      </c>
      <c r="AE92" s="814">
        <f t="shared" si="132"/>
        <v>-1.5089999999999861</v>
      </c>
      <c r="AF92" s="815">
        <f t="shared" si="132"/>
        <v>-0.13999999999999568</v>
      </c>
      <c r="AG92" s="816">
        <f t="shared" si="132"/>
        <v>2.3299999999999961</v>
      </c>
      <c r="AH92" s="816">
        <f t="shared" si="132"/>
        <v>4.1049999999999844</v>
      </c>
      <c r="AI92" s="816">
        <f t="shared" si="132"/>
        <v>2.3835414599999907</v>
      </c>
      <c r="AJ92" s="816">
        <f t="shared" si="132"/>
        <v>2.990059349999997</v>
      </c>
      <c r="AK92" s="816">
        <f t="shared" si="132"/>
        <v>3.4519000000000104</v>
      </c>
      <c r="AL92" s="816">
        <f t="shared" si="132"/>
        <v>6.7340499999999981</v>
      </c>
      <c r="AM92" s="816"/>
      <c r="AN92" s="813">
        <f t="shared" ref="AN92:BC92" si="133">INDEX(MO_RIS_EBIT,0,COLUMN())</f>
        <v>13.291000000000004</v>
      </c>
      <c r="AO92" s="813">
        <f t="shared" si="133"/>
        <v>19.223999999999986</v>
      </c>
      <c r="AP92" s="813">
        <f t="shared" si="133"/>
        <v>26.38499999999997</v>
      </c>
      <c r="AQ92" s="813">
        <f t="shared" si="133"/>
        <v>36.471000000000011</v>
      </c>
      <c r="AR92" s="813">
        <f t="shared" si="133"/>
        <v>36.676000000000066</v>
      </c>
      <c r="AS92" s="813">
        <f t="shared" si="133"/>
        <v>42.467000000000027</v>
      </c>
      <c r="AT92" s="813">
        <f t="shared" si="133"/>
        <v>34.243999999999971</v>
      </c>
      <c r="AU92" s="813">
        <f t="shared" si="133"/>
        <v>31.560000000000027</v>
      </c>
      <c r="AV92" s="813">
        <f t="shared" si="133"/>
        <v>24.608000000000036</v>
      </c>
      <c r="AW92" s="813">
        <f t="shared" si="133"/>
        <v>18.096999999999987</v>
      </c>
      <c r="AX92" s="965">
        <f t="shared" si="133"/>
        <v>16.845999999999933</v>
      </c>
      <c r="AY92" s="817">
        <f t="shared" si="133"/>
        <v>4.7859999999999694</v>
      </c>
      <c r="AZ92" s="817">
        <f t="shared" si="133"/>
        <v>15.559550810000053</v>
      </c>
      <c r="BA92" s="817">
        <f t="shared" si="133"/>
        <v>25.603054120000017</v>
      </c>
      <c r="BB92" s="817">
        <f t="shared" si="133"/>
        <v>35.377484280000111</v>
      </c>
      <c r="BC92" s="817">
        <f t="shared" si="133"/>
        <v>37.446358493999959</v>
      </c>
      <c r="BD92" s="684"/>
    </row>
    <row r="93" spans="1:56" hidden="1" outlineLevel="1" x14ac:dyDescent="0.25">
      <c r="A93" s="248" t="s">
        <v>334</v>
      </c>
      <c r="B93" s="249"/>
      <c r="C93" s="814"/>
      <c r="D93" s="814"/>
      <c r="E93" s="814"/>
      <c r="F93" s="814">
        <f t="shared" ref="F93:AL93" si="134">SUM(F92,E92,D92,C92)</f>
        <v>36.676000000000087</v>
      </c>
      <c r="G93" s="814">
        <f t="shared" si="134"/>
        <v>36.350000000000072</v>
      </c>
      <c r="H93" s="814">
        <f t="shared" si="134"/>
        <v>41.140000000000086</v>
      </c>
      <c r="I93" s="814">
        <f t="shared" si="134"/>
        <v>41.590000000000074</v>
      </c>
      <c r="J93" s="814">
        <f t="shared" si="134"/>
        <v>42.467000000000098</v>
      </c>
      <c r="K93" s="814">
        <f t="shared" si="134"/>
        <v>43.237000000000108</v>
      </c>
      <c r="L93" s="814">
        <f t="shared" si="134"/>
        <v>38.001000000000097</v>
      </c>
      <c r="M93" s="814">
        <f t="shared" si="134"/>
        <v>35.462000000000103</v>
      </c>
      <c r="N93" s="814">
        <f t="shared" si="134"/>
        <v>34.243999999999957</v>
      </c>
      <c r="O93" s="814">
        <f t="shared" si="134"/>
        <v>32.664999999999964</v>
      </c>
      <c r="P93" s="814">
        <f t="shared" si="134"/>
        <v>32.660999999999959</v>
      </c>
      <c r="Q93" s="814">
        <f t="shared" si="134"/>
        <v>32.55299999999994</v>
      </c>
      <c r="R93" s="814">
        <f t="shared" si="134"/>
        <v>31.559999999999995</v>
      </c>
      <c r="S93" s="814">
        <f t="shared" si="134"/>
        <v>31.996999999999989</v>
      </c>
      <c r="T93" s="814">
        <f t="shared" si="134"/>
        <v>33.128999999999998</v>
      </c>
      <c r="U93" s="814">
        <f t="shared" si="134"/>
        <v>29.214000000000013</v>
      </c>
      <c r="V93" s="814">
        <f t="shared" si="134"/>
        <v>24.608000000000061</v>
      </c>
      <c r="W93" s="814">
        <f t="shared" si="134"/>
        <v>21.309000000000061</v>
      </c>
      <c r="X93" s="814">
        <f t="shared" si="134"/>
        <v>19.458000000000055</v>
      </c>
      <c r="Y93" s="814">
        <f t="shared" si="134"/>
        <v>21.040000000000056</v>
      </c>
      <c r="Z93" s="814">
        <f t="shared" si="134"/>
        <v>18.097000000000044</v>
      </c>
      <c r="AA93" s="814">
        <f t="shared" si="134"/>
        <v>18.164000000000055</v>
      </c>
      <c r="AB93" s="814">
        <f t="shared" si="134"/>
        <v>16.469000000000072</v>
      </c>
      <c r="AC93" s="814">
        <f t="shared" si="134"/>
        <v>15.391000000000062</v>
      </c>
      <c r="AD93" s="814">
        <f t="shared" si="134"/>
        <v>16.845999999999943</v>
      </c>
      <c r="AE93" s="814">
        <f t="shared" si="134"/>
        <v>12.174999999999944</v>
      </c>
      <c r="AF93" s="815">
        <f t="shared" si="134"/>
        <v>6.3839999999999293</v>
      </c>
      <c r="AG93" s="816">
        <f t="shared" si="134"/>
        <v>4.1169999999999307</v>
      </c>
      <c r="AH93" s="816">
        <f t="shared" si="134"/>
        <v>4.7859999999999996</v>
      </c>
      <c r="AI93" s="816">
        <f t="shared" si="134"/>
        <v>8.6785414599999768</v>
      </c>
      <c r="AJ93" s="816">
        <f t="shared" si="134"/>
        <v>11.808600809999968</v>
      </c>
      <c r="AK93" s="816">
        <f t="shared" si="134"/>
        <v>12.930500809999982</v>
      </c>
      <c r="AL93" s="816">
        <f t="shared" si="134"/>
        <v>15.559550809999998</v>
      </c>
      <c r="AM93" s="816"/>
      <c r="AN93" s="813">
        <f t="shared" ref="AN93:BC93" si="135">AN92</f>
        <v>13.291000000000004</v>
      </c>
      <c r="AO93" s="813">
        <f t="shared" si="135"/>
        <v>19.223999999999986</v>
      </c>
      <c r="AP93" s="813">
        <f t="shared" si="135"/>
        <v>26.38499999999997</v>
      </c>
      <c r="AQ93" s="813">
        <f t="shared" si="135"/>
        <v>36.471000000000011</v>
      </c>
      <c r="AR93" s="813">
        <f t="shared" si="135"/>
        <v>36.676000000000066</v>
      </c>
      <c r="AS93" s="813">
        <f t="shared" si="135"/>
        <v>42.467000000000027</v>
      </c>
      <c r="AT93" s="813">
        <f t="shared" si="135"/>
        <v>34.243999999999971</v>
      </c>
      <c r="AU93" s="813">
        <f t="shared" si="135"/>
        <v>31.560000000000027</v>
      </c>
      <c r="AV93" s="813">
        <f t="shared" si="135"/>
        <v>24.608000000000036</v>
      </c>
      <c r="AW93" s="813">
        <f t="shared" si="135"/>
        <v>18.096999999999987</v>
      </c>
      <c r="AX93" s="965">
        <f t="shared" si="135"/>
        <v>16.845999999999933</v>
      </c>
      <c r="AY93" s="817">
        <f t="shared" si="135"/>
        <v>4.7859999999999694</v>
      </c>
      <c r="AZ93" s="817">
        <f t="shared" si="135"/>
        <v>15.559550810000053</v>
      </c>
      <c r="BA93" s="817">
        <f t="shared" si="135"/>
        <v>25.603054120000017</v>
      </c>
      <c r="BB93" s="817">
        <f t="shared" si="135"/>
        <v>35.377484280000111</v>
      </c>
      <c r="BC93" s="817">
        <f t="shared" si="135"/>
        <v>37.446358493999959</v>
      </c>
      <c r="BD93" s="684"/>
    </row>
    <row r="94" spans="1:56" hidden="1" outlineLevel="1" x14ac:dyDescent="0.25">
      <c r="A94" s="248" t="s">
        <v>224</v>
      </c>
      <c r="B94" s="249"/>
      <c r="C94" s="814">
        <f t="shared" ref="C94:AL94" si="136">INDEX(MO_BS_CL,0,COLUMN())</f>
        <v>58.436</v>
      </c>
      <c r="D94" s="814">
        <f t="shared" si="136"/>
        <v>74.696999999999989</v>
      </c>
      <c r="E94" s="814">
        <f t="shared" si="136"/>
        <v>77.600999999999999</v>
      </c>
      <c r="F94" s="814">
        <f t="shared" si="136"/>
        <v>77.807999999999993</v>
      </c>
      <c r="G94" s="814">
        <f t="shared" si="136"/>
        <v>83.191000000000003</v>
      </c>
      <c r="H94" s="814">
        <f t="shared" si="136"/>
        <v>102.06100000000001</v>
      </c>
      <c r="I94" s="814">
        <f t="shared" si="136"/>
        <v>79.692000000000007</v>
      </c>
      <c r="J94" s="814">
        <f t="shared" si="136"/>
        <v>116.82000000000001</v>
      </c>
      <c r="K94" s="814">
        <f t="shared" si="136"/>
        <v>111.13900000000001</v>
      </c>
      <c r="L94" s="814">
        <f t="shared" si="136"/>
        <v>119.514</v>
      </c>
      <c r="M94" s="814">
        <f t="shared" si="136"/>
        <v>123.46199999999999</v>
      </c>
      <c r="N94" s="814">
        <f t="shared" si="136"/>
        <v>126.854</v>
      </c>
      <c r="O94" s="814">
        <f t="shared" si="136"/>
        <v>121.432</v>
      </c>
      <c r="P94" s="814">
        <f t="shared" si="136"/>
        <v>127.16</v>
      </c>
      <c r="Q94" s="814">
        <f t="shared" si="136"/>
        <v>139.00700000000001</v>
      </c>
      <c r="R94" s="814">
        <f t="shared" si="136"/>
        <v>112.83500000000001</v>
      </c>
      <c r="S94" s="814">
        <f t="shared" si="136"/>
        <v>118.35499999999999</v>
      </c>
      <c r="T94" s="814">
        <f t="shared" si="136"/>
        <v>127.34800000000001</v>
      </c>
      <c r="U94" s="814">
        <f t="shared" si="136"/>
        <v>132.28900000000002</v>
      </c>
      <c r="V94" s="814">
        <f t="shared" si="136"/>
        <v>150.33199999999999</v>
      </c>
      <c r="W94" s="814">
        <f t="shared" si="136"/>
        <v>153.15799999999999</v>
      </c>
      <c r="X94" s="814">
        <f t="shared" si="136"/>
        <v>165.41</v>
      </c>
      <c r="Y94" s="814">
        <f t="shared" si="136"/>
        <v>175.965</v>
      </c>
      <c r="Z94" s="814">
        <f t="shared" si="136"/>
        <v>116.958</v>
      </c>
      <c r="AA94" s="814">
        <f t="shared" si="136"/>
        <v>119.65800000000002</v>
      </c>
      <c r="AB94" s="814">
        <f t="shared" si="136"/>
        <v>113.00700000000001</v>
      </c>
      <c r="AC94" s="814">
        <f t="shared" si="136"/>
        <v>107.74299999999999</v>
      </c>
      <c r="AD94" s="814">
        <f t="shared" si="136"/>
        <v>123.43699999999998</v>
      </c>
      <c r="AE94" s="814">
        <f t="shared" si="136"/>
        <v>108.62700000000001</v>
      </c>
      <c r="AF94" s="815">
        <f t="shared" si="136"/>
        <v>100.755</v>
      </c>
      <c r="AG94" s="816">
        <f t="shared" si="136"/>
        <v>100.28211097042951</v>
      </c>
      <c r="AH94" s="816">
        <f t="shared" si="136"/>
        <v>109.19211634007097</v>
      </c>
      <c r="AI94" s="816">
        <f t="shared" si="136"/>
        <v>96.75755221965467</v>
      </c>
      <c r="AJ94" s="816">
        <f t="shared" si="136"/>
        <v>102.50793275278021</v>
      </c>
      <c r="AK94" s="816">
        <f t="shared" si="136"/>
        <v>103.62062184242156</v>
      </c>
      <c r="AL94" s="816">
        <f t="shared" si="136"/>
        <v>114.76361306410189</v>
      </c>
      <c r="AM94" s="816"/>
      <c r="AN94" s="813">
        <f t="shared" ref="AN94:BC94" si="137">INDEX(MO_BS_CL,0,COLUMN())</f>
        <v>36.735999999999997</v>
      </c>
      <c r="AO94" s="813">
        <f t="shared" si="137"/>
        <v>48.501000000000005</v>
      </c>
      <c r="AP94" s="813">
        <f t="shared" si="137"/>
        <v>59.765999999999998</v>
      </c>
      <c r="AQ94" s="813">
        <f t="shared" si="137"/>
        <v>69.334000000000003</v>
      </c>
      <c r="AR94" s="813">
        <f t="shared" si="137"/>
        <v>77.807999999999993</v>
      </c>
      <c r="AS94" s="813">
        <f t="shared" si="137"/>
        <v>116.82000000000001</v>
      </c>
      <c r="AT94" s="813">
        <f t="shared" si="137"/>
        <v>126.854</v>
      </c>
      <c r="AU94" s="813">
        <f t="shared" si="137"/>
        <v>112.83500000000001</v>
      </c>
      <c r="AV94" s="813">
        <f t="shared" si="137"/>
        <v>150.33199999999999</v>
      </c>
      <c r="AW94" s="813">
        <f t="shared" si="137"/>
        <v>116.958</v>
      </c>
      <c r="AX94" s="965">
        <f t="shared" si="137"/>
        <v>123.43699999999998</v>
      </c>
      <c r="AY94" s="817">
        <f t="shared" si="137"/>
        <v>109.19211634007097</v>
      </c>
      <c r="AZ94" s="817">
        <f t="shared" si="137"/>
        <v>114.76361306410189</v>
      </c>
      <c r="BA94" s="817">
        <f t="shared" si="137"/>
        <v>123.41637437051209</v>
      </c>
      <c r="BB94" s="817">
        <f t="shared" si="137"/>
        <v>132.93441180756332</v>
      </c>
      <c r="BC94" s="817">
        <f t="shared" si="137"/>
        <v>138.16933239794147</v>
      </c>
      <c r="BD94" s="684"/>
    </row>
    <row r="95" spans="1:56" hidden="1" outlineLevel="1" x14ac:dyDescent="0.25">
      <c r="A95" s="248" t="s">
        <v>335</v>
      </c>
      <c r="B95" s="249"/>
      <c r="C95" s="814"/>
      <c r="D95" s="814"/>
      <c r="E95" s="814"/>
      <c r="F95" s="814">
        <f t="shared" ref="F95:AL95" si="138">AVERAGE(F94,E94,D94,C94)</f>
        <v>72.135499999999993</v>
      </c>
      <c r="G95" s="814">
        <f t="shared" si="138"/>
        <v>78.324249999999992</v>
      </c>
      <c r="H95" s="814">
        <f t="shared" si="138"/>
        <v>85.16525</v>
      </c>
      <c r="I95" s="814">
        <f t="shared" si="138"/>
        <v>85.688000000000002</v>
      </c>
      <c r="J95" s="814">
        <f t="shared" si="138"/>
        <v>95.441000000000003</v>
      </c>
      <c r="K95" s="814">
        <f t="shared" si="138"/>
        <v>102.428</v>
      </c>
      <c r="L95" s="814">
        <f t="shared" si="138"/>
        <v>106.79125000000001</v>
      </c>
      <c r="M95" s="814">
        <f t="shared" si="138"/>
        <v>117.73375</v>
      </c>
      <c r="N95" s="814">
        <f t="shared" si="138"/>
        <v>120.24225</v>
      </c>
      <c r="O95" s="814">
        <f t="shared" si="138"/>
        <v>122.8155</v>
      </c>
      <c r="P95" s="814">
        <f t="shared" si="138"/>
        <v>124.72699999999999</v>
      </c>
      <c r="Q95" s="814">
        <f t="shared" si="138"/>
        <v>128.61325000000002</v>
      </c>
      <c r="R95" s="814">
        <f t="shared" si="138"/>
        <v>125.10850000000001</v>
      </c>
      <c r="S95" s="814">
        <f t="shared" si="138"/>
        <v>124.33924999999999</v>
      </c>
      <c r="T95" s="814">
        <f t="shared" si="138"/>
        <v>124.38625</v>
      </c>
      <c r="U95" s="814">
        <f t="shared" si="138"/>
        <v>122.70675000000003</v>
      </c>
      <c r="V95" s="814">
        <f t="shared" si="138"/>
        <v>132.08099999999999</v>
      </c>
      <c r="W95" s="814">
        <f t="shared" si="138"/>
        <v>140.78174999999999</v>
      </c>
      <c r="X95" s="814">
        <f t="shared" si="138"/>
        <v>150.29724999999999</v>
      </c>
      <c r="Y95" s="814">
        <f t="shared" si="138"/>
        <v>161.21625</v>
      </c>
      <c r="Z95" s="814">
        <f t="shared" si="138"/>
        <v>152.87275</v>
      </c>
      <c r="AA95" s="814">
        <f t="shared" si="138"/>
        <v>144.49775</v>
      </c>
      <c r="AB95" s="814">
        <f t="shared" si="138"/>
        <v>131.39700000000002</v>
      </c>
      <c r="AC95" s="814">
        <f t="shared" si="138"/>
        <v>114.3415</v>
      </c>
      <c r="AD95" s="814">
        <f t="shared" si="138"/>
        <v>115.96125000000001</v>
      </c>
      <c r="AE95" s="814">
        <f t="shared" si="138"/>
        <v>113.20350000000001</v>
      </c>
      <c r="AF95" s="815">
        <f t="shared" si="138"/>
        <v>110.14049999999999</v>
      </c>
      <c r="AG95" s="816">
        <f t="shared" si="138"/>
        <v>108.27527774260739</v>
      </c>
      <c r="AH95" s="816">
        <f t="shared" si="138"/>
        <v>104.71405682762513</v>
      </c>
      <c r="AI95" s="816">
        <f t="shared" si="138"/>
        <v>101.74669488253879</v>
      </c>
      <c r="AJ95" s="816">
        <f t="shared" si="138"/>
        <v>102.18492807073385</v>
      </c>
      <c r="AK95" s="816">
        <f t="shared" si="138"/>
        <v>103.01955578873185</v>
      </c>
      <c r="AL95" s="816">
        <f t="shared" si="138"/>
        <v>104.41242996973958</v>
      </c>
      <c r="AM95" s="816"/>
      <c r="AN95" s="813">
        <f>AN94</f>
        <v>36.735999999999997</v>
      </c>
      <c r="AO95" s="813">
        <f t="shared" ref="AO95:BC95" si="139">AVERAGE(AO94,AN94)</f>
        <v>42.618499999999997</v>
      </c>
      <c r="AP95" s="813">
        <f t="shared" si="139"/>
        <v>54.133499999999998</v>
      </c>
      <c r="AQ95" s="813">
        <f t="shared" si="139"/>
        <v>64.55</v>
      </c>
      <c r="AR95" s="813">
        <f t="shared" si="139"/>
        <v>73.570999999999998</v>
      </c>
      <c r="AS95" s="813">
        <f t="shared" si="139"/>
        <v>97.313999999999993</v>
      </c>
      <c r="AT95" s="813">
        <f t="shared" si="139"/>
        <v>121.837</v>
      </c>
      <c r="AU95" s="813">
        <f t="shared" si="139"/>
        <v>119.84450000000001</v>
      </c>
      <c r="AV95" s="813">
        <f t="shared" si="139"/>
        <v>131.58350000000002</v>
      </c>
      <c r="AW95" s="813">
        <f t="shared" si="139"/>
        <v>133.64499999999998</v>
      </c>
      <c r="AX95" s="965">
        <f t="shared" si="139"/>
        <v>120.19749999999999</v>
      </c>
      <c r="AY95" s="817">
        <f t="shared" si="139"/>
        <v>116.31455817003547</v>
      </c>
      <c r="AZ95" s="817">
        <f t="shared" si="139"/>
        <v>111.97786470208644</v>
      </c>
      <c r="BA95" s="817">
        <f t="shared" si="139"/>
        <v>119.08999371730698</v>
      </c>
      <c r="BB95" s="817">
        <f t="shared" si="139"/>
        <v>128.1753930890377</v>
      </c>
      <c r="BC95" s="817">
        <f t="shared" si="139"/>
        <v>135.55187210275238</v>
      </c>
      <c r="BD95" s="684"/>
    </row>
    <row r="96" spans="1:56" hidden="1" outlineLevel="1" x14ac:dyDescent="0.25">
      <c r="A96" s="248" t="s">
        <v>336</v>
      </c>
      <c r="B96" s="249"/>
      <c r="C96" s="814">
        <f t="shared" ref="C96:AL96" si="140">INDEX(SP_BSR_TA_Avg,0,COLUMN())-INDEX(SP_BSR_CL_Avg,0,COLUMN())</f>
        <v>0</v>
      </c>
      <c r="D96" s="814">
        <f t="shared" si="140"/>
        <v>0</v>
      </c>
      <c r="E96" s="814">
        <f t="shared" si="140"/>
        <v>0</v>
      </c>
      <c r="F96" s="814">
        <f t="shared" si="140"/>
        <v>189.84275000000002</v>
      </c>
      <c r="G96" s="814">
        <f t="shared" si="140"/>
        <v>197.16800000000001</v>
      </c>
      <c r="H96" s="814">
        <f t="shared" si="140"/>
        <v>205.89699999999999</v>
      </c>
      <c r="I96" s="814">
        <f t="shared" si="140"/>
        <v>213.11125000000004</v>
      </c>
      <c r="J96" s="814">
        <f t="shared" si="140"/>
        <v>209.68224999999998</v>
      </c>
      <c r="K96" s="814">
        <f t="shared" si="140"/>
        <v>203.72699999999998</v>
      </c>
      <c r="L96" s="814">
        <f t="shared" si="140"/>
        <v>196.18774999999999</v>
      </c>
      <c r="M96" s="814">
        <f t="shared" si="140"/>
        <v>186.30450000000002</v>
      </c>
      <c r="N96" s="814">
        <f t="shared" si="140"/>
        <v>183.02049999999997</v>
      </c>
      <c r="O96" s="814">
        <f t="shared" si="140"/>
        <v>180.41275000000002</v>
      </c>
      <c r="P96" s="814">
        <f t="shared" si="140"/>
        <v>175.1875</v>
      </c>
      <c r="Q96" s="814">
        <f t="shared" si="140"/>
        <v>171.39624999999998</v>
      </c>
      <c r="R96" s="814">
        <f t="shared" si="140"/>
        <v>178.21375</v>
      </c>
      <c r="S96" s="814">
        <f t="shared" si="140"/>
        <v>186.48924999999997</v>
      </c>
      <c r="T96" s="814">
        <f t="shared" si="140"/>
        <v>197.84699999999998</v>
      </c>
      <c r="U96" s="814">
        <f t="shared" si="140"/>
        <v>210.46975</v>
      </c>
      <c r="V96" s="814">
        <f t="shared" si="140"/>
        <v>213.44699999999997</v>
      </c>
      <c r="W96" s="814">
        <f t="shared" si="140"/>
        <v>214.37950000000001</v>
      </c>
      <c r="X96" s="814">
        <f t="shared" si="140"/>
        <v>216.76550000000006</v>
      </c>
      <c r="Y96" s="814">
        <f t="shared" si="140"/>
        <v>218.45224999999999</v>
      </c>
      <c r="Z96" s="814">
        <f t="shared" si="140"/>
        <v>244.2285</v>
      </c>
      <c r="AA96" s="814">
        <f t="shared" si="140"/>
        <v>277.20099999999996</v>
      </c>
      <c r="AB96" s="814">
        <f t="shared" si="140"/>
        <v>308.34174999999993</v>
      </c>
      <c r="AC96" s="814">
        <f t="shared" si="140"/>
        <v>337.41624999999999</v>
      </c>
      <c r="AD96" s="814">
        <f t="shared" si="140"/>
        <v>339.33750000000003</v>
      </c>
      <c r="AE96" s="814">
        <f t="shared" si="140"/>
        <v>330.8775</v>
      </c>
      <c r="AF96" s="815">
        <f t="shared" si="140"/>
        <v>317.05425000000002</v>
      </c>
      <c r="AG96" s="816">
        <f t="shared" ca="1" si="140"/>
        <v>305.52409226806014</v>
      </c>
      <c r="AH96" s="816">
        <f t="shared" ca="1" si="140"/>
        <v>299.11529017547252</v>
      </c>
      <c r="AI96" s="816">
        <f t="shared" ca="1" si="140"/>
        <v>297.78353022335023</v>
      </c>
      <c r="AJ96" s="816">
        <f t="shared" ca="1" si="140"/>
        <v>301.02183899715857</v>
      </c>
      <c r="AK96" s="816">
        <f t="shared" ca="1" si="140"/>
        <v>304.47819092997833</v>
      </c>
      <c r="AL96" s="816">
        <f t="shared" ca="1" si="140"/>
        <v>308.44245660567424</v>
      </c>
      <c r="AM96" s="816"/>
      <c r="AN96" s="813">
        <f t="shared" ref="AN96:BC96" si="141">INDEX(SP_BSR_TA_Avg,0,COLUMN())-INDEX(SP_BSR_CL_Avg,0,COLUMN())</f>
        <v>119.96500000000003</v>
      </c>
      <c r="AO96" s="813">
        <f t="shared" si="141"/>
        <v>127.33000000000003</v>
      </c>
      <c r="AP96" s="813">
        <f t="shared" si="141"/>
        <v>143.2525</v>
      </c>
      <c r="AQ96" s="813">
        <f t="shared" si="141"/>
        <v>163.45499999999998</v>
      </c>
      <c r="AR96" s="813">
        <f t="shared" si="141"/>
        <v>188.72399999999996</v>
      </c>
      <c r="AS96" s="813">
        <f t="shared" si="141"/>
        <v>195.48999999999998</v>
      </c>
      <c r="AT96" s="813">
        <f t="shared" si="141"/>
        <v>182.06400000000002</v>
      </c>
      <c r="AU96" s="813">
        <f t="shared" si="141"/>
        <v>189.131</v>
      </c>
      <c r="AV96" s="813">
        <f t="shared" si="141"/>
        <v>208.72049999999996</v>
      </c>
      <c r="AW96" s="813">
        <f t="shared" si="141"/>
        <v>266.22749999999996</v>
      </c>
      <c r="AX96" s="965">
        <f t="shared" si="141"/>
        <v>321.6225</v>
      </c>
      <c r="AY96" s="817">
        <f t="shared" ca="1" si="141"/>
        <v>312.64739581482485</v>
      </c>
      <c r="AZ96" s="817">
        <f t="shared" ca="1" si="141"/>
        <v>307.75832298104154</v>
      </c>
      <c r="BA96" s="817">
        <f t="shared" ca="1" si="141"/>
        <v>327.48872661618816</v>
      </c>
      <c r="BB96" s="817">
        <f t="shared" ca="1" si="141"/>
        <v>354.87348807280483</v>
      </c>
      <c r="BC96" s="817">
        <f t="shared" ca="1" si="141"/>
        <v>386.85982246482973</v>
      </c>
      <c r="BD96" s="684"/>
    </row>
    <row r="97" spans="1:56" s="61" customFormat="1" collapsed="1" x14ac:dyDescent="0.25">
      <c r="A97" s="266" t="s">
        <v>337</v>
      </c>
      <c r="B97" s="184"/>
      <c r="C97" s="485"/>
      <c r="D97" s="485"/>
      <c r="E97" s="485"/>
      <c r="F97" s="485">
        <f t="shared" ref="F97:AL97" si="142">IF(F96&lt;0,"NMF",IF(ABS(F93/F96)&gt;1,"NMF",F93/F96))</f>
        <v>0.19319147030897985</v>
      </c>
      <c r="G97" s="485">
        <f t="shared" si="142"/>
        <v>0.18436054532175641</v>
      </c>
      <c r="H97" s="485">
        <f t="shared" si="142"/>
        <v>0.19980864218517069</v>
      </c>
      <c r="I97" s="485">
        <f t="shared" si="142"/>
        <v>0.19515628574277549</v>
      </c>
      <c r="J97" s="485">
        <f t="shared" si="142"/>
        <v>0.2025302570913852</v>
      </c>
      <c r="K97" s="485">
        <f t="shared" si="142"/>
        <v>0.21223009223127084</v>
      </c>
      <c r="L97" s="485">
        <f t="shared" si="142"/>
        <v>0.19369710901929452</v>
      </c>
      <c r="M97" s="485">
        <f t="shared" si="142"/>
        <v>0.19034430193580992</v>
      </c>
      <c r="N97" s="485">
        <f t="shared" si="142"/>
        <v>0.18710472324138533</v>
      </c>
      <c r="O97" s="485">
        <f t="shared" si="142"/>
        <v>0.18105704835162681</v>
      </c>
      <c r="P97" s="485">
        <f t="shared" si="142"/>
        <v>0.18643453442739899</v>
      </c>
      <c r="Q97" s="485">
        <f t="shared" si="142"/>
        <v>0.18992830940000113</v>
      </c>
      <c r="R97" s="485">
        <f t="shared" si="142"/>
        <v>0.17709071269753313</v>
      </c>
      <c r="S97" s="485">
        <f t="shared" si="142"/>
        <v>0.1715755733909595</v>
      </c>
      <c r="T97" s="485">
        <f t="shared" si="142"/>
        <v>0.16744757312468728</v>
      </c>
      <c r="U97" s="485">
        <f t="shared" si="142"/>
        <v>0.13880379484462738</v>
      </c>
      <c r="V97" s="485">
        <f t="shared" si="142"/>
        <v>0.11528857280730141</v>
      </c>
      <c r="W97" s="485">
        <f t="shared" si="142"/>
        <v>9.9398496591325478E-2</v>
      </c>
      <c r="X97" s="485">
        <f t="shared" si="142"/>
        <v>8.9765207101683842E-2</v>
      </c>
      <c r="Y97" s="485">
        <f t="shared" si="142"/>
        <v>9.6313954193651269E-2</v>
      </c>
      <c r="Z97" s="485">
        <f t="shared" si="142"/>
        <v>7.4098641231469892E-2</v>
      </c>
      <c r="AA97" s="485">
        <f t="shared" si="142"/>
        <v>6.5526459139757992E-2</v>
      </c>
      <c r="AB97" s="485">
        <f t="shared" si="142"/>
        <v>5.341151498296963E-2</v>
      </c>
      <c r="AC97" s="485">
        <f t="shared" si="142"/>
        <v>4.5614282062586088E-2</v>
      </c>
      <c r="AD97" s="485">
        <f t="shared" si="142"/>
        <v>4.9643791210815018E-2</v>
      </c>
      <c r="AE97" s="485">
        <f t="shared" si="142"/>
        <v>3.6796095231618781E-2</v>
      </c>
      <c r="AF97" s="698">
        <f t="shared" si="142"/>
        <v>2.013535538476437E-2</v>
      </c>
      <c r="AG97" s="149">
        <f t="shared" ca="1" si="142"/>
        <v>1.3475205733981086E-2</v>
      </c>
      <c r="AH97" s="149">
        <f t="shared" ca="1" si="142"/>
        <v>1.600051938900331E-2</v>
      </c>
      <c r="AI97" s="149">
        <f t="shared" ca="1" si="142"/>
        <v>2.9143792651966698E-2</v>
      </c>
      <c r="AJ97" s="149">
        <f t="shared" ca="1" si="142"/>
        <v>3.9228385718922648E-2</v>
      </c>
      <c r="AK97" s="149">
        <f t="shared" ca="1" si="142"/>
        <v>4.2467740531779645E-2</v>
      </c>
      <c r="AL97" s="149">
        <f t="shared" ca="1" si="142"/>
        <v>5.0445554678913672E-2</v>
      </c>
      <c r="AM97" s="149"/>
      <c r="AN97" s="484">
        <f t="shared" ref="AN97:BC97" si="143">IF(AN96&lt;0,"NMF",IF(ABS(AN93/AN96)&gt;1,"NMF",AN93/AN96))</f>
        <v>0.11079064727212104</v>
      </c>
      <c r="AO97" s="484">
        <f t="shared" si="143"/>
        <v>0.15097777428728487</v>
      </c>
      <c r="AP97" s="484">
        <f t="shared" si="143"/>
        <v>0.18418526727282225</v>
      </c>
      <c r="AQ97" s="484">
        <f t="shared" si="143"/>
        <v>0.22312563090758933</v>
      </c>
      <c r="AR97" s="484">
        <f t="shared" si="143"/>
        <v>0.19433670333396957</v>
      </c>
      <c r="AS97" s="484">
        <f t="shared" si="143"/>
        <v>0.21723361808788189</v>
      </c>
      <c r="AT97" s="484">
        <f t="shared" si="143"/>
        <v>0.18808770542226891</v>
      </c>
      <c r="AU97" s="484">
        <f t="shared" si="143"/>
        <v>0.16686846682986939</v>
      </c>
      <c r="AV97" s="484">
        <f t="shared" si="143"/>
        <v>0.11789929594840967</v>
      </c>
      <c r="AW97" s="484">
        <f t="shared" si="143"/>
        <v>6.7975697476782032E-2</v>
      </c>
      <c r="AX97" s="972">
        <f t="shared" si="143"/>
        <v>5.2378176278089786E-2</v>
      </c>
      <c r="AY97" s="148">
        <f t="shared" ca="1" si="143"/>
        <v>1.5307979737130537E-2</v>
      </c>
      <c r="AZ97" s="148">
        <f t="shared" ca="1" si="143"/>
        <v>5.0557692995222579E-2</v>
      </c>
      <c r="BA97" s="148">
        <f t="shared" ca="1" si="143"/>
        <v>7.8179955641668269E-2</v>
      </c>
      <c r="BB97" s="148">
        <f t="shared" ca="1" si="143"/>
        <v>9.9690412130032574E-2</v>
      </c>
      <c r="BC97" s="148">
        <f t="shared" ca="1" si="143"/>
        <v>9.6795677192361554E-2</v>
      </c>
      <c r="BD97" s="312"/>
    </row>
    <row r="98" spans="1:56" x14ac:dyDescent="0.25">
      <c r="A98" s="247"/>
      <c r="B98" s="252"/>
      <c r="C98" s="822"/>
      <c r="D98" s="822"/>
      <c r="E98" s="822"/>
      <c r="F98" s="822"/>
      <c r="G98" s="822"/>
      <c r="H98" s="822"/>
      <c r="I98" s="822"/>
      <c r="J98" s="822"/>
      <c r="K98" s="822"/>
      <c r="L98" s="822"/>
      <c r="M98" s="822"/>
      <c r="N98" s="822"/>
      <c r="O98" s="822"/>
      <c r="P98" s="822"/>
      <c r="Q98" s="822"/>
      <c r="R98" s="822"/>
      <c r="S98" s="822"/>
      <c r="T98" s="822"/>
      <c r="U98" s="822"/>
      <c r="V98" s="822"/>
      <c r="W98" s="822"/>
      <c r="X98" s="822"/>
      <c r="Y98" s="822"/>
      <c r="Z98" s="822"/>
      <c r="AA98" s="822"/>
      <c r="AB98" s="822"/>
      <c r="AC98" s="822"/>
      <c r="AD98" s="822"/>
      <c r="AE98" s="822"/>
      <c r="AF98" s="823"/>
      <c r="AG98" s="824"/>
      <c r="AH98" s="824"/>
      <c r="AI98" s="824"/>
      <c r="AJ98" s="824"/>
      <c r="AK98" s="824"/>
      <c r="AL98" s="824"/>
      <c r="AM98" s="824"/>
      <c r="AN98" s="821"/>
      <c r="AO98" s="821"/>
      <c r="AP98" s="821"/>
      <c r="AQ98" s="821"/>
      <c r="AR98" s="821"/>
      <c r="AS98" s="821"/>
      <c r="AT98" s="821"/>
      <c r="AU98" s="821"/>
      <c r="AV98" s="821"/>
      <c r="AW98" s="821"/>
      <c r="AX98" s="967"/>
      <c r="AY98" s="825"/>
      <c r="AZ98" s="825"/>
      <c r="BA98" s="825"/>
      <c r="BB98" s="825"/>
      <c r="BC98" s="825"/>
      <c r="BD98" s="685"/>
    </row>
    <row r="99" spans="1:56" x14ac:dyDescent="0.25">
      <c r="A99" s="129" t="s">
        <v>338</v>
      </c>
      <c r="B99" s="686"/>
      <c r="C99" s="826"/>
      <c r="D99" s="826"/>
      <c r="E99" s="826"/>
      <c r="F99" s="826"/>
      <c r="G99" s="826"/>
      <c r="H99" s="826"/>
      <c r="I99" s="826"/>
      <c r="J99" s="826"/>
      <c r="K99" s="826"/>
      <c r="L99" s="826"/>
      <c r="M99" s="826"/>
      <c r="N99" s="826"/>
      <c r="O99" s="826"/>
      <c r="P99" s="826"/>
      <c r="Q99" s="826"/>
      <c r="R99" s="826"/>
      <c r="S99" s="826"/>
      <c r="T99" s="826"/>
      <c r="U99" s="826"/>
      <c r="V99" s="826"/>
      <c r="W99" s="826"/>
      <c r="X99" s="826"/>
      <c r="Y99" s="826"/>
      <c r="Z99" s="826"/>
      <c r="AA99" s="826"/>
      <c r="AB99" s="826"/>
      <c r="AC99" s="826"/>
      <c r="AD99" s="826"/>
      <c r="AE99" s="826"/>
      <c r="AF99" s="827"/>
      <c r="AG99" s="828"/>
      <c r="AH99" s="828"/>
      <c r="AI99" s="828"/>
      <c r="AJ99" s="828"/>
      <c r="AK99" s="828"/>
      <c r="AL99" s="828"/>
      <c r="AM99" s="828"/>
      <c r="AN99" s="826"/>
      <c r="AO99" s="826"/>
      <c r="AP99" s="826"/>
      <c r="AQ99" s="826"/>
      <c r="AR99" s="826"/>
      <c r="AS99" s="826"/>
      <c r="AT99" s="826"/>
      <c r="AU99" s="826"/>
      <c r="AV99" s="826"/>
      <c r="AW99" s="826"/>
      <c r="AX99" s="827"/>
      <c r="AY99" s="828"/>
      <c r="AZ99" s="828"/>
      <c r="BA99" s="828"/>
      <c r="BB99" s="828"/>
      <c r="BC99" s="828"/>
      <c r="BD99" s="684"/>
    </row>
    <row r="100" spans="1:56" s="60" customFormat="1" x14ac:dyDescent="0.25">
      <c r="A100" s="273" t="s">
        <v>339</v>
      </c>
      <c r="B100" s="254"/>
      <c r="C100" s="483"/>
      <c r="D100" s="483"/>
      <c r="E100" s="483"/>
      <c r="F100" s="483"/>
      <c r="G100" s="483" t="str">
        <f t="shared" ref="G100:AL100" si="144">IF(OR(INDEX(SP_GF_Rev,0,COLUMN())&lt;=0,INDEX(SP_GF_Rev,0,COLUMN()-5)&lt;=0),"NMF",IF(ABS((INDEX(SP_GF_Rev,0,COLUMN())/INDEX(SP_CS_ShareCount,0,COLUMN()))/(INDEX(SP_GF_Rev,0,COLUMN()-5)/INDEX(SP_CS_ShareCount,0,COLUMN()-5))-1)&gt;10,"NMF",(INDEX(SP_GF_Rev,0,COLUMN())/INDEX(SP_CS_ShareCount,0,COLUMN()))/(INDEX(SP_GF_Rev,0,COLUMN()-5)/INDEX(SP_CS_ShareCount,0,COLUMN()-5))-1))</f>
        <v>NMF</v>
      </c>
      <c r="H100" s="483">
        <f t="shared" si="144"/>
        <v>0.32274915017632022</v>
      </c>
      <c r="I100" s="483">
        <f t="shared" si="144"/>
        <v>0.17736952765204328</v>
      </c>
      <c r="J100" s="483">
        <f t="shared" si="144"/>
        <v>0.23797472884184812</v>
      </c>
      <c r="K100" s="483">
        <f t="shared" si="144"/>
        <v>0.10265069619109646</v>
      </c>
      <c r="L100" s="483">
        <f t="shared" si="144"/>
        <v>0.19307725152739708</v>
      </c>
      <c r="M100" s="483">
        <f t="shared" si="144"/>
        <v>2.4203570159895493E-2</v>
      </c>
      <c r="N100" s="483">
        <f t="shared" si="144"/>
        <v>0.15614619944509234</v>
      </c>
      <c r="O100" s="483">
        <f t="shared" si="144"/>
        <v>-4.7690403927182268E-2</v>
      </c>
      <c r="P100" s="483">
        <f t="shared" si="144"/>
        <v>0.12046736930453394</v>
      </c>
      <c r="Q100" s="483">
        <f t="shared" si="144"/>
        <v>5.8419521633890081E-3</v>
      </c>
      <c r="R100" s="483">
        <f t="shared" si="144"/>
        <v>6.3226093084651547E-2</v>
      </c>
      <c r="S100" s="483">
        <f t="shared" si="144"/>
        <v>-1.5524092668574019E-2</v>
      </c>
      <c r="T100" s="483">
        <f t="shared" si="144"/>
        <v>0.13294702828589022</v>
      </c>
      <c r="U100" s="483">
        <f t="shared" si="144"/>
        <v>-1.5312876567958988E-2</v>
      </c>
      <c r="V100" s="483">
        <f t="shared" si="144"/>
        <v>6.7254079086044083E-2</v>
      </c>
      <c r="W100" s="483">
        <f t="shared" si="144"/>
        <v>-1.139602220793634E-2</v>
      </c>
      <c r="X100" s="483">
        <f t="shared" si="144"/>
        <v>0.10761199127830379</v>
      </c>
      <c r="Y100" s="483">
        <f t="shared" si="144"/>
        <v>-4.6291229260961297E-2</v>
      </c>
      <c r="Z100" s="483">
        <f t="shared" si="144"/>
        <v>8.6391651300041117E-2</v>
      </c>
      <c r="AA100" s="483">
        <f t="shared" si="144"/>
        <v>7.4195552919747776E-2</v>
      </c>
      <c r="AB100" s="483">
        <f t="shared" si="144"/>
        <v>0.19022663404366336</v>
      </c>
      <c r="AC100" s="483">
        <f t="shared" si="144"/>
        <v>1.9001285383501321E-2</v>
      </c>
      <c r="AD100" s="483">
        <f t="shared" si="144"/>
        <v>0.22865426247466725</v>
      </c>
      <c r="AE100" s="483">
        <f t="shared" si="144"/>
        <v>-6.0772316633268986E-2</v>
      </c>
      <c r="AF100" s="696">
        <f t="shared" si="144"/>
        <v>-0.26125487195017316</v>
      </c>
      <c r="AG100" s="145">
        <f t="shared" ca="1" si="144"/>
        <v>-0.1515196982140945</v>
      </c>
      <c r="AH100" s="145">
        <f t="shared" ca="1" si="144"/>
        <v>4.1045046369130977E-2</v>
      </c>
      <c r="AI100" s="145">
        <f t="shared" ca="1" si="144"/>
        <v>-0.12632020594705107</v>
      </c>
      <c r="AJ100" s="145">
        <f t="shared" ca="1" si="144"/>
        <v>-1.2440591534491618E-2</v>
      </c>
      <c r="AK100" s="145">
        <f t="shared" ca="1" si="144"/>
        <v>0.24641995779318671</v>
      </c>
      <c r="AL100" s="145">
        <f t="shared" ca="1" si="144"/>
        <v>0.15161538461538449</v>
      </c>
      <c r="AM100" s="145"/>
      <c r="AN100" s="482"/>
      <c r="AO100" s="482">
        <f>IF(OR(INDEX(SP_GF_Rev,0,COLUMN())&lt;=0,INDEX(SP_GF_Rev,0,COLUMN()-1)&lt;=0),"NMF",IF(ABS((INDEX(SP_GF_Rev,0,COLUMN())/INDEX(SP_CS_ShareCount,0,COLUMN()))/(INDEX(SP_GF_Rev,0,COLUMN()-1)/INDEX(SP_CS_ShareCount,0,COLUMN()-1))-1)&gt;10,"NMF",(INDEX(SP_GF_Rev,0,COLUMN())/INDEX(SP_CS_ShareCount,0,COLUMN()))/(INDEX(SP_GF_Rev,0,COLUMN()-1)/INDEX(SP_CS_ShareCount,0,COLUMN()-1))-1))</f>
        <v>7.1932723015037947E-3</v>
      </c>
      <c r="AP100" s="482">
        <f>IF(OR(INDEX(SP_GF_Rev,0,COLUMN())&lt;=0,INDEX(SP_GF_Rev,0,COLUMN()-1)&lt;=0),"NMF",IF(ABS((INDEX(SP_GF_Rev,0,COLUMN())/INDEX(SP_CS_ShareCount,0,COLUMN()))/(INDEX(SP_GF_Rev,0,COLUMN()-1)/INDEX(SP_CS_ShareCount,0,COLUMN()-1))-1)&gt;10,"NMF",(INDEX(SP_GF_Rev,0,COLUMN())/INDEX(SP_CS_ShareCount,0,COLUMN()))/(INDEX(SP_GF_Rev,0,COLUMN()-1)/INDEX(SP_CS_ShareCount,0,COLUMN()-1))-1))</f>
        <v>0.26282952612138866</v>
      </c>
      <c r="AQ100" s="482">
        <f>IF(OR(INDEX(SP_GF_Rev,0,COLUMN())&lt;=0,INDEX(SP_GF_Rev,0,COLUMN()-1)&lt;=0),"NMF",IF(ABS((INDEX(SP_GF_Rev,0,COLUMN())/INDEX(SP_CS_ShareCount,0,COLUMN()))/(INDEX(SP_GF_Rev,0,COLUMN()-1)/INDEX(SP_CS_ShareCount,0,COLUMN()-1))-1)&gt;10,"NMF",(INDEX(SP_GF_Rev,0,COLUMN())/INDEX(SP_CS_ShareCount,0,COLUMN()))/(INDEX(SP_GF_Rev,0,COLUMN()-1)/INDEX(SP_CS_ShareCount,0,COLUMN()-1))-1))</f>
        <v>0.18874629257119957</v>
      </c>
      <c r="AR100" s="482" t="str">
        <f t="shared" ref="AR100:AZ100" si="145">IF(OR(INDEX(SP_GF_Rev,0,COLUMN())&lt;=0,INDEX(SP_GF_Rev,0,COLUMN()-5)&lt;=0),"NMF",IF(ABS((INDEX(SP_GF_Rev,0,COLUMN())/INDEX(SP_CS_ShareCount,0,COLUMN()))/(INDEX(SP_GF_Rev,0,COLUMN()-5)/INDEX(SP_CS_ShareCount,0,COLUMN()-5))-1)&gt;10,"NMF",(INDEX(SP_GF_Rev,0,COLUMN())/INDEX(SP_CS_ShareCount,0,COLUMN()))/(INDEX(SP_GF_Rev,0,COLUMN()-5)/INDEX(SP_CS_ShareCount,0,COLUMN()-5))-1))</f>
        <v>NMF</v>
      </c>
      <c r="AS100" s="482">
        <f t="shared" si="145"/>
        <v>0.92842761456673051</v>
      </c>
      <c r="AT100" s="482">
        <f t="shared" si="145"/>
        <v>1.0462920465343535</v>
      </c>
      <c r="AU100" s="482">
        <f t="shared" si="145"/>
        <v>0.66699702536950989</v>
      </c>
      <c r="AV100" s="482">
        <f t="shared" si="145"/>
        <v>0.44855128165133973</v>
      </c>
      <c r="AW100" s="482">
        <f t="shared" si="145"/>
        <v>0.36806792848115633</v>
      </c>
      <c r="AX100" s="970">
        <f t="shared" si="145"/>
        <v>0.30189375274716945</v>
      </c>
      <c r="AY100" s="144">
        <f t="shared" ca="1" si="145"/>
        <v>4.7954201809214947E-2</v>
      </c>
      <c r="AZ100" s="144">
        <f t="shared" ca="1" si="145"/>
        <v>8.7344511226966404E-2</v>
      </c>
      <c r="BA100" s="144">
        <f ca="1">IF(OR(INDEX(SP_GF_Rev,0,COLUMN())&lt;=0,INDEX(SP_GF_Rev,0,COLUMN()-1)&lt;=0),"NMF",IF(ABS((INDEX(SP_GF_Rev,0,COLUMN())/INDEX(SP_CS_ShareCount,0,COLUMN()))/(INDEX(SP_GF_Rev,0,COLUMN()-1)/INDEX(SP_CS_ShareCount,0,COLUMN()-1))-1)&gt;10,"NMF",(INDEX(SP_GF_Rev,0,COLUMN())/INDEX(SP_CS_ShareCount,0,COLUMN()))/(INDEX(SP_GF_Rev,0,COLUMN()-1)/INDEX(SP_CS_ShareCount,0,COLUMN()-1))-1))</f>
        <v>0.10000000000000009</v>
      </c>
      <c r="BB100" s="144">
        <f ca="1">IF(OR(INDEX(SP_GF_Rev,0,COLUMN())&lt;=0,INDEX(SP_GF_Rev,0,COLUMN()-1)&lt;=0),"NMF",IF(ABS((INDEX(SP_GF_Rev,0,COLUMN())/INDEX(SP_CS_ShareCount,0,COLUMN()))/(INDEX(SP_GF_Rev,0,COLUMN()-1)/INDEX(SP_CS_ShareCount,0,COLUMN()-1))-1)&gt;10,"NMF",(INDEX(SP_GF_Rev,0,COLUMN())/INDEX(SP_CS_ShareCount,0,COLUMN()))/(INDEX(SP_GF_Rev,0,COLUMN()-1)/INDEX(SP_CS_ShareCount,0,COLUMN()-1))-1))</f>
        <v>0.10000000000000009</v>
      </c>
      <c r="BC100" s="144">
        <f ca="1">IF(OR(INDEX(SP_GF_Rev,0,COLUMN())&lt;=0,INDEX(SP_GF_Rev,0,COLUMN()-1)&lt;=0),"NMF",IF(ABS((INDEX(SP_GF_Rev,0,COLUMN())/INDEX(SP_CS_ShareCount,0,COLUMN()))/(INDEX(SP_GF_Rev,0,COLUMN()-1)/INDEX(SP_CS_ShareCount,0,COLUMN()-1))-1)&gt;10,"NMF",(INDEX(SP_GF_Rev,0,COLUMN())/INDEX(SP_CS_ShareCount,0,COLUMN()))/(INDEX(SP_GF_Rev,0,COLUMN()-1)/INDEX(SP_CS_ShareCount,0,COLUMN()-1))-1))</f>
        <v>4.9999999999999822E-2</v>
      </c>
      <c r="BD100" s="263"/>
    </row>
    <row r="101" spans="1:56" s="60" customFormat="1" x14ac:dyDescent="0.25">
      <c r="A101" s="273" t="s">
        <v>340</v>
      </c>
      <c r="B101" s="254"/>
      <c r="C101" s="483"/>
      <c r="D101" s="483"/>
      <c r="E101" s="483"/>
      <c r="F101" s="483"/>
      <c r="G101" s="483" t="str">
        <f t="shared" ref="G101:AL101" si="146">IF(OR(INDEX(SP_NGF_EBITDA,0,COLUMN())&lt;=0,INDEX(SP_NGF_EBITDA,0,COLUMN()-5)&lt;=0),"NMF",IF(ABS((INDEX(SP_NGF_EBITDA,0,COLUMN())/INDEX(SP_CS_ShareCount,0,COLUMN()))/(INDEX(SP_NGF_EBITDA,0,COLUMN()-5)/INDEX(SP_CS_ShareCount,0,COLUMN()-5))-1)&gt;10,"NMF",(INDEX(SP_NGF_EBITDA,0,COLUMN())/INDEX(SP_CS_ShareCount,0,COLUMN()))/(INDEX(SP_NGF_EBITDA,0,COLUMN()-5)/INDEX(SP_CS_ShareCount,0,COLUMN()-5))-1))</f>
        <v>NMF</v>
      </c>
      <c r="H101" s="483">
        <f t="shared" si="146"/>
        <v>0.66934998727081418</v>
      </c>
      <c r="I101" s="483">
        <f t="shared" si="146"/>
        <v>0.28558148772080405</v>
      </c>
      <c r="J101" s="483">
        <f t="shared" si="146"/>
        <v>0.21956226621189634</v>
      </c>
      <c r="K101" s="483">
        <f t="shared" si="146"/>
        <v>-0.23716572165977068</v>
      </c>
      <c r="L101" s="483">
        <f t="shared" si="146"/>
        <v>0.1622739059469831</v>
      </c>
      <c r="M101" s="483">
        <f t="shared" si="146"/>
        <v>-0.37579138638460585</v>
      </c>
      <c r="N101" s="483">
        <f t="shared" si="146"/>
        <v>1.2464239590849413E-2</v>
      </c>
      <c r="O101" s="483">
        <f t="shared" si="146"/>
        <v>-0.33910498013664947</v>
      </c>
      <c r="P101" s="483">
        <f t="shared" si="146"/>
        <v>0.11825453152894005</v>
      </c>
      <c r="Q101" s="483">
        <f t="shared" si="146"/>
        <v>1.5005487216212199E-2</v>
      </c>
      <c r="R101" s="483">
        <f t="shared" si="146"/>
        <v>0.27744485539664909</v>
      </c>
      <c r="S101" s="483">
        <f t="shared" si="146"/>
        <v>-0.25833739444423687</v>
      </c>
      <c r="T101" s="483">
        <f t="shared" si="146"/>
        <v>0.46182566294904692</v>
      </c>
      <c r="U101" s="483">
        <f t="shared" si="146"/>
        <v>8.0080781361845821E-2</v>
      </c>
      <c r="V101" s="483">
        <f t="shared" si="146"/>
        <v>9.5053074628127066E-2</v>
      </c>
      <c r="W101" s="483">
        <f t="shared" si="146"/>
        <v>-0.32608547350135675</v>
      </c>
      <c r="X101" s="483">
        <f t="shared" si="146"/>
        <v>0.22379595184730539</v>
      </c>
      <c r="Y101" s="483">
        <f t="shared" si="146"/>
        <v>-0.28573622555839528</v>
      </c>
      <c r="Z101" s="483">
        <f t="shared" si="146"/>
        <v>-0.38636137782366597</v>
      </c>
      <c r="AA101" s="483">
        <f t="shared" si="146"/>
        <v>-0.27251046898418063</v>
      </c>
      <c r="AB101" s="483">
        <f t="shared" si="146"/>
        <v>0.27650879692373542</v>
      </c>
      <c r="AC101" s="483">
        <f t="shared" si="146"/>
        <v>-0.10406735385005506</v>
      </c>
      <c r="AD101" s="483">
        <f t="shared" si="146"/>
        <v>9.1062396784610922E-2</v>
      </c>
      <c r="AE101" s="483">
        <f t="shared" si="146"/>
        <v>-0.5555725549813495</v>
      </c>
      <c r="AF101" s="696">
        <f t="shared" si="146"/>
        <v>-0.33773501127866301</v>
      </c>
      <c r="AG101" s="145">
        <f t="shared" ca="1" si="146"/>
        <v>-0.44582231036727615</v>
      </c>
      <c r="AH101" s="145">
        <f t="shared" ca="1" si="146"/>
        <v>-0.29494383822163261</v>
      </c>
      <c r="AI101" s="145">
        <f t="shared" ca="1" si="146"/>
        <v>-0.45994029517490953</v>
      </c>
      <c r="AJ101" s="145">
        <f t="shared" ca="1" si="146"/>
        <v>0.91460003192893624</v>
      </c>
      <c r="AK101" s="145">
        <f t="shared" ca="1" si="146"/>
        <v>0.17845922459893071</v>
      </c>
      <c r="AL101" s="145">
        <f t="shared" ca="1" si="146"/>
        <v>0.74267284991568383</v>
      </c>
      <c r="AM101" s="145"/>
      <c r="AN101" s="482"/>
      <c r="AO101" s="482">
        <f>IF(OR(INDEX(SP_NGF_EBITDA,0,COLUMN())&lt;=0,INDEX(SP_NGF_EBITDA,0,COLUMN()-1)&lt;=0),"NMF",IF(ABS((INDEX(SP_NGF_EBITDA,0,COLUMN())/INDEX(SP_CS_ShareCount,0,COLUMN()))/(INDEX(SP_NGF_EBITDA,0,COLUMN()-1)/INDEX(SP_CS_ShareCount,0,COLUMN()-1))-1)&gt;10,"NMF",(INDEX(SP_NGF_EBITDA,0,COLUMN())/INDEX(SP_CS_ShareCount,0,COLUMN()))/(INDEX(SP_NGF_EBITDA,0,COLUMN()-1)/INDEX(SP_CS_ShareCount,0,COLUMN()-1))-1))</f>
        <v>0.23545349986365549</v>
      </c>
      <c r="AP101" s="482">
        <f>IF(OR(INDEX(SP_NGF_EBITDA,0,COLUMN())&lt;=0,INDEX(SP_NGF_EBITDA,0,COLUMN()-1)&lt;=0),"NMF",IF(ABS((INDEX(SP_NGF_EBITDA,0,COLUMN())/INDEX(SP_CS_ShareCount,0,COLUMN()))/(INDEX(SP_NGF_EBITDA,0,COLUMN()-1)/INDEX(SP_CS_ShareCount,0,COLUMN()-1))-1)&gt;10,"NMF",(INDEX(SP_NGF_EBITDA,0,COLUMN())/INDEX(SP_CS_ShareCount,0,COLUMN()))/(INDEX(SP_NGF_EBITDA,0,COLUMN()-1)/INDEX(SP_CS_ShareCount,0,COLUMN()-1))-1))</f>
        <v>0.36578726546949825</v>
      </c>
      <c r="AQ101" s="482">
        <f>IF(OR(INDEX(SP_NGF_EBITDA,0,COLUMN())&lt;=0,INDEX(SP_NGF_EBITDA,0,COLUMN()-1)&lt;=0),"NMF",IF(ABS((INDEX(SP_NGF_EBITDA,0,COLUMN())/INDEX(SP_CS_ShareCount,0,COLUMN()))/(INDEX(SP_NGF_EBITDA,0,COLUMN()-1)/INDEX(SP_CS_ShareCount,0,COLUMN()-1))-1)&gt;10,"NMF",(INDEX(SP_NGF_EBITDA,0,COLUMN())/INDEX(SP_CS_ShareCount,0,COLUMN()))/(INDEX(SP_NGF_EBITDA,0,COLUMN()-1)/INDEX(SP_CS_ShareCount,0,COLUMN()-1))-1))</f>
        <v>0.24057839139852089</v>
      </c>
      <c r="AR101" s="482" t="str">
        <f t="shared" ref="AR101:AZ101" si="147">IF(OR(INDEX(SP_NGF_EBITDA,0,COLUMN())&lt;=0,INDEX(SP_NGF_EBITDA,0,COLUMN()-5)&lt;=0),"NMF",IF(ABS((INDEX(SP_NGF_EBITDA,0,COLUMN())/INDEX(SP_CS_ShareCount,0,COLUMN()))/(INDEX(SP_NGF_EBITDA,0,COLUMN()-5)/INDEX(SP_CS_ShareCount,0,COLUMN()-5))-1)&gt;10,"NMF",(INDEX(SP_NGF_EBITDA,0,COLUMN())/INDEX(SP_CS_ShareCount,0,COLUMN()))/(INDEX(SP_NGF_EBITDA,0,COLUMN()-5)/INDEX(SP_CS_ShareCount,0,COLUMN()-5))-1))</f>
        <v>NMF</v>
      </c>
      <c r="AS101" s="482">
        <f t="shared" si="147"/>
        <v>1.6105822238003027</v>
      </c>
      <c r="AT101" s="482">
        <f t="shared" si="147"/>
        <v>0.78340761509264123</v>
      </c>
      <c r="AU101" s="482">
        <f t="shared" si="147"/>
        <v>0.13744331331343895</v>
      </c>
      <c r="AV101" s="482">
        <f t="shared" si="147"/>
        <v>0.18092599513069829</v>
      </c>
      <c r="AW101" s="482">
        <f t="shared" si="147"/>
        <v>-0.14024035435784221</v>
      </c>
      <c r="AX101" s="970">
        <f t="shared" si="147"/>
        <v>-0.2128669990718135</v>
      </c>
      <c r="AY101" s="144">
        <f t="shared" ca="1" si="147"/>
        <v>-0.48473996269247766</v>
      </c>
      <c r="AZ101" s="144">
        <f t="shared" ca="1" si="147"/>
        <v>-0.23194507941149844</v>
      </c>
      <c r="BA101" s="144">
        <f ca="1">IF(OR(INDEX(SP_NGF_EBITDA,0,COLUMN())&lt;=0,INDEX(SP_NGF_EBITDA,0,COLUMN()-1)&lt;=0),"NMF",IF(ABS((INDEX(SP_NGF_EBITDA,0,COLUMN())/INDEX(SP_CS_ShareCount,0,COLUMN()))/(INDEX(SP_NGF_EBITDA,0,COLUMN()-1)/INDEX(SP_CS_ShareCount,0,COLUMN()-1))-1)&gt;10,"NMF",(INDEX(SP_NGF_EBITDA,0,COLUMN())/INDEX(SP_CS_ShareCount,0,COLUMN()))/(INDEX(SP_NGF_EBITDA,0,COLUMN()-1)/INDEX(SP_CS_ShareCount,0,COLUMN()-1))-1))</f>
        <v>0.33523544373861802</v>
      </c>
      <c r="BB101" s="144">
        <f ca="1">IF(OR(INDEX(SP_NGF_EBITDA,0,COLUMN())&lt;=0,INDEX(SP_NGF_EBITDA,0,COLUMN()-1)&lt;=0),"NMF",IF(ABS((INDEX(SP_NGF_EBITDA,0,COLUMN())/INDEX(SP_CS_ShareCount,0,COLUMN()))/(INDEX(SP_NGF_EBITDA,0,COLUMN()-1)/INDEX(SP_CS_ShareCount,0,COLUMN()-1))-1)&gt;10,"NMF",(INDEX(SP_NGF_EBITDA,0,COLUMN())/INDEX(SP_CS_ShareCount,0,COLUMN()))/(INDEX(SP_NGF_EBITDA,0,COLUMN()-1)/INDEX(SP_CS_ShareCount,0,COLUMN()-1))-1))</f>
        <v>0.24434209774781301</v>
      </c>
      <c r="BC101" s="144">
        <f ca="1">IF(OR(INDEX(SP_NGF_EBITDA,0,COLUMN())&lt;=0,INDEX(SP_NGF_EBITDA,0,COLUMN()-1)&lt;=0),"NMF",IF(ABS((INDEX(SP_NGF_EBITDA,0,COLUMN())/INDEX(SP_CS_ShareCount,0,COLUMN()))/(INDEX(SP_NGF_EBITDA,0,COLUMN()-1)/INDEX(SP_CS_ShareCount,0,COLUMN()-1))-1)&gt;10,"NMF",(INDEX(SP_NGF_EBITDA,0,COLUMN())/INDEX(SP_CS_ShareCount,0,COLUMN()))/(INDEX(SP_NGF_EBITDA,0,COLUMN()-1)/INDEX(SP_CS_ShareCount,0,COLUMN()-1))-1))</f>
        <v>4.1562450250847371E-2</v>
      </c>
      <c r="BD101" s="263"/>
    </row>
    <row r="102" spans="1:56" s="60" customFormat="1" x14ac:dyDescent="0.25">
      <c r="A102" s="273" t="s">
        <v>341</v>
      </c>
      <c r="B102" s="254"/>
      <c r="C102" s="483"/>
      <c r="D102" s="483"/>
      <c r="E102" s="483"/>
      <c r="F102" s="483"/>
      <c r="G102" s="483" t="str">
        <f t="shared" ref="G102:AL102" si="148">IF(OR(INDEX(SP_NGF_NI,0,COLUMN())&lt;=0,INDEX(SP_NGF_NI,0,COLUMN()-5)&lt;=0),"NMF",IF(ABS((INDEX(SP_NGF_NI,0,COLUMN())/INDEX(SP_CS_ShareCount,0,COLUMN()))/(INDEX(SP_NGF_NI,0,COLUMN()-5)/INDEX(SP_CS_ShareCount,0,COLUMN()-5))-1)&gt;10,"NMF",(INDEX(SP_NGF_NI,0,COLUMN())/INDEX(SP_CS_ShareCount,0,COLUMN()))/(INDEX(SP_NGF_NI,0,COLUMN()-5)/INDEX(SP_CS_ShareCount,0,COLUMN()-5))-1))</f>
        <v>NMF</v>
      </c>
      <c r="H102" s="483">
        <f t="shared" si="148"/>
        <v>0.63721282016756664</v>
      </c>
      <c r="I102" s="483">
        <f t="shared" si="148"/>
        <v>0.3765401570247815</v>
      </c>
      <c r="J102" s="483">
        <f t="shared" si="148"/>
        <v>0.35269478445609548</v>
      </c>
      <c r="K102" s="483">
        <f t="shared" si="148"/>
        <v>-0.38101399117056289</v>
      </c>
      <c r="L102" s="483">
        <f t="shared" si="148"/>
        <v>0.22208633000761235</v>
      </c>
      <c r="M102" s="483">
        <f t="shared" si="148"/>
        <v>-0.48514018666511594</v>
      </c>
      <c r="N102" s="483">
        <f t="shared" si="148"/>
        <v>-2.2397413060995741E-2</v>
      </c>
      <c r="O102" s="483">
        <f t="shared" si="148"/>
        <v>-0.47278881948129969</v>
      </c>
      <c r="P102" s="483">
        <f t="shared" si="148"/>
        <v>0.23050808147805735</v>
      </c>
      <c r="Q102" s="483">
        <f t="shared" si="148"/>
        <v>5.558971561063486E-2</v>
      </c>
      <c r="R102" s="483">
        <f t="shared" si="148"/>
        <v>0.86030879738483179</v>
      </c>
      <c r="S102" s="483">
        <f t="shared" si="148"/>
        <v>-0.2808974785927234</v>
      </c>
      <c r="T102" s="483">
        <f t="shared" si="148"/>
        <v>0.80846405056483572</v>
      </c>
      <c r="U102" s="483">
        <f t="shared" si="148"/>
        <v>0.28189655642651856</v>
      </c>
      <c r="V102" s="483">
        <f t="shared" si="148"/>
        <v>0.35999096884250048</v>
      </c>
      <c r="W102" s="483">
        <f t="shared" si="148"/>
        <v>-0.60652843206403095</v>
      </c>
      <c r="X102" s="483">
        <f t="shared" si="148"/>
        <v>0.27692368975360826</v>
      </c>
      <c r="Y102" s="483">
        <f t="shared" si="148"/>
        <v>-0.35074683964632092</v>
      </c>
      <c r="Z102" s="483">
        <f t="shared" si="148"/>
        <v>-0.69769112339208217</v>
      </c>
      <c r="AA102" s="483">
        <f t="shared" si="148"/>
        <v>-0.5897117568708341</v>
      </c>
      <c r="AB102" s="483">
        <f t="shared" si="148"/>
        <v>0.40863868550996751</v>
      </c>
      <c r="AC102" s="483">
        <f t="shared" si="148"/>
        <v>-0.29507742102305556</v>
      </c>
      <c r="AD102" s="483">
        <f t="shared" si="148"/>
        <v>-0.1404019663220506</v>
      </c>
      <c r="AE102" s="483" t="str">
        <f t="shared" si="148"/>
        <v>NMF</v>
      </c>
      <c r="AF102" s="696">
        <f t="shared" si="148"/>
        <v>-0.22009639747082299</v>
      </c>
      <c r="AG102" s="145">
        <f t="shared" ca="1" si="148"/>
        <v>-0.62325597679812161</v>
      </c>
      <c r="AH102" s="145">
        <f t="shared" ca="1" si="148"/>
        <v>-0.31498645292297667</v>
      </c>
      <c r="AI102" s="145">
        <f t="shared" ca="1" si="148"/>
        <v>-0.61919186074745536</v>
      </c>
      <c r="AJ102" s="145" t="str">
        <f t="shared" ca="1" si="148"/>
        <v>NMF</v>
      </c>
      <c r="AK102" s="145">
        <f t="shared" ca="1" si="148"/>
        <v>7.0701350415030229E-2</v>
      </c>
      <c r="AL102" s="145">
        <f t="shared" ca="1" si="148"/>
        <v>2.3319882897125379</v>
      </c>
      <c r="AM102" s="145"/>
      <c r="AN102" s="482"/>
      <c r="AO102" s="482" t="str">
        <f>IF(OR(INDEX(SP_NGF_NI,0,COLUMN())&lt;=0,INDEX(SP_NGF_NI,0,COLUMN()-1)&lt;=0),"NMF",IF(ABS((INDEX(SP_NGF_NI,0,COLUMN())/INDEX(SP_CS_ShareCount,0,COLUMN()))/(INDEX(SP_NGF_NI,0,COLUMN()-1)/INDEX(SP_CS_ShareCount,0,COLUMN()-1))-1)&gt;10,"NMF",(INDEX(SP_NGF_NI,0,COLUMN())/INDEX(SP_CS_ShareCount,0,COLUMN()))/(INDEX(SP_NGF_NI,0,COLUMN()-1)/INDEX(SP_CS_ShareCount,0,COLUMN()-1))-1))</f>
        <v>NMF</v>
      </c>
      <c r="AP102" s="482">
        <f>IF(OR(INDEX(SP_NGF_NI,0,COLUMN())&lt;=0,INDEX(SP_NGF_NI,0,COLUMN()-1)&lt;=0),"NMF",IF(ABS((INDEX(SP_NGF_NI,0,COLUMN())/INDEX(SP_CS_ShareCount,0,COLUMN()))/(INDEX(SP_NGF_NI,0,COLUMN()-1)/INDEX(SP_CS_ShareCount,0,COLUMN()-1))-1)&gt;10,"NMF",(INDEX(SP_NGF_NI,0,COLUMN())/INDEX(SP_CS_ShareCount,0,COLUMN()))/(INDEX(SP_NGF_NI,0,COLUMN()-1)/INDEX(SP_CS_ShareCount,0,COLUMN()-1))-1))</f>
        <v>0.38202944925558691</v>
      </c>
      <c r="AQ102" s="482">
        <f>IF(OR(INDEX(SP_NGF_NI,0,COLUMN())&lt;=0,INDEX(SP_NGF_NI,0,COLUMN()-1)&lt;=0),"NMF",IF(ABS((INDEX(SP_NGF_NI,0,COLUMN())/INDEX(SP_CS_ShareCount,0,COLUMN()))/(INDEX(SP_NGF_NI,0,COLUMN()-1)/INDEX(SP_CS_ShareCount,0,COLUMN()-1))-1)&gt;10,"NMF",(INDEX(SP_NGF_NI,0,COLUMN())/INDEX(SP_CS_ShareCount,0,COLUMN()))/(INDEX(SP_NGF_NI,0,COLUMN()-1)/INDEX(SP_CS_ShareCount,0,COLUMN()-1))-1))</f>
        <v>0.25285984229553415</v>
      </c>
      <c r="AR102" s="482" t="str">
        <f t="shared" ref="AR102:AZ102" si="149">IF(OR(INDEX(SP_NGF_NI,0,COLUMN())&lt;=0,INDEX(SP_NGF_NI,0,COLUMN()-5)&lt;=0),"NMF",IF(ABS((INDEX(SP_NGF_NI,0,COLUMN())/INDEX(SP_CS_ShareCount,0,COLUMN()))/(INDEX(SP_NGF_NI,0,COLUMN()-5)/INDEX(SP_CS_ShareCount,0,COLUMN()-5))-1)&gt;10,"NMF",(INDEX(SP_NGF_NI,0,COLUMN())/INDEX(SP_CS_ShareCount,0,COLUMN()))/(INDEX(SP_NGF_NI,0,COLUMN()-5)/INDEX(SP_CS_ShareCount,0,COLUMN()-5))-1))</f>
        <v>NMF</v>
      </c>
      <c r="AS102" s="482" t="str">
        <f t="shared" si="149"/>
        <v>NMF</v>
      </c>
      <c r="AT102" s="482">
        <f t="shared" si="149"/>
        <v>0.60095895890529327</v>
      </c>
      <c r="AU102" s="482">
        <f t="shared" si="149"/>
        <v>0.29411112396038841</v>
      </c>
      <c r="AV102" s="482">
        <f t="shared" si="149"/>
        <v>0.21828199867829601</v>
      </c>
      <c r="AW102" s="482">
        <f t="shared" si="149"/>
        <v>-0.26718208873749705</v>
      </c>
      <c r="AX102" s="970">
        <f t="shared" si="149"/>
        <v>-0.41394662922916381</v>
      </c>
      <c r="AY102" s="144">
        <f t="shared" ca="1" si="149"/>
        <v>-0.68274579237362465</v>
      </c>
      <c r="AZ102" s="144">
        <f t="shared" ca="1" si="149"/>
        <v>-0.49671605547461906</v>
      </c>
      <c r="BA102" s="144">
        <f ca="1">IF(OR(INDEX(SP_NGF_NI,0,COLUMN())&lt;=0,INDEX(SP_NGF_NI,0,COLUMN()-1)&lt;=0),"NMF",IF(ABS((INDEX(SP_NGF_NI,0,COLUMN())/INDEX(SP_CS_ShareCount,0,COLUMN()))/(INDEX(SP_NGF_NI,0,COLUMN()-1)/INDEX(SP_CS_ShareCount,0,COLUMN()-1))-1)&gt;10,"NMF",(INDEX(SP_NGF_NI,0,COLUMN())/INDEX(SP_CS_ShareCount,0,COLUMN()))/(INDEX(SP_NGF_NI,0,COLUMN()-1)/INDEX(SP_CS_ShareCount,0,COLUMN()-1))-1))</f>
        <v>0.72618863093035602</v>
      </c>
      <c r="BB102" s="144">
        <f ca="1">IF(OR(INDEX(SP_NGF_NI,0,COLUMN())&lt;=0,INDEX(SP_NGF_NI,0,COLUMN()-1)&lt;=0),"NMF",IF(ABS((INDEX(SP_NGF_NI,0,COLUMN())/INDEX(SP_CS_ShareCount,0,COLUMN()))/(INDEX(SP_NGF_NI,0,COLUMN()-1)/INDEX(SP_CS_ShareCount,0,COLUMN()-1))-1)&gt;10,"NMF",(INDEX(SP_NGF_NI,0,COLUMN())/INDEX(SP_CS_ShareCount,0,COLUMN()))/(INDEX(SP_NGF_NI,0,COLUMN()-1)/INDEX(SP_CS_ShareCount,0,COLUMN()-1))-1))</f>
        <v>0.41066159100945487</v>
      </c>
      <c r="BC102" s="144">
        <f ca="1">IF(OR(INDEX(SP_NGF_NI,0,COLUMN())&lt;=0,INDEX(SP_NGF_NI,0,COLUMN()-1)&lt;=0),"NMF",IF(ABS((INDEX(SP_NGF_NI,0,COLUMN())/INDEX(SP_CS_ShareCount,0,COLUMN()))/(INDEX(SP_NGF_NI,0,COLUMN()-1)/INDEX(SP_CS_ShareCount,0,COLUMN()-1))-1)&gt;10,"NMF",(INDEX(SP_NGF_NI,0,COLUMN())/INDEX(SP_CS_ShareCount,0,COLUMN()))/(INDEX(SP_NGF_NI,0,COLUMN()-1)/INDEX(SP_CS_ShareCount,0,COLUMN()-1))-1))</f>
        <v>6.317727305659937E-2</v>
      </c>
      <c r="BD102" s="263"/>
    </row>
    <row r="103" spans="1:56" s="60" customFormat="1" x14ac:dyDescent="0.25">
      <c r="A103" s="273" t="s">
        <v>342</v>
      </c>
      <c r="B103" s="254"/>
      <c r="C103" s="483"/>
      <c r="D103" s="483"/>
      <c r="E103" s="483"/>
      <c r="F103" s="483"/>
      <c r="G103" s="483" t="str">
        <f t="shared" ref="G103:AL103" si="150">IF(OR(INDEX(SP_CFA_CFO_BeforeWC,0,COLUMN())&lt;=0,INDEX(SP_CFA_CFO_BeforeWC,0,COLUMN()-5)&lt;=0),"NMF",IF(ABS((INDEX(SP_CFA_CFO_BeforeWC,0,COLUMN())/INDEX(SP_CS_ShareCount,0,COLUMN()))/(INDEX(SP_CFA_CFO_BeforeWC,0,COLUMN()-5)/INDEX(SP_CS_ShareCount,0,COLUMN()-5))-1)&gt;10,"NMF",(INDEX(SP_CFA_CFO_BeforeWC,0,COLUMN())/INDEX(SP_CS_ShareCount,0,COLUMN()))/(INDEX(SP_CFA_CFO_BeforeWC,0,COLUMN()-5)/INDEX(SP_CS_ShareCount,0,COLUMN()-5))-1))</f>
        <v>NMF</v>
      </c>
      <c r="H103" s="483">
        <f t="shared" si="150"/>
        <v>0.54603621408072622</v>
      </c>
      <c r="I103" s="483">
        <f t="shared" si="150"/>
        <v>0.30580551489329055</v>
      </c>
      <c r="J103" s="483">
        <f t="shared" si="150"/>
        <v>0.27911925015890149</v>
      </c>
      <c r="K103" s="483">
        <f t="shared" si="150"/>
        <v>-6.8640833687549363E-2</v>
      </c>
      <c r="L103" s="483">
        <f t="shared" si="150"/>
        <v>0.25043503502680764</v>
      </c>
      <c r="M103" s="483">
        <f t="shared" si="150"/>
        <v>-0.28015426200747373</v>
      </c>
      <c r="N103" s="483">
        <f t="shared" si="150"/>
        <v>-8.2153537990643621E-2</v>
      </c>
      <c r="O103" s="483">
        <f t="shared" si="150"/>
        <v>-0.3023799223335214</v>
      </c>
      <c r="P103" s="483">
        <f t="shared" si="150"/>
        <v>5.6766526219438784E-2</v>
      </c>
      <c r="Q103" s="483">
        <f t="shared" si="150"/>
        <v>-0.22036061647764749</v>
      </c>
      <c r="R103" s="483">
        <f t="shared" si="150"/>
        <v>0.36423154814324854</v>
      </c>
      <c r="S103" s="483">
        <f t="shared" si="150"/>
        <v>-0.18820431694876227</v>
      </c>
      <c r="T103" s="483">
        <f t="shared" si="150"/>
        <v>0.23323295834442104</v>
      </c>
      <c r="U103" s="483">
        <f t="shared" si="150"/>
        <v>-0.16356831848190478</v>
      </c>
      <c r="V103" s="483">
        <f t="shared" si="150"/>
        <v>-0.71947969782811316</v>
      </c>
      <c r="W103" s="483">
        <f t="shared" si="150"/>
        <v>-0.66494842509500063</v>
      </c>
      <c r="X103" s="483">
        <f t="shared" si="150"/>
        <v>-0.16822752984337919</v>
      </c>
      <c r="Y103" s="483">
        <f t="shared" si="150"/>
        <v>-0.4142022135937069</v>
      </c>
      <c r="Z103" s="483">
        <f t="shared" si="150"/>
        <v>-0.31934717936399437</v>
      </c>
      <c r="AA103" s="483">
        <f t="shared" si="150"/>
        <v>1.058681595786914</v>
      </c>
      <c r="AB103" s="483">
        <f t="shared" si="150"/>
        <v>0.78743573178033133</v>
      </c>
      <c r="AC103" s="483">
        <f t="shared" si="150"/>
        <v>8.9055406688606675E-2</v>
      </c>
      <c r="AD103" s="483">
        <f t="shared" si="150"/>
        <v>-0.86975020312628626</v>
      </c>
      <c r="AE103" s="483">
        <f t="shared" si="150"/>
        <v>-0.85598134595829856</v>
      </c>
      <c r="AF103" s="696">
        <f t="shared" si="150"/>
        <v>-0.21594775533354704</v>
      </c>
      <c r="AG103" s="145">
        <f t="shared" ca="1" si="150"/>
        <v>-0.1815515968947059</v>
      </c>
      <c r="AH103" s="145">
        <f t="shared" ca="1" si="150"/>
        <v>-2.7083075371812315E-2</v>
      </c>
      <c r="AI103" s="145">
        <f t="shared" ca="1" si="150"/>
        <v>6.069587292033801</v>
      </c>
      <c r="AJ103" s="145">
        <f t="shared" ca="1" si="150"/>
        <v>7.0789659915719252</v>
      </c>
      <c r="AK103" s="145">
        <f t="shared" ca="1" si="150"/>
        <v>0.96285856082745291</v>
      </c>
      <c r="AL103" s="145">
        <f t="shared" ca="1" si="150"/>
        <v>0.69992792185975161</v>
      </c>
      <c r="AM103" s="145"/>
      <c r="AN103" s="482"/>
      <c r="AO103" s="482">
        <f>IF(OR(INDEX(SP_CFA_CFO_BeforeWC,0,COLUMN())&lt;=0,INDEX(SP_CFA_CFO_BeforeWC,0,COLUMN()-1)&lt;=0),"NMF",IF(ABS((INDEX(SP_CFA_CFO_BeforeWC,0,COLUMN())/INDEX(SP_CS_ShareCount,0,COLUMN()))/(INDEX(SP_CFA_CFO_BeforeWC,0,COLUMN()-1)/INDEX(SP_CS_ShareCount,0,COLUMN()-1))-1)&gt;10,"NMF",(INDEX(SP_CFA_CFO_BeforeWC,0,COLUMN())/INDEX(SP_CS_ShareCount,0,COLUMN()))/(INDEX(SP_CFA_CFO_BeforeWC,0,COLUMN()-1)/INDEX(SP_CS_ShareCount,0,COLUMN()-1))-1))</f>
        <v>3.4442595977051127E-3</v>
      </c>
      <c r="AP103" s="482">
        <f>IF(OR(INDEX(SP_CFA_CFO_BeforeWC,0,COLUMN())&lt;=0,INDEX(SP_CFA_CFO_BeforeWC,0,COLUMN()-1)&lt;=0),"NMF",IF(ABS((INDEX(SP_CFA_CFO_BeforeWC,0,COLUMN())/INDEX(SP_CS_ShareCount,0,COLUMN()))/(INDEX(SP_CFA_CFO_BeforeWC,0,COLUMN()-1)/INDEX(SP_CS_ShareCount,0,COLUMN()-1))-1)&gt;10,"NMF",(INDEX(SP_CFA_CFO_BeforeWC,0,COLUMN())/INDEX(SP_CS_ShareCount,0,COLUMN()))/(INDEX(SP_CFA_CFO_BeforeWC,0,COLUMN()-1)/INDEX(SP_CS_ShareCount,0,COLUMN()-1))-1))</f>
        <v>0.30722290074298608</v>
      </c>
      <c r="AQ103" s="482">
        <f>IF(OR(INDEX(SP_CFA_CFO_BeforeWC,0,COLUMN())&lt;=0,INDEX(SP_CFA_CFO_BeforeWC,0,COLUMN()-1)&lt;=0),"NMF",IF(ABS((INDEX(SP_CFA_CFO_BeforeWC,0,COLUMN())/INDEX(SP_CS_ShareCount,0,COLUMN()))/(INDEX(SP_CFA_CFO_BeforeWC,0,COLUMN()-1)/INDEX(SP_CS_ShareCount,0,COLUMN()-1))-1)&gt;10,"NMF",(INDEX(SP_CFA_CFO_BeforeWC,0,COLUMN())/INDEX(SP_CS_ShareCount,0,COLUMN()))/(INDEX(SP_CFA_CFO_BeforeWC,0,COLUMN()-1)/INDEX(SP_CS_ShareCount,0,COLUMN()-1))-1))</f>
        <v>0.35669638398798909</v>
      </c>
      <c r="AR103" s="482" t="str">
        <f t="shared" ref="AR103:AZ103" si="151">IF(OR(INDEX(SP_CFA_CFO_BeforeWC,0,COLUMN())&lt;=0,INDEX(SP_CFA_CFO_BeforeWC,0,COLUMN()-5)&lt;=0),"NMF",IF(ABS((INDEX(SP_CFA_CFO_BeforeWC,0,COLUMN())/INDEX(SP_CS_ShareCount,0,COLUMN()))/(INDEX(SP_CFA_CFO_BeforeWC,0,COLUMN()-5)/INDEX(SP_CS_ShareCount,0,COLUMN()-5))-1)&gt;10,"NMF",(INDEX(SP_CFA_CFO_BeforeWC,0,COLUMN())/INDEX(SP_CS_ShareCount,0,COLUMN()))/(INDEX(SP_CFA_CFO_BeforeWC,0,COLUMN()-5)/INDEX(SP_CS_ShareCount,0,COLUMN()-5))-1))</f>
        <v>NMF</v>
      </c>
      <c r="AS103" s="482">
        <f t="shared" si="151"/>
        <v>1.1348536633248556</v>
      </c>
      <c r="AT103" s="482">
        <f t="shared" si="151"/>
        <v>0.85326883790682917</v>
      </c>
      <c r="AU103" s="482">
        <f t="shared" si="151"/>
        <v>0.41714072428018656</v>
      </c>
      <c r="AV103" s="482">
        <f t="shared" si="151"/>
        <v>-0.18958355973795216</v>
      </c>
      <c r="AW103" s="482">
        <f t="shared" si="151"/>
        <v>-0.37040166502203309</v>
      </c>
      <c r="AX103" s="970">
        <f t="shared" si="151"/>
        <v>-0.54336528426828146</v>
      </c>
      <c r="AY103" s="144">
        <f t="shared" ca="1" si="151"/>
        <v>-0.53979519303672263</v>
      </c>
      <c r="AZ103" s="144">
        <f t="shared" ca="1" si="151"/>
        <v>-0.23886237740769267</v>
      </c>
      <c r="BA103" s="144">
        <f ca="1">IF(OR(INDEX(SP_CFA_CFO_BeforeWC,0,COLUMN())&lt;=0,INDEX(SP_CFA_CFO_BeforeWC,0,COLUMN()-1)&lt;=0),"NMF",IF(ABS((INDEX(SP_CFA_CFO_BeforeWC,0,COLUMN())/INDEX(SP_CS_ShareCount,0,COLUMN()))/(INDEX(SP_CFA_CFO_BeforeWC,0,COLUMN()-1)/INDEX(SP_CS_ShareCount,0,COLUMN()-1))-1)&gt;10,"NMF",(INDEX(SP_CFA_CFO_BeforeWC,0,COLUMN())/INDEX(SP_CS_ShareCount,0,COLUMN()))/(INDEX(SP_CFA_CFO_BeforeWC,0,COLUMN()-1)/INDEX(SP_CS_ShareCount,0,COLUMN()-1))-1))</f>
        <v>0.319357787034805</v>
      </c>
      <c r="BB103" s="144">
        <f ca="1">IF(OR(INDEX(SP_CFA_CFO_BeforeWC,0,COLUMN())&lt;=0,INDEX(SP_CFA_CFO_BeforeWC,0,COLUMN()-1)&lt;=0),"NMF",IF(ABS((INDEX(SP_CFA_CFO_BeforeWC,0,COLUMN())/INDEX(SP_CS_ShareCount,0,COLUMN()))/(INDEX(SP_CFA_CFO_BeforeWC,0,COLUMN()-1)/INDEX(SP_CS_ShareCount,0,COLUMN()-1))-1)&gt;10,"NMF",(INDEX(SP_CFA_CFO_BeforeWC,0,COLUMN())/INDEX(SP_CS_ShareCount,0,COLUMN()))/(INDEX(SP_CFA_CFO_BeforeWC,0,COLUMN()-1)/INDEX(SP_CS_ShareCount,0,COLUMN()-1))-1))</f>
        <v>0.23628590592776</v>
      </c>
      <c r="BC103" s="144">
        <f ca="1">IF(OR(INDEX(SP_CFA_CFO_BeforeWC,0,COLUMN())&lt;=0,INDEX(SP_CFA_CFO_BeforeWC,0,COLUMN()-1)&lt;=0),"NMF",IF(ABS((INDEX(SP_CFA_CFO_BeforeWC,0,COLUMN())/INDEX(SP_CS_ShareCount,0,COLUMN()))/(INDEX(SP_CFA_CFO_BeforeWC,0,COLUMN()-1)/INDEX(SP_CS_ShareCount,0,COLUMN()-1))-1)&gt;10,"NMF",(INDEX(SP_CFA_CFO_BeforeWC,0,COLUMN())/INDEX(SP_CS_ShareCount,0,COLUMN()))/(INDEX(SP_CFA_CFO_BeforeWC,0,COLUMN()-1)/INDEX(SP_CS_ShareCount,0,COLUMN()-1))-1))</f>
        <v>4.1478069210768354E-2</v>
      </c>
      <c r="BD103" s="263"/>
    </row>
    <row r="104" spans="1:56" s="60" customFormat="1" x14ac:dyDescent="0.25">
      <c r="A104" s="273" t="s">
        <v>343</v>
      </c>
      <c r="B104" s="254"/>
      <c r="C104" s="483"/>
      <c r="D104" s="483"/>
      <c r="E104" s="483"/>
      <c r="F104" s="483"/>
      <c r="G104" s="483" t="str">
        <f t="shared" ref="G104:AL104" si="152">IF(OR(INDEX(SP_CFA_FCF_PreDiv,0,COLUMN())&lt;=0,INDEX(SP_CFA_FCF_PreDiv,0,COLUMN()-5)&lt;=0),"NMF",IF(ABS((INDEX(SP_CFA_FCF_PreDiv,0,COLUMN())/INDEX(SP_CS_ShareCount,0,COLUMN()))/(INDEX(SP_CFA_FCF_PreDiv,0,COLUMN()-5)/INDEX(SP_CS_ShareCount,0,COLUMN()-5))-1)&gt;10,"NMF",(INDEX(SP_CFA_FCF_PreDiv,0,COLUMN())/INDEX(SP_CS_ShareCount,0,COLUMN()))/(INDEX(SP_CFA_FCF_PreDiv,0,COLUMN()-5)/INDEX(SP_CS_ShareCount,0,COLUMN()-5))-1))</f>
        <v>NMF</v>
      </c>
      <c r="H104" s="483">
        <f t="shared" si="152"/>
        <v>0.66299015676541884</v>
      </c>
      <c r="I104" s="483">
        <f t="shared" si="152"/>
        <v>0.43331100636069175</v>
      </c>
      <c r="J104" s="483">
        <f t="shared" si="152"/>
        <v>0.66209831087884874</v>
      </c>
      <c r="K104" s="483">
        <f t="shared" si="152"/>
        <v>0.11069956361607969</v>
      </c>
      <c r="L104" s="483">
        <f t="shared" si="152"/>
        <v>0.2971991371675613</v>
      </c>
      <c r="M104" s="483">
        <f t="shared" si="152"/>
        <v>-0.29495482174243715</v>
      </c>
      <c r="N104" s="483">
        <f t="shared" si="152"/>
        <v>-6.1382976662105238E-2</v>
      </c>
      <c r="O104" s="483">
        <f t="shared" si="152"/>
        <v>-0.33016464704403325</v>
      </c>
      <c r="P104" s="483">
        <f t="shared" si="152"/>
        <v>9.5710126149421093E-2</v>
      </c>
      <c r="Q104" s="483">
        <f t="shared" si="152"/>
        <v>-0.17906420650355792</v>
      </c>
      <c r="R104" s="483">
        <f t="shared" si="152"/>
        <v>0.42775448535827065</v>
      </c>
      <c r="S104" s="483">
        <f t="shared" si="152"/>
        <v>-0.20133354155416183</v>
      </c>
      <c r="T104" s="483">
        <f t="shared" si="152"/>
        <v>0.15275993440989444</v>
      </c>
      <c r="U104" s="483">
        <f t="shared" si="152"/>
        <v>-0.19821516357090019</v>
      </c>
      <c r="V104" s="483">
        <f t="shared" si="152"/>
        <v>-0.77479398722255155</v>
      </c>
      <c r="W104" s="483">
        <f t="shared" si="152"/>
        <v>-0.69657978632990059</v>
      </c>
      <c r="X104" s="483">
        <f t="shared" si="152"/>
        <v>-0.28163160565301593</v>
      </c>
      <c r="Y104" s="483">
        <f t="shared" si="152"/>
        <v>-0.41858166683554809</v>
      </c>
      <c r="Z104" s="483">
        <f t="shared" si="152"/>
        <v>-0.35172644108425011</v>
      </c>
      <c r="AA104" s="483">
        <f t="shared" si="152"/>
        <v>1.2745669743543577</v>
      </c>
      <c r="AB104" s="483">
        <f t="shared" si="152"/>
        <v>0.84992705752303843</v>
      </c>
      <c r="AC104" s="483">
        <f t="shared" si="152"/>
        <v>0.17432066232452015</v>
      </c>
      <c r="AD104" s="483">
        <f t="shared" si="152"/>
        <v>-0.93849540647366725</v>
      </c>
      <c r="AE104" s="483">
        <f t="shared" si="152"/>
        <v>-0.95158291411420026</v>
      </c>
      <c r="AF104" s="696">
        <f t="shared" si="152"/>
        <v>-0.26060069958650511</v>
      </c>
      <c r="AG104" s="145">
        <f t="shared" ca="1" si="152"/>
        <v>-0.18025443359322135</v>
      </c>
      <c r="AH104" s="145">
        <f t="shared" ca="1" si="152"/>
        <v>5.7933741926699867E-2</v>
      </c>
      <c r="AI104" s="145" t="str">
        <f t="shared" ca="1" si="152"/>
        <v>NMF</v>
      </c>
      <c r="AJ104" s="145" t="str">
        <f t="shared" ca="1" si="152"/>
        <v>NMF</v>
      </c>
      <c r="AK104" s="145">
        <f t="shared" ca="1" si="152"/>
        <v>1.1067552046381373</v>
      </c>
      <c r="AL104" s="145">
        <f t="shared" ca="1" si="152"/>
        <v>0.6729816070597241</v>
      </c>
      <c r="AM104" s="145"/>
      <c r="AN104" s="482"/>
      <c r="AO104" s="482">
        <f>IF(OR(INDEX(SP_CFA_FCF_PreDiv,0,COLUMN())&lt;=0,INDEX(SP_CFA_FCF_PreDiv,0,COLUMN()-1)&lt;=0),"NMF",IF(ABS((INDEX(SP_CFA_FCF_PreDiv,0,COLUMN())/INDEX(SP_CS_ShareCount,0,COLUMN()))/(INDEX(SP_CFA_FCF_PreDiv,0,COLUMN()-1)/INDEX(SP_CS_ShareCount,0,COLUMN()-1))-1)&gt;10,"NMF",(INDEX(SP_CFA_FCF_PreDiv,0,COLUMN())/INDEX(SP_CS_ShareCount,0,COLUMN()))/(INDEX(SP_CFA_FCF_PreDiv,0,COLUMN()-1)/INDEX(SP_CS_ShareCount,0,COLUMN()-1))-1))</f>
        <v>-4.9077634252860936E-3</v>
      </c>
      <c r="AP104" s="482">
        <f>IF(OR(INDEX(SP_CFA_FCF_PreDiv,0,COLUMN())&lt;=0,INDEX(SP_CFA_FCF_PreDiv,0,COLUMN()-1)&lt;=0),"NMF",IF(ABS((INDEX(SP_CFA_FCF_PreDiv,0,COLUMN())/INDEX(SP_CS_ShareCount,0,COLUMN()))/(INDEX(SP_CFA_FCF_PreDiv,0,COLUMN()-1)/INDEX(SP_CS_ShareCount,0,COLUMN()-1))-1)&gt;10,"NMF",(INDEX(SP_CFA_FCF_PreDiv,0,COLUMN())/INDEX(SP_CS_ShareCount,0,COLUMN()))/(INDEX(SP_CFA_FCF_PreDiv,0,COLUMN()-1)/INDEX(SP_CS_ShareCount,0,COLUMN()-1))-1))</f>
        <v>0.19585355644106395</v>
      </c>
      <c r="AQ104" s="482">
        <f>IF(OR(INDEX(SP_CFA_FCF_PreDiv,0,COLUMN())&lt;=0,INDEX(SP_CFA_FCF_PreDiv,0,COLUMN()-1)&lt;=0),"NMF",IF(ABS((INDEX(SP_CFA_FCF_PreDiv,0,COLUMN())/INDEX(SP_CS_ShareCount,0,COLUMN()))/(INDEX(SP_CFA_FCF_PreDiv,0,COLUMN()-1)/INDEX(SP_CS_ShareCount,0,COLUMN()-1))-1)&gt;10,"NMF",(INDEX(SP_CFA_FCF_PreDiv,0,COLUMN())/INDEX(SP_CS_ShareCount,0,COLUMN()))/(INDEX(SP_CFA_FCF_PreDiv,0,COLUMN()-1)/INDEX(SP_CS_ShareCount,0,COLUMN()-1))-1))</f>
        <v>0.49525575221073992</v>
      </c>
      <c r="AR104" s="482" t="str">
        <f t="shared" ref="AR104:AZ104" si="153">IF(OR(INDEX(SP_CFA_FCF_PreDiv,0,COLUMN())&lt;=0,INDEX(SP_CFA_FCF_PreDiv,0,COLUMN()-5)&lt;=0),"NMF",IF(ABS((INDEX(SP_CFA_FCF_PreDiv,0,COLUMN())/INDEX(SP_CS_ShareCount,0,COLUMN()))/(INDEX(SP_CFA_FCF_PreDiv,0,COLUMN()-5)/INDEX(SP_CS_ShareCount,0,COLUMN()-5))-1)&gt;10,"NMF",(INDEX(SP_CFA_FCF_PreDiv,0,COLUMN())/INDEX(SP_CS_ShareCount,0,COLUMN()))/(INDEX(SP_CFA_FCF_PreDiv,0,COLUMN()-5)/INDEX(SP_CS_ShareCount,0,COLUMN()-5))-1))</f>
        <v>NMF</v>
      </c>
      <c r="AS104" s="482">
        <f t="shared" si="153"/>
        <v>1.1473705310445208</v>
      </c>
      <c r="AT104" s="482">
        <f t="shared" si="153"/>
        <v>0.86957352072726612</v>
      </c>
      <c r="AU104" s="482">
        <f t="shared" si="153"/>
        <v>0.61100053685752531</v>
      </c>
      <c r="AV104" s="482">
        <f t="shared" si="153"/>
        <v>-0.2233369057372937</v>
      </c>
      <c r="AW104" s="482">
        <f t="shared" si="153"/>
        <v>-0.33603708082083616</v>
      </c>
      <c r="AX104" s="970">
        <f t="shared" si="153"/>
        <v>-0.5790235692803285</v>
      </c>
      <c r="AY104" s="144">
        <f t="shared" ca="1" si="153"/>
        <v>-0.56577600197704059</v>
      </c>
      <c r="AZ104" s="144">
        <f t="shared" ca="1" si="153"/>
        <v>-0.30807883663191316</v>
      </c>
      <c r="BA104" s="144">
        <f ca="1">IF(OR(INDEX(SP_CFA_FCF_PreDiv,0,COLUMN())&lt;=0,INDEX(SP_CFA_FCF_PreDiv,0,COLUMN()-1)&lt;=0),"NMF",IF(ABS((INDEX(SP_CFA_FCF_PreDiv,0,COLUMN())/INDEX(SP_CS_ShareCount,0,COLUMN()))/(INDEX(SP_CFA_FCF_PreDiv,0,COLUMN()-1)/INDEX(SP_CS_ShareCount,0,COLUMN()-1))-1)&gt;10,"NMF",(INDEX(SP_CFA_FCF_PreDiv,0,COLUMN())/INDEX(SP_CS_ShareCount,0,COLUMN()))/(INDEX(SP_CFA_FCF_PreDiv,0,COLUMN()-1)/INDEX(SP_CS_ShareCount,0,COLUMN()-1))-1))</f>
        <v>0.36788995569175009</v>
      </c>
      <c r="BB104" s="144">
        <f ca="1">IF(OR(INDEX(SP_CFA_FCF_PreDiv,0,COLUMN())&lt;=0,INDEX(SP_CFA_FCF_PreDiv,0,COLUMN()-1)&lt;=0),"NMF",IF(ABS((INDEX(SP_CFA_FCF_PreDiv,0,COLUMN())/INDEX(SP_CS_ShareCount,0,COLUMN()))/(INDEX(SP_CFA_FCF_PreDiv,0,COLUMN()-1)/INDEX(SP_CS_ShareCount,0,COLUMN()-1))-1)&gt;10,"NMF",(INDEX(SP_CFA_FCF_PreDiv,0,COLUMN())/INDEX(SP_CS_ShareCount,0,COLUMN()))/(INDEX(SP_CFA_FCF_PreDiv,0,COLUMN()-1)/INDEX(SP_CS_ShareCount,0,COLUMN()-1))-1))</f>
        <v>0.26253648238307714</v>
      </c>
      <c r="BC104" s="144">
        <f ca="1">IF(OR(INDEX(SP_CFA_FCF_PreDiv,0,COLUMN())&lt;=0,INDEX(SP_CFA_FCF_PreDiv,0,COLUMN()-1)&lt;=0),"NMF",IF(ABS((INDEX(SP_CFA_FCF_PreDiv,0,COLUMN())/INDEX(SP_CS_ShareCount,0,COLUMN()))/(INDEX(SP_CFA_FCF_PreDiv,0,COLUMN()-1)/INDEX(SP_CS_ShareCount,0,COLUMN()-1))-1)&gt;10,"NMF",(INDEX(SP_CFA_FCF_PreDiv,0,COLUMN())/INDEX(SP_CS_ShareCount,0,COLUMN()))/(INDEX(SP_CFA_FCF_PreDiv,0,COLUMN()-1)/INDEX(SP_CS_ShareCount,0,COLUMN()-1))-1))</f>
        <v>4.5127924308399292E-2</v>
      </c>
      <c r="BD104" s="263"/>
    </row>
    <row r="105" spans="1:56" x14ac:dyDescent="0.25">
      <c r="A105" s="247"/>
      <c r="B105" s="252"/>
      <c r="C105" s="822"/>
      <c r="D105" s="822"/>
      <c r="E105" s="822"/>
      <c r="F105" s="822"/>
      <c r="G105" s="822"/>
      <c r="H105" s="822"/>
      <c r="I105" s="822"/>
      <c r="J105" s="822"/>
      <c r="K105" s="822"/>
      <c r="L105" s="822"/>
      <c r="M105" s="822"/>
      <c r="N105" s="822"/>
      <c r="O105" s="822"/>
      <c r="P105" s="822"/>
      <c r="Q105" s="822"/>
      <c r="R105" s="822"/>
      <c r="S105" s="822"/>
      <c r="T105" s="822"/>
      <c r="U105" s="822"/>
      <c r="V105" s="822"/>
      <c r="W105" s="822"/>
      <c r="X105" s="822"/>
      <c r="Y105" s="822"/>
      <c r="Z105" s="822"/>
      <c r="AA105" s="822"/>
      <c r="AB105" s="822"/>
      <c r="AC105" s="822"/>
      <c r="AD105" s="822"/>
      <c r="AE105" s="822"/>
      <c r="AF105" s="823"/>
      <c r="AG105" s="824"/>
      <c r="AH105" s="824"/>
      <c r="AI105" s="824"/>
      <c r="AJ105" s="824"/>
      <c r="AK105" s="824"/>
      <c r="AL105" s="824"/>
      <c r="AM105" s="824"/>
      <c r="AN105" s="821"/>
      <c r="AO105" s="821"/>
      <c r="AP105" s="821"/>
      <c r="AQ105" s="821"/>
      <c r="AR105" s="821"/>
      <c r="AS105" s="821"/>
      <c r="AT105" s="821"/>
      <c r="AU105" s="821"/>
      <c r="AV105" s="821"/>
      <c r="AW105" s="821"/>
      <c r="AX105" s="967"/>
      <c r="AY105" s="825"/>
      <c r="AZ105" s="825"/>
      <c r="BA105" s="825"/>
      <c r="BB105" s="825"/>
      <c r="BC105" s="825"/>
      <c r="BD105" s="685"/>
    </row>
    <row r="106" spans="1:56" x14ac:dyDescent="0.25">
      <c r="A106" s="129" t="s">
        <v>344</v>
      </c>
      <c r="B106" s="686"/>
      <c r="C106" s="826"/>
      <c r="D106" s="826"/>
      <c r="E106" s="826"/>
      <c r="F106" s="826"/>
      <c r="G106" s="826"/>
      <c r="H106" s="826"/>
      <c r="I106" s="826"/>
      <c r="J106" s="826"/>
      <c r="K106" s="826"/>
      <c r="L106" s="826"/>
      <c r="M106" s="826"/>
      <c r="N106" s="826"/>
      <c r="O106" s="826"/>
      <c r="P106" s="826"/>
      <c r="Q106" s="826"/>
      <c r="R106" s="826"/>
      <c r="S106" s="826"/>
      <c r="T106" s="826"/>
      <c r="U106" s="826"/>
      <c r="V106" s="826"/>
      <c r="W106" s="826"/>
      <c r="X106" s="826"/>
      <c r="Y106" s="826"/>
      <c r="Z106" s="826"/>
      <c r="AA106" s="826"/>
      <c r="AB106" s="826"/>
      <c r="AC106" s="826"/>
      <c r="AD106" s="826"/>
      <c r="AE106" s="826"/>
      <c r="AF106" s="827"/>
      <c r="AG106" s="828"/>
      <c r="AH106" s="828"/>
      <c r="AI106" s="828"/>
      <c r="AJ106" s="828"/>
      <c r="AK106" s="828"/>
      <c r="AL106" s="828"/>
      <c r="AM106" s="828"/>
      <c r="AN106" s="826"/>
      <c r="AO106" s="826"/>
      <c r="AP106" s="826"/>
      <c r="AQ106" s="826"/>
      <c r="AR106" s="826"/>
      <c r="AS106" s="826"/>
      <c r="AT106" s="826"/>
      <c r="AU106" s="826"/>
      <c r="AV106" s="826"/>
      <c r="AW106" s="826"/>
      <c r="AX106" s="827"/>
      <c r="AY106" s="828"/>
      <c r="AZ106" s="828"/>
      <c r="BA106" s="828"/>
      <c r="BB106" s="828"/>
      <c r="BC106" s="828"/>
      <c r="BD106" s="684"/>
    </row>
    <row r="107" spans="1:56" s="65" customFormat="1" x14ac:dyDescent="0.25">
      <c r="A107" s="274" t="str">
        <f>"P/E - "&amp;SP.ValuationToggle</f>
        <v>P/E - Avg</v>
      </c>
      <c r="B107" s="275"/>
      <c r="C107" s="491"/>
      <c r="D107" s="491"/>
      <c r="E107" s="491"/>
      <c r="F107" s="491"/>
      <c r="G107" s="491"/>
      <c r="H107" s="491"/>
      <c r="I107" s="491"/>
      <c r="J107" s="491"/>
      <c r="K107" s="491"/>
      <c r="L107" s="491"/>
      <c r="M107" s="491"/>
      <c r="N107" s="491"/>
      <c r="O107" s="491"/>
      <c r="P107" s="492"/>
      <c r="Q107" s="492"/>
      <c r="R107" s="492"/>
      <c r="S107" s="492"/>
      <c r="T107" s="492"/>
      <c r="U107" s="492"/>
      <c r="V107" s="492"/>
      <c r="W107" s="492"/>
      <c r="X107" s="492"/>
      <c r="Y107" s="492"/>
      <c r="Z107" s="492"/>
      <c r="AA107" s="492"/>
      <c r="AB107" s="492"/>
      <c r="AC107" s="492"/>
      <c r="AD107" s="492"/>
      <c r="AE107" s="492"/>
      <c r="AF107" s="702"/>
      <c r="AG107" s="154"/>
      <c r="AH107" s="154"/>
      <c r="AI107" s="154"/>
      <c r="AJ107" s="154"/>
      <c r="AK107" s="154"/>
      <c r="AL107" s="154"/>
      <c r="AM107" s="154"/>
      <c r="AN107" s="490">
        <f t="shared" ref="AN107:BC107" ca="1" si="154">INDEX(SP_CS_StockPrice,0,COLUMN())/INDEX(SP_NGF_EPS,0,COLUMN())</f>
        <v>-75.62738970588255</v>
      </c>
      <c r="AO107" s="490">
        <f t="shared" ca="1" si="154"/>
        <v>12.157963006597562</v>
      </c>
      <c r="AP107" s="490">
        <f t="shared" ca="1" si="154"/>
        <v>12.804608062709988</v>
      </c>
      <c r="AQ107" s="490">
        <f t="shared" ca="1" si="154"/>
        <v>14.964079304037366</v>
      </c>
      <c r="AR107" s="490">
        <f t="shared" ca="1" si="154"/>
        <v>20.053965734972163</v>
      </c>
      <c r="AS107" s="490">
        <f t="shared" ca="1" si="154"/>
        <v>19.337951693851927</v>
      </c>
      <c r="AT107" s="490">
        <f t="shared" ca="1" si="154"/>
        <v>26.957484698493843</v>
      </c>
      <c r="AU107" s="490">
        <f t="shared" ca="1" si="154"/>
        <v>20.151961911661594</v>
      </c>
      <c r="AV107" s="490">
        <f t="shared" ca="1" si="154"/>
        <v>18.675884942951072</v>
      </c>
      <c r="AW107" s="490">
        <f t="shared" ca="1" si="154"/>
        <v>21.233170564795198</v>
      </c>
      <c r="AX107" s="976">
        <f t="shared" ca="1" si="154"/>
        <v>16.295662963932589</v>
      </c>
      <c r="AY107" s="153">
        <f t="shared" ca="1" si="154"/>
        <v>23.748939580470569</v>
      </c>
      <c r="AZ107" s="153">
        <f t="shared" ca="1" si="154"/>
        <v>13.400773547607109</v>
      </c>
      <c r="BA107" s="153">
        <f t="shared" ca="1" si="154"/>
        <v>7.7632150435289073</v>
      </c>
      <c r="BB107" s="153">
        <f t="shared" ca="1" si="154"/>
        <v>5.503244075691911</v>
      </c>
      <c r="BC107" s="153">
        <f t="shared" ca="1" si="154"/>
        <v>5.1762243373301864</v>
      </c>
      <c r="BD107" s="154"/>
    </row>
    <row r="108" spans="1:56" s="65" customFormat="1" x14ac:dyDescent="0.25">
      <c r="A108" s="274" t="str">
        <f>"EV/EBITDA - "&amp;SP.ValuationToggle</f>
        <v>EV/EBITDA - Avg</v>
      </c>
      <c r="B108" s="275"/>
      <c r="C108" s="491"/>
      <c r="D108" s="491"/>
      <c r="E108" s="491"/>
      <c r="F108" s="491"/>
      <c r="G108" s="491"/>
      <c r="H108" s="491"/>
      <c r="I108" s="491"/>
      <c r="J108" s="491"/>
      <c r="K108" s="491"/>
      <c r="L108" s="491"/>
      <c r="M108" s="491"/>
      <c r="N108" s="491"/>
      <c r="O108" s="491"/>
      <c r="P108" s="492"/>
      <c r="Q108" s="492"/>
      <c r="R108" s="492"/>
      <c r="S108" s="492"/>
      <c r="T108" s="492"/>
      <c r="U108" s="492"/>
      <c r="V108" s="492"/>
      <c r="W108" s="492"/>
      <c r="X108" s="492"/>
      <c r="Y108" s="492"/>
      <c r="Z108" s="492"/>
      <c r="AA108" s="492"/>
      <c r="AB108" s="492"/>
      <c r="AC108" s="492"/>
      <c r="AD108" s="492"/>
      <c r="AE108" s="492"/>
      <c r="AF108" s="702"/>
      <c r="AG108" s="154"/>
      <c r="AH108" s="154"/>
      <c r="AI108" s="154"/>
      <c r="AJ108" s="154"/>
      <c r="AK108" s="154"/>
      <c r="AL108" s="154"/>
      <c r="AM108" s="154"/>
      <c r="AN108" s="490">
        <f t="shared" ref="AN108:BC108" ca="1" si="155">INDEX(SP_CS_EV,0,COLUMN())/INDEX(SP_NGF_EBITDA,0,COLUMN())</f>
        <v>4.2139942398765484</v>
      </c>
      <c r="AO108" s="490">
        <f t="shared" ca="1" si="155"/>
        <v>4.606409989023053</v>
      </c>
      <c r="AP108" s="490">
        <f t="shared" ca="1" si="155"/>
        <v>5.9265526433869207</v>
      </c>
      <c r="AQ108" s="490">
        <f t="shared" ca="1" si="155"/>
        <v>6.9610766781375224</v>
      </c>
      <c r="AR108" s="490">
        <f t="shared" ca="1" si="155"/>
        <v>9.2124591349913878</v>
      </c>
      <c r="AS108" s="490">
        <f t="shared" ca="1" si="155"/>
        <v>9.7541908923879923</v>
      </c>
      <c r="AT108" s="490">
        <f t="shared" ca="1" si="155"/>
        <v>12.108310630341894</v>
      </c>
      <c r="AU108" s="490">
        <f t="shared" ca="1" si="155"/>
        <v>11.894401238703225</v>
      </c>
      <c r="AV108" s="490">
        <f t="shared" ca="1" si="155"/>
        <v>10.026469192749561</v>
      </c>
      <c r="AW108" s="490">
        <f t="shared" ca="1" si="155"/>
        <v>11.125095881999361</v>
      </c>
      <c r="AX108" s="976">
        <f t="shared" ca="1" si="155"/>
        <v>8.2049252099083443</v>
      </c>
      <c r="AY108" s="153">
        <f t="shared" ca="1" si="155"/>
        <v>8.9169133432642607</v>
      </c>
      <c r="AZ108" s="153">
        <f t="shared" ca="1" si="155"/>
        <v>6.3715040167221302</v>
      </c>
      <c r="BA108" s="153">
        <f t="shared" ca="1" si="155"/>
        <v>4.2958829720311904</v>
      </c>
      <c r="BB108" s="153">
        <f t="shared" ca="1" si="155"/>
        <v>2.9375515172169178</v>
      </c>
      <c r="BC108" s="153">
        <f t="shared" ca="1" si="155"/>
        <v>2.2012101222233036</v>
      </c>
      <c r="BD108" s="154"/>
    </row>
    <row r="109" spans="1:56" s="65" customFormat="1" x14ac:dyDescent="0.25">
      <c r="A109" s="274" t="str">
        <f>"P/CF - "&amp;SP.ValuationToggle</f>
        <v>P/CF - Avg</v>
      </c>
      <c r="B109" s="275"/>
      <c r="C109" s="491"/>
      <c r="D109" s="491"/>
      <c r="E109" s="491"/>
      <c r="F109" s="491"/>
      <c r="G109" s="491"/>
      <c r="H109" s="491"/>
      <c r="I109" s="491"/>
      <c r="J109" s="491"/>
      <c r="K109" s="491"/>
      <c r="L109" s="491"/>
      <c r="M109" s="491"/>
      <c r="N109" s="491"/>
      <c r="O109" s="491"/>
      <c r="P109" s="492"/>
      <c r="Q109" s="492"/>
      <c r="R109" s="492"/>
      <c r="S109" s="492"/>
      <c r="T109" s="492"/>
      <c r="U109" s="492"/>
      <c r="V109" s="492"/>
      <c r="W109" s="492"/>
      <c r="X109" s="492"/>
      <c r="Y109" s="492"/>
      <c r="Z109" s="492"/>
      <c r="AA109" s="492"/>
      <c r="AB109" s="492"/>
      <c r="AC109" s="492"/>
      <c r="AD109" s="492"/>
      <c r="AE109" s="492"/>
      <c r="AF109" s="702"/>
      <c r="AG109" s="154"/>
      <c r="AH109" s="154"/>
      <c r="AI109" s="154"/>
      <c r="AJ109" s="154"/>
      <c r="AK109" s="154"/>
      <c r="AL109" s="154"/>
      <c r="AM109" s="154"/>
      <c r="AN109" s="490">
        <f t="shared" ref="AN109:BC109" ca="1" si="156">INDEX(SP_CS_StockPrice,0,COLUMN())/INDEX(SP_CFA_CFO_PerShare,0,COLUMN())</f>
        <v>5.6769440326752028</v>
      </c>
      <c r="AO109" s="490">
        <f t="shared" ca="1" si="156"/>
        <v>8.2667655540720979</v>
      </c>
      <c r="AP109" s="490">
        <f t="shared" ca="1" si="156"/>
        <v>9.2046810223384998</v>
      </c>
      <c r="AQ109" s="490">
        <f t="shared" ca="1" si="156"/>
        <v>9.9337282748632116</v>
      </c>
      <c r="AR109" s="490">
        <f t="shared" ca="1" si="156"/>
        <v>13.976881619480707</v>
      </c>
      <c r="AS109" s="490">
        <f t="shared" ca="1" si="156"/>
        <v>13.043755040573505</v>
      </c>
      <c r="AT109" s="490">
        <f t="shared" ca="1" si="156"/>
        <v>15.83419344754283</v>
      </c>
      <c r="AU109" s="490">
        <f t="shared" ca="1" si="156"/>
        <v>13.228736896684781</v>
      </c>
      <c r="AV109" s="490">
        <f t="shared" ca="1" si="156"/>
        <v>18.637302286975171</v>
      </c>
      <c r="AW109" s="490">
        <f t="shared" ca="1" si="156"/>
        <v>17.224926266293956</v>
      </c>
      <c r="AX109" s="976">
        <f t="shared" ca="1" si="156"/>
        <v>14.106927664717523</v>
      </c>
      <c r="AY109" s="153">
        <f t="shared" ca="1" si="156"/>
        <v>9.6165001275127047</v>
      </c>
      <c r="AZ109" s="153">
        <f t="shared" ca="1" si="156"/>
        <v>5.8167553808486083</v>
      </c>
      <c r="BA109" s="153">
        <f t="shared" ca="1" si="156"/>
        <v>4.4087778448039439</v>
      </c>
      <c r="BB109" s="153">
        <f t="shared" ca="1" si="156"/>
        <v>3.5661474612504098</v>
      </c>
      <c r="BC109" s="153">
        <f t="shared" ca="1" si="156"/>
        <v>3.4241215121820425</v>
      </c>
      <c r="BD109" s="154"/>
    </row>
    <row r="110" spans="1:56" s="60" customFormat="1" x14ac:dyDescent="0.25">
      <c r="A110" s="273" t="str">
        <f>"FCF Yield % to "&amp;SP.ValuationToggle&amp;" Market Cap"</f>
        <v>FCF Yield % to Avg Market Cap</v>
      </c>
      <c r="B110" s="254"/>
      <c r="C110" s="483"/>
      <c r="D110" s="483"/>
      <c r="E110" s="483"/>
      <c r="F110" s="483"/>
      <c r="G110" s="483"/>
      <c r="H110" s="483"/>
      <c r="I110" s="483"/>
      <c r="J110" s="483"/>
      <c r="K110" s="483"/>
      <c r="L110" s="483"/>
      <c r="M110" s="483"/>
      <c r="N110" s="483"/>
      <c r="O110" s="483"/>
      <c r="P110" s="483"/>
      <c r="Q110" s="483"/>
      <c r="R110" s="483"/>
      <c r="S110" s="483"/>
      <c r="T110" s="483"/>
      <c r="U110" s="483"/>
      <c r="V110" s="483"/>
      <c r="W110" s="483"/>
      <c r="X110" s="483"/>
      <c r="Y110" s="483"/>
      <c r="Z110" s="483"/>
      <c r="AA110" s="483"/>
      <c r="AB110" s="483"/>
      <c r="AC110" s="483"/>
      <c r="AD110" s="483"/>
      <c r="AE110" s="483"/>
      <c r="AF110" s="696"/>
      <c r="AG110" s="145"/>
      <c r="AH110" s="145"/>
      <c r="AI110" s="145"/>
      <c r="AJ110" s="145"/>
      <c r="AK110" s="145"/>
      <c r="AL110" s="145"/>
      <c r="AM110" s="145"/>
      <c r="AN110" s="482">
        <f t="shared" ref="AN110:BC110" ca="1" si="157">INDEX(SP_CFA_FCF_PreDiv,0,COLUMN())/INDEX(SP_CS_MarketCap,0,COLUMN())</f>
        <v>0.16310617311557973</v>
      </c>
      <c r="AO110" s="482">
        <f t="shared" ca="1" si="157"/>
        <v>0.11107580639539917</v>
      </c>
      <c r="AP110" s="482">
        <f t="shared" ca="1" si="157"/>
        <v>9.1258789725668282E-2</v>
      </c>
      <c r="AQ110" s="482">
        <f t="shared" ca="1" si="157"/>
        <v>9.3197440649121471E-2</v>
      </c>
      <c r="AR110" s="482">
        <f t="shared" ca="1" si="157"/>
        <v>5.7453577914165416E-2</v>
      </c>
      <c r="AS110" s="482">
        <f t="shared" ca="1" si="157"/>
        <v>7.1403788423535092E-2</v>
      </c>
      <c r="AT110" s="482">
        <f t="shared" ca="1" si="157"/>
        <v>5.8500997958200456E-2</v>
      </c>
      <c r="AU110" s="482">
        <f t="shared" ca="1" si="157"/>
        <v>7.2185135438782341E-2</v>
      </c>
      <c r="AV110" s="482">
        <f t="shared" ca="1" si="157"/>
        <v>4.7605555705776723E-2</v>
      </c>
      <c r="AW110" s="482">
        <f t="shared" ca="1" si="157"/>
        <v>4.9164344103154393E-2</v>
      </c>
      <c r="AX110" s="970">
        <f t="shared" ca="1" si="157"/>
        <v>6.0866776916729856E-2</v>
      </c>
      <c r="AY110" s="144">
        <f t="shared" ca="1" si="157"/>
        <v>9.0887644989561756E-2</v>
      </c>
      <c r="AZ110" s="144">
        <f t="shared" ca="1" si="157"/>
        <v>0.14923777973785374</v>
      </c>
      <c r="BA110" s="144">
        <f t="shared" ca="1" si="157"/>
        <v>0.2041408599131479</v>
      </c>
      <c r="BB110" s="144">
        <f t="shared" ca="1" si="157"/>
        <v>0.25773528318540223</v>
      </c>
      <c r="BC110" s="144">
        <f t="shared" ca="1" si="157"/>
        <v>0.26936634153659694</v>
      </c>
      <c r="BD110" s="263"/>
    </row>
    <row r="111" spans="1:56" s="60" customFormat="1" x14ac:dyDescent="0.25">
      <c r="A111" s="273" t="str">
        <f>"FCF Yield % to "&amp;SP.ValuationToggle&amp;" Enterprise Value"</f>
        <v>FCF Yield % to Avg Enterprise Value</v>
      </c>
      <c r="B111" s="254"/>
      <c r="C111" s="483"/>
      <c r="D111" s="483"/>
      <c r="E111" s="483"/>
      <c r="F111" s="483"/>
      <c r="G111" s="483"/>
      <c r="H111" s="483"/>
      <c r="I111" s="483"/>
      <c r="J111" s="483"/>
      <c r="K111" s="483"/>
      <c r="L111" s="483"/>
      <c r="M111" s="483"/>
      <c r="N111" s="483"/>
      <c r="O111" s="483"/>
      <c r="P111" s="483"/>
      <c r="Q111" s="483"/>
      <c r="R111" s="483"/>
      <c r="S111" s="483"/>
      <c r="T111" s="483"/>
      <c r="U111" s="483"/>
      <c r="V111" s="483"/>
      <c r="W111" s="483"/>
      <c r="X111" s="483"/>
      <c r="Y111" s="483"/>
      <c r="Z111" s="483"/>
      <c r="AA111" s="483"/>
      <c r="AB111" s="483"/>
      <c r="AC111" s="483"/>
      <c r="AD111" s="483"/>
      <c r="AE111" s="483"/>
      <c r="AF111" s="696"/>
      <c r="AG111" s="145"/>
      <c r="AH111" s="145"/>
      <c r="AI111" s="145"/>
      <c r="AJ111" s="145"/>
      <c r="AK111" s="145"/>
      <c r="AL111" s="145"/>
      <c r="AM111" s="145"/>
      <c r="AN111" s="482">
        <f t="shared" ref="AN111:BC111" ca="1" si="158">INDEX(SP_CFA_FCF_PreDiv,0,COLUMN())/INDEX(SP_CS_EV,0,COLUMN())</f>
        <v>0.18535590197281585</v>
      </c>
      <c r="AO111" s="482">
        <f t="shared" ca="1" si="158"/>
        <v>0.13657609822167896</v>
      </c>
      <c r="AP111" s="482">
        <f t="shared" ca="1" si="158"/>
        <v>9.2945867382680888E-2</v>
      </c>
      <c r="AQ111" s="482">
        <f t="shared" ca="1" si="158"/>
        <v>9.5377752180733494E-2</v>
      </c>
      <c r="AR111" s="482">
        <f t="shared" ca="1" si="158"/>
        <v>5.8092544430736283E-2</v>
      </c>
      <c r="AS111" s="482">
        <f t="shared" ca="1" si="158"/>
        <v>6.5868643328021087E-2</v>
      </c>
      <c r="AT111" s="482">
        <f t="shared" ca="1" si="158"/>
        <v>5.4468531725369175E-2</v>
      </c>
      <c r="AU111" s="482">
        <f t="shared" ca="1" si="158"/>
        <v>6.559270928102022E-2</v>
      </c>
      <c r="AV111" s="482">
        <f t="shared" ca="1" si="158"/>
        <v>4.3549729614042625E-2</v>
      </c>
      <c r="AW111" s="482">
        <f t="shared" ca="1" si="158"/>
        <v>3.7150013797679779E-2</v>
      </c>
      <c r="AX111" s="970">
        <f t="shared" ca="1" si="158"/>
        <v>4.1879838982682646E-2</v>
      </c>
      <c r="AY111" s="144">
        <f t="shared" ca="1" si="158"/>
        <v>6.2330704755878867E-2</v>
      </c>
      <c r="AZ111" s="144">
        <f t="shared" ca="1" si="158"/>
        <v>0.1103114343196242</v>
      </c>
      <c r="BA111" s="144">
        <f t="shared" ca="1" si="158"/>
        <v>0.16761132502108808</v>
      </c>
      <c r="BB111" s="144">
        <f t="shared" ca="1" si="158"/>
        <v>0.24869923630859733</v>
      </c>
      <c r="BC111" s="144">
        <f t="shared" ca="1" si="158"/>
        <v>0.33302940328756064</v>
      </c>
      <c r="BD111" s="263"/>
    </row>
    <row r="112" spans="1:56" s="60" customFormat="1" x14ac:dyDescent="0.25">
      <c r="A112" s="273"/>
      <c r="B112" s="254"/>
      <c r="C112" s="483"/>
      <c r="D112" s="483"/>
      <c r="E112" s="483"/>
      <c r="F112" s="483"/>
      <c r="G112" s="483"/>
      <c r="H112" s="483"/>
      <c r="I112" s="483"/>
      <c r="J112" s="483"/>
      <c r="K112" s="483"/>
      <c r="L112" s="483"/>
      <c r="M112" s="483"/>
      <c r="N112" s="483"/>
      <c r="O112" s="483"/>
      <c r="P112" s="483"/>
      <c r="Q112" s="483"/>
      <c r="R112" s="483"/>
      <c r="S112" s="483"/>
      <c r="T112" s="483"/>
      <c r="U112" s="483"/>
      <c r="V112" s="483"/>
      <c r="W112" s="483"/>
      <c r="X112" s="483"/>
      <c r="Y112" s="483"/>
      <c r="Z112" s="483"/>
      <c r="AA112" s="483"/>
      <c r="AB112" s="483"/>
      <c r="AC112" s="483"/>
      <c r="AD112" s="483"/>
      <c r="AE112" s="483"/>
      <c r="AF112" s="696"/>
      <c r="AG112" s="145"/>
      <c r="AH112" s="145"/>
      <c r="AI112" s="145"/>
      <c r="AJ112" s="145"/>
      <c r="AK112" s="145"/>
      <c r="AL112" s="145"/>
      <c r="AM112" s="145"/>
      <c r="AN112" s="482"/>
      <c r="AO112" s="482"/>
      <c r="AP112" s="482"/>
      <c r="AQ112" s="482"/>
      <c r="AR112" s="482"/>
      <c r="AS112" s="482"/>
      <c r="AT112" s="482"/>
      <c r="AU112" s="482"/>
      <c r="AV112" s="482"/>
      <c r="AW112" s="482"/>
      <c r="AX112" s="970"/>
      <c r="AY112" s="144"/>
      <c r="AZ112" s="144"/>
      <c r="BA112" s="144"/>
      <c r="BB112" s="144"/>
      <c r="BC112" s="144"/>
      <c r="BD112" s="263"/>
    </row>
    <row r="113" spans="1:56" hidden="1" outlineLevel="1" x14ac:dyDescent="0.25">
      <c r="A113" s="129" t="s">
        <v>345</v>
      </c>
      <c r="B113" s="686"/>
      <c r="C113" s="826"/>
      <c r="D113" s="826"/>
      <c r="E113" s="826"/>
      <c r="F113" s="826"/>
      <c r="G113" s="826"/>
      <c r="H113" s="826"/>
      <c r="I113" s="826"/>
      <c r="J113" s="826"/>
      <c r="K113" s="826"/>
      <c r="L113" s="826"/>
      <c r="M113" s="826"/>
      <c r="N113" s="826"/>
      <c r="O113" s="826"/>
      <c r="P113" s="826"/>
      <c r="Q113" s="826"/>
      <c r="R113" s="826"/>
      <c r="S113" s="826"/>
      <c r="T113" s="826"/>
      <c r="U113" s="826"/>
      <c r="V113" s="826"/>
      <c r="W113" s="826"/>
      <c r="X113" s="826"/>
      <c r="Y113" s="826"/>
      <c r="Z113" s="826"/>
      <c r="AA113" s="826"/>
      <c r="AB113" s="826"/>
      <c r="AC113" s="826"/>
      <c r="AD113" s="826"/>
      <c r="AE113" s="826"/>
      <c r="AF113" s="827"/>
      <c r="AG113" s="828"/>
      <c r="AH113" s="828"/>
      <c r="AI113" s="828"/>
      <c r="AJ113" s="828"/>
      <c r="AK113" s="828"/>
      <c r="AL113" s="828"/>
      <c r="AM113" s="828"/>
      <c r="AN113" s="826"/>
      <c r="AO113" s="826"/>
      <c r="AP113" s="826"/>
      <c r="AQ113" s="826"/>
      <c r="AR113" s="826"/>
      <c r="AS113" s="826"/>
      <c r="AT113" s="826"/>
      <c r="AU113" s="826"/>
      <c r="AV113" s="826"/>
      <c r="AW113" s="826"/>
      <c r="AX113" s="827"/>
      <c r="AY113" s="828"/>
      <c r="AZ113" s="828"/>
      <c r="BA113" s="828"/>
      <c r="BB113" s="828"/>
      <c r="BC113" s="828"/>
      <c r="BD113" s="263"/>
    </row>
    <row r="114" spans="1:56" hidden="1" outlineLevel="1" x14ac:dyDescent="0.25">
      <c r="A114" s="684" t="s">
        <v>91</v>
      </c>
      <c r="B114" s="276"/>
      <c r="C114" s="804">
        <f t="shared" ref="C114:AL114" si="159">ROUND(INDEX(SP_NGF_EBITDA,0,COLUMN())-INDEX(MO_RIS_EBITDA_Adj,0,COLUMN()),6)</f>
        <v>0</v>
      </c>
      <c r="D114" s="804">
        <f t="shared" si="159"/>
        <v>0</v>
      </c>
      <c r="E114" s="804">
        <f t="shared" si="159"/>
        <v>0</v>
      </c>
      <c r="F114" s="804">
        <f t="shared" si="159"/>
        <v>0</v>
      </c>
      <c r="G114" s="804">
        <f t="shared" si="159"/>
        <v>0</v>
      </c>
      <c r="H114" s="804">
        <f t="shared" si="159"/>
        <v>0</v>
      </c>
      <c r="I114" s="804">
        <f t="shared" si="159"/>
        <v>0</v>
      </c>
      <c r="J114" s="804">
        <f t="shared" si="159"/>
        <v>0</v>
      </c>
      <c r="K114" s="804">
        <f t="shared" si="159"/>
        <v>0</v>
      </c>
      <c r="L114" s="804">
        <f t="shared" si="159"/>
        <v>0</v>
      </c>
      <c r="M114" s="804">
        <f t="shared" si="159"/>
        <v>0</v>
      </c>
      <c r="N114" s="804">
        <f t="shared" si="159"/>
        <v>0</v>
      </c>
      <c r="O114" s="804">
        <f t="shared" si="159"/>
        <v>0</v>
      </c>
      <c r="P114" s="804">
        <f t="shared" si="159"/>
        <v>0</v>
      </c>
      <c r="Q114" s="804">
        <f t="shared" si="159"/>
        <v>0</v>
      </c>
      <c r="R114" s="804">
        <f t="shared" si="159"/>
        <v>0</v>
      </c>
      <c r="S114" s="804">
        <f t="shared" si="159"/>
        <v>0</v>
      </c>
      <c r="T114" s="804">
        <f t="shared" si="159"/>
        <v>0</v>
      </c>
      <c r="U114" s="804">
        <f t="shared" si="159"/>
        <v>0</v>
      </c>
      <c r="V114" s="804">
        <f t="shared" si="159"/>
        <v>0</v>
      </c>
      <c r="W114" s="804">
        <f t="shared" si="159"/>
        <v>0</v>
      </c>
      <c r="X114" s="804">
        <f t="shared" si="159"/>
        <v>0</v>
      </c>
      <c r="Y114" s="804">
        <f t="shared" si="159"/>
        <v>0</v>
      </c>
      <c r="Z114" s="804">
        <f t="shared" si="159"/>
        <v>0</v>
      </c>
      <c r="AA114" s="804">
        <f t="shared" si="159"/>
        <v>0</v>
      </c>
      <c r="AB114" s="804">
        <f t="shared" si="159"/>
        <v>0</v>
      </c>
      <c r="AC114" s="804">
        <f t="shared" si="159"/>
        <v>0</v>
      </c>
      <c r="AD114" s="804">
        <f t="shared" si="159"/>
        <v>0</v>
      </c>
      <c r="AE114" s="804">
        <f t="shared" si="159"/>
        <v>0</v>
      </c>
      <c r="AF114" s="805">
        <f t="shared" si="159"/>
        <v>0</v>
      </c>
      <c r="AG114" s="806">
        <f t="shared" si="159"/>
        <v>0</v>
      </c>
      <c r="AH114" s="806">
        <f t="shared" si="159"/>
        <v>0</v>
      </c>
      <c r="AI114" s="806">
        <f t="shared" si="159"/>
        <v>0</v>
      </c>
      <c r="AJ114" s="806">
        <f t="shared" si="159"/>
        <v>0</v>
      </c>
      <c r="AK114" s="806">
        <f t="shared" si="159"/>
        <v>0</v>
      </c>
      <c r="AL114" s="806">
        <f t="shared" si="159"/>
        <v>0</v>
      </c>
      <c r="AM114" s="806"/>
      <c r="AN114" s="804">
        <f t="shared" ref="AN114:BC114" si="160">ROUND(INDEX(SP_NGF_EBITDA,0,COLUMN())-INDEX(MO_RIS_EBITDA_Adj,0,COLUMN()),6)</f>
        <v>0</v>
      </c>
      <c r="AO114" s="804">
        <f t="shared" si="160"/>
        <v>0</v>
      </c>
      <c r="AP114" s="804">
        <f t="shared" si="160"/>
        <v>0</v>
      </c>
      <c r="AQ114" s="804">
        <f t="shared" si="160"/>
        <v>0</v>
      </c>
      <c r="AR114" s="804">
        <f t="shared" si="160"/>
        <v>0</v>
      </c>
      <c r="AS114" s="804">
        <f t="shared" si="160"/>
        <v>0</v>
      </c>
      <c r="AT114" s="804">
        <f t="shared" si="160"/>
        <v>0</v>
      </c>
      <c r="AU114" s="804">
        <f t="shared" si="160"/>
        <v>0</v>
      </c>
      <c r="AV114" s="804">
        <f t="shared" si="160"/>
        <v>0</v>
      </c>
      <c r="AW114" s="804">
        <f t="shared" si="160"/>
        <v>0</v>
      </c>
      <c r="AX114" s="805">
        <f t="shared" si="160"/>
        <v>0</v>
      </c>
      <c r="AY114" s="806">
        <f t="shared" si="160"/>
        <v>0</v>
      </c>
      <c r="AZ114" s="806">
        <f t="shared" si="160"/>
        <v>0</v>
      </c>
      <c r="BA114" s="806">
        <f t="shared" si="160"/>
        <v>0</v>
      </c>
      <c r="BB114" s="806">
        <f t="shared" si="160"/>
        <v>0</v>
      </c>
      <c r="BC114" s="806">
        <f t="shared" si="160"/>
        <v>0</v>
      </c>
      <c r="BD114" s="263"/>
    </row>
    <row r="115" spans="1:56" hidden="1" outlineLevel="1" x14ac:dyDescent="0.25">
      <c r="A115" s="684" t="s">
        <v>346</v>
      </c>
      <c r="B115" s="276"/>
      <c r="C115" s="804">
        <f t="shared" ref="C115:AL115" si="161">ROUND(INDEX(SP_NGF_NI,0,COLUMN())-INDEX(MO_RIS_NI_NONGAAP_Diluted,0,COLUMN()),6)</f>
        <v>0</v>
      </c>
      <c r="D115" s="804">
        <f t="shared" si="161"/>
        <v>0</v>
      </c>
      <c r="E115" s="804">
        <f t="shared" si="161"/>
        <v>0</v>
      </c>
      <c r="F115" s="804">
        <f t="shared" si="161"/>
        <v>0</v>
      </c>
      <c r="G115" s="804">
        <f t="shared" si="161"/>
        <v>0</v>
      </c>
      <c r="H115" s="804">
        <f t="shared" si="161"/>
        <v>0</v>
      </c>
      <c r="I115" s="804">
        <f t="shared" si="161"/>
        <v>0</v>
      </c>
      <c r="J115" s="804">
        <f t="shared" si="161"/>
        <v>0</v>
      </c>
      <c r="K115" s="804">
        <f t="shared" si="161"/>
        <v>0</v>
      </c>
      <c r="L115" s="804">
        <f t="shared" si="161"/>
        <v>0</v>
      </c>
      <c r="M115" s="804">
        <f t="shared" si="161"/>
        <v>0</v>
      </c>
      <c r="N115" s="804">
        <f t="shared" si="161"/>
        <v>0</v>
      </c>
      <c r="O115" s="804">
        <f t="shared" si="161"/>
        <v>0</v>
      </c>
      <c r="P115" s="804">
        <f t="shared" si="161"/>
        <v>0</v>
      </c>
      <c r="Q115" s="804">
        <f t="shared" si="161"/>
        <v>0</v>
      </c>
      <c r="R115" s="804">
        <f t="shared" si="161"/>
        <v>0</v>
      </c>
      <c r="S115" s="804">
        <f t="shared" si="161"/>
        <v>0</v>
      </c>
      <c r="T115" s="804">
        <f t="shared" si="161"/>
        <v>0</v>
      </c>
      <c r="U115" s="804">
        <f t="shared" si="161"/>
        <v>0</v>
      </c>
      <c r="V115" s="804">
        <f t="shared" si="161"/>
        <v>0</v>
      </c>
      <c r="W115" s="804">
        <f t="shared" si="161"/>
        <v>0</v>
      </c>
      <c r="X115" s="804">
        <f t="shared" si="161"/>
        <v>0</v>
      </c>
      <c r="Y115" s="804">
        <f t="shared" si="161"/>
        <v>0</v>
      </c>
      <c r="Z115" s="804">
        <f t="shared" si="161"/>
        <v>0</v>
      </c>
      <c r="AA115" s="804">
        <f t="shared" si="161"/>
        <v>0</v>
      </c>
      <c r="AB115" s="804">
        <f t="shared" si="161"/>
        <v>0</v>
      </c>
      <c r="AC115" s="804">
        <f t="shared" si="161"/>
        <v>0</v>
      </c>
      <c r="AD115" s="804">
        <f t="shared" si="161"/>
        <v>0</v>
      </c>
      <c r="AE115" s="804">
        <f t="shared" si="161"/>
        <v>0</v>
      </c>
      <c r="AF115" s="805">
        <f t="shared" si="161"/>
        <v>0</v>
      </c>
      <c r="AG115" s="806">
        <f t="shared" si="161"/>
        <v>0</v>
      </c>
      <c r="AH115" s="806">
        <f t="shared" ca="1" si="161"/>
        <v>0</v>
      </c>
      <c r="AI115" s="806">
        <f t="shared" ca="1" si="161"/>
        <v>0</v>
      </c>
      <c r="AJ115" s="806">
        <f t="shared" ca="1" si="161"/>
        <v>0</v>
      </c>
      <c r="AK115" s="806">
        <f t="shared" ca="1" si="161"/>
        <v>0</v>
      </c>
      <c r="AL115" s="806">
        <f t="shared" ca="1" si="161"/>
        <v>0</v>
      </c>
      <c r="AM115" s="806"/>
      <c r="AN115" s="804">
        <f t="shared" ref="AN115:BC115" si="162">ROUND(INDEX(SP_NGF_NI,0,COLUMN())-INDEX(MO_RIS_NI_NONGAAP_Diluted,0,COLUMN()),6)</f>
        <v>0</v>
      </c>
      <c r="AO115" s="804">
        <f t="shared" si="162"/>
        <v>0</v>
      </c>
      <c r="AP115" s="804">
        <f t="shared" si="162"/>
        <v>0</v>
      </c>
      <c r="AQ115" s="804">
        <f t="shared" si="162"/>
        <v>0</v>
      </c>
      <c r="AR115" s="804">
        <f t="shared" si="162"/>
        <v>0</v>
      </c>
      <c r="AS115" s="804">
        <f t="shared" si="162"/>
        <v>0</v>
      </c>
      <c r="AT115" s="804">
        <f t="shared" si="162"/>
        <v>0</v>
      </c>
      <c r="AU115" s="804">
        <f t="shared" si="162"/>
        <v>0</v>
      </c>
      <c r="AV115" s="804">
        <f t="shared" si="162"/>
        <v>0</v>
      </c>
      <c r="AW115" s="804">
        <f t="shared" si="162"/>
        <v>0</v>
      </c>
      <c r="AX115" s="805">
        <f t="shared" si="162"/>
        <v>0</v>
      </c>
      <c r="AY115" s="806">
        <f t="shared" ca="1" si="162"/>
        <v>0</v>
      </c>
      <c r="AZ115" s="806">
        <f t="shared" ca="1" si="162"/>
        <v>0</v>
      </c>
      <c r="BA115" s="806">
        <f t="shared" ca="1" si="162"/>
        <v>0</v>
      </c>
      <c r="BB115" s="806">
        <f t="shared" ca="1" si="162"/>
        <v>0</v>
      </c>
      <c r="BC115" s="806">
        <f t="shared" ca="1" si="162"/>
        <v>0</v>
      </c>
      <c r="BD115" s="263"/>
    </row>
    <row r="116" spans="1:56" hidden="1" outlineLevel="1" x14ac:dyDescent="0.25">
      <c r="A116" s="684" t="s">
        <v>347</v>
      </c>
      <c r="B116" s="276"/>
      <c r="C116" s="804">
        <f t="shared" ref="C116:AL116" si="163">ROUND(INDEX(SP_GF_NI,0,COLUMN())-INDEX(MO_RIS_NI_GAAP_Basic,0,COLUMN()),6)</f>
        <v>0</v>
      </c>
      <c r="D116" s="804">
        <f t="shared" si="163"/>
        <v>0</v>
      </c>
      <c r="E116" s="804">
        <f t="shared" si="163"/>
        <v>0</v>
      </c>
      <c r="F116" s="804">
        <f t="shared" si="163"/>
        <v>0</v>
      </c>
      <c r="G116" s="804">
        <f t="shared" si="163"/>
        <v>0</v>
      </c>
      <c r="H116" s="804">
        <f t="shared" si="163"/>
        <v>0</v>
      </c>
      <c r="I116" s="804">
        <f t="shared" si="163"/>
        <v>0</v>
      </c>
      <c r="J116" s="804">
        <f t="shared" si="163"/>
        <v>0</v>
      </c>
      <c r="K116" s="804">
        <f t="shared" si="163"/>
        <v>0</v>
      </c>
      <c r="L116" s="804">
        <f t="shared" si="163"/>
        <v>0</v>
      </c>
      <c r="M116" s="804">
        <f t="shared" si="163"/>
        <v>0</v>
      </c>
      <c r="N116" s="804">
        <f t="shared" si="163"/>
        <v>0</v>
      </c>
      <c r="O116" s="804">
        <f t="shared" si="163"/>
        <v>0</v>
      </c>
      <c r="P116" s="804">
        <f t="shared" si="163"/>
        <v>0</v>
      </c>
      <c r="Q116" s="804">
        <f t="shared" si="163"/>
        <v>0</v>
      </c>
      <c r="R116" s="804">
        <f t="shared" si="163"/>
        <v>0</v>
      </c>
      <c r="S116" s="804">
        <f t="shared" si="163"/>
        <v>0</v>
      </c>
      <c r="T116" s="804">
        <f t="shared" si="163"/>
        <v>0</v>
      </c>
      <c r="U116" s="804">
        <f t="shared" si="163"/>
        <v>0</v>
      </c>
      <c r="V116" s="804">
        <f t="shared" si="163"/>
        <v>0</v>
      </c>
      <c r="W116" s="804">
        <f t="shared" si="163"/>
        <v>0</v>
      </c>
      <c r="X116" s="804">
        <f t="shared" si="163"/>
        <v>0</v>
      </c>
      <c r="Y116" s="804">
        <f t="shared" si="163"/>
        <v>0</v>
      </c>
      <c r="Z116" s="804">
        <f t="shared" si="163"/>
        <v>0</v>
      </c>
      <c r="AA116" s="804">
        <f t="shared" si="163"/>
        <v>0</v>
      </c>
      <c r="AB116" s="804">
        <f t="shared" si="163"/>
        <v>0</v>
      </c>
      <c r="AC116" s="804">
        <f t="shared" si="163"/>
        <v>0</v>
      </c>
      <c r="AD116" s="804">
        <f t="shared" si="163"/>
        <v>0</v>
      </c>
      <c r="AE116" s="804">
        <f t="shared" si="163"/>
        <v>0</v>
      </c>
      <c r="AF116" s="805">
        <f t="shared" si="163"/>
        <v>0</v>
      </c>
      <c r="AG116" s="806">
        <f t="shared" si="163"/>
        <v>0</v>
      </c>
      <c r="AH116" s="806">
        <f t="shared" ca="1" si="163"/>
        <v>0</v>
      </c>
      <c r="AI116" s="806">
        <f t="shared" ca="1" si="163"/>
        <v>0</v>
      </c>
      <c r="AJ116" s="806">
        <f t="shared" ca="1" si="163"/>
        <v>0</v>
      </c>
      <c r="AK116" s="806">
        <f t="shared" ca="1" si="163"/>
        <v>0</v>
      </c>
      <c r="AL116" s="806">
        <f t="shared" ca="1" si="163"/>
        <v>0</v>
      </c>
      <c r="AM116" s="806"/>
      <c r="AN116" s="804">
        <f t="shared" ref="AN116:BC116" si="164">ROUND(INDEX(SP_GF_NI,0,COLUMN())-INDEX(MO_RIS_NI_GAAP_Basic,0,COLUMN()),6)</f>
        <v>0</v>
      </c>
      <c r="AO116" s="804">
        <f t="shared" si="164"/>
        <v>0</v>
      </c>
      <c r="AP116" s="804">
        <f t="shared" si="164"/>
        <v>0</v>
      </c>
      <c r="AQ116" s="804">
        <f t="shared" si="164"/>
        <v>0</v>
      </c>
      <c r="AR116" s="804">
        <f t="shared" si="164"/>
        <v>0</v>
      </c>
      <c r="AS116" s="804">
        <f t="shared" si="164"/>
        <v>0</v>
      </c>
      <c r="AT116" s="804">
        <f t="shared" si="164"/>
        <v>0</v>
      </c>
      <c r="AU116" s="804">
        <f t="shared" si="164"/>
        <v>0</v>
      </c>
      <c r="AV116" s="804">
        <f t="shared" si="164"/>
        <v>0</v>
      </c>
      <c r="AW116" s="804">
        <f t="shared" si="164"/>
        <v>0</v>
      </c>
      <c r="AX116" s="805">
        <f t="shared" si="164"/>
        <v>0</v>
      </c>
      <c r="AY116" s="806">
        <f t="shared" ca="1" si="164"/>
        <v>0</v>
      </c>
      <c r="AZ116" s="806">
        <f t="shared" ca="1" si="164"/>
        <v>0</v>
      </c>
      <c r="BA116" s="806">
        <f t="shared" ca="1" si="164"/>
        <v>0</v>
      </c>
      <c r="BB116" s="806">
        <f t="shared" ca="1" si="164"/>
        <v>0</v>
      </c>
      <c r="BC116" s="806">
        <f t="shared" ca="1" si="164"/>
        <v>0</v>
      </c>
      <c r="BD116" s="263"/>
    </row>
    <row r="117" spans="1:56" hidden="1" outlineLevel="1" x14ac:dyDescent="0.25">
      <c r="A117" s="684" t="s">
        <v>348</v>
      </c>
      <c r="B117" s="276"/>
      <c r="C117" s="804">
        <f t="shared" ref="C117:AL117" ca="1" si="165">ROUND(INDEX(SP_CFA_NetChange,0,COLUMN())-INDEX(MO_CFS_NetChange,0,COLUMN()),6)</f>
        <v>0</v>
      </c>
      <c r="D117" s="804">
        <f t="shared" ca="1" si="165"/>
        <v>0</v>
      </c>
      <c r="E117" s="804">
        <f t="shared" ca="1" si="165"/>
        <v>0</v>
      </c>
      <c r="F117" s="804">
        <f t="shared" ca="1" si="165"/>
        <v>0</v>
      </c>
      <c r="G117" s="804">
        <f t="shared" ca="1" si="165"/>
        <v>0</v>
      </c>
      <c r="H117" s="804">
        <f t="shared" ca="1" si="165"/>
        <v>0</v>
      </c>
      <c r="I117" s="804">
        <f t="shared" ca="1" si="165"/>
        <v>0</v>
      </c>
      <c r="J117" s="804">
        <f t="shared" ca="1" si="165"/>
        <v>0</v>
      </c>
      <c r="K117" s="804">
        <f t="shared" ca="1" si="165"/>
        <v>0</v>
      </c>
      <c r="L117" s="804">
        <f t="shared" ca="1" si="165"/>
        <v>0</v>
      </c>
      <c r="M117" s="804">
        <f t="shared" ca="1" si="165"/>
        <v>0</v>
      </c>
      <c r="N117" s="804">
        <f t="shared" ca="1" si="165"/>
        <v>0</v>
      </c>
      <c r="O117" s="804">
        <f t="shared" ca="1" si="165"/>
        <v>0</v>
      </c>
      <c r="P117" s="804">
        <f t="shared" ca="1" si="165"/>
        <v>0</v>
      </c>
      <c r="Q117" s="804">
        <f t="shared" ca="1" si="165"/>
        <v>0</v>
      </c>
      <c r="R117" s="804">
        <f t="shared" ca="1" si="165"/>
        <v>0</v>
      </c>
      <c r="S117" s="804">
        <f t="shared" ca="1" si="165"/>
        <v>0</v>
      </c>
      <c r="T117" s="804">
        <f t="shared" ca="1" si="165"/>
        <v>0</v>
      </c>
      <c r="U117" s="804">
        <f t="shared" ca="1" si="165"/>
        <v>0</v>
      </c>
      <c r="V117" s="804">
        <f t="shared" ca="1" si="165"/>
        <v>0</v>
      </c>
      <c r="W117" s="804">
        <f t="shared" ca="1" si="165"/>
        <v>0</v>
      </c>
      <c r="X117" s="804">
        <f t="shared" ca="1" si="165"/>
        <v>0</v>
      </c>
      <c r="Y117" s="804">
        <f t="shared" ca="1" si="165"/>
        <v>0</v>
      </c>
      <c r="Z117" s="804">
        <f t="shared" ca="1" si="165"/>
        <v>0</v>
      </c>
      <c r="AA117" s="804">
        <f t="shared" ca="1" si="165"/>
        <v>0</v>
      </c>
      <c r="AB117" s="804">
        <f t="shared" ca="1" si="165"/>
        <v>0</v>
      </c>
      <c r="AC117" s="804">
        <f t="shared" ca="1" si="165"/>
        <v>0</v>
      </c>
      <c r="AD117" s="804">
        <f t="shared" ca="1" si="165"/>
        <v>0</v>
      </c>
      <c r="AE117" s="804">
        <f t="shared" ca="1" si="165"/>
        <v>0</v>
      </c>
      <c r="AF117" s="805">
        <f t="shared" ca="1" si="165"/>
        <v>0</v>
      </c>
      <c r="AG117" s="806">
        <f t="shared" ca="1" si="165"/>
        <v>0</v>
      </c>
      <c r="AH117" s="806">
        <f t="shared" ca="1" si="165"/>
        <v>0</v>
      </c>
      <c r="AI117" s="806">
        <f t="shared" ca="1" si="165"/>
        <v>0</v>
      </c>
      <c r="AJ117" s="806">
        <f t="shared" ca="1" si="165"/>
        <v>0</v>
      </c>
      <c r="AK117" s="806">
        <f t="shared" ca="1" si="165"/>
        <v>0</v>
      </c>
      <c r="AL117" s="806">
        <f t="shared" ca="1" si="165"/>
        <v>0</v>
      </c>
      <c r="AM117" s="806"/>
      <c r="AN117" s="804">
        <f t="shared" ref="AN117:BC117" ca="1" si="166">ROUND(INDEX(SP_CFA_NetChange,0,COLUMN())-INDEX(MO_CFS_NetChange,0,COLUMN()),6)</f>
        <v>0</v>
      </c>
      <c r="AO117" s="804">
        <f t="shared" ca="1" si="166"/>
        <v>0</v>
      </c>
      <c r="AP117" s="804">
        <f t="shared" ca="1" si="166"/>
        <v>0</v>
      </c>
      <c r="AQ117" s="804">
        <f t="shared" ca="1" si="166"/>
        <v>0</v>
      </c>
      <c r="AR117" s="804">
        <f t="shared" ca="1" si="166"/>
        <v>0</v>
      </c>
      <c r="AS117" s="804">
        <f t="shared" ca="1" si="166"/>
        <v>0</v>
      </c>
      <c r="AT117" s="804">
        <f t="shared" ca="1" si="166"/>
        <v>0</v>
      </c>
      <c r="AU117" s="804">
        <f t="shared" ca="1" si="166"/>
        <v>0</v>
      </c>
      <c r="AV117" s="804">
        <f t="shared" ca="1" si="166"/>
        <v>0</v>
      </c>
      <c r="AW117" s="804">
        <f t="shared" ca="1" si="166"/>
        <v>0</v>
      </c>
      <c r="AX117" s="805">
        <f t="shared" ca="1" si="166"/>
        <v>0</v>
      </c>
      <c r="AY117" s="806">
        <f t="shared" ca="1" si="166"/>
        <v>0</v>
      </c>
      <c r="AZ117" s="806">
        <f t="shared" ca="1" si="166"/>
        <v>0</v>
      </c>
      <c r="BA117" s="806">
        <f t="shared" ca="1" si="166"/>
        <v>0</v>
      </c>
      <c r="BB117" s="806">
        <f t="shared" ca="1" si="166"/>
        <v>0</v>
      </c>
      <c r="BC117" s="806">
        <f t="shared" ca="1" si="166"/>
        <v>0</v>
      </c>
      <c r="BD117" s="263"/>
    </row>
    <row r="118" spans="1:56" collapsed="1" x14ac:dyDescent="0.25">
      <c r="A118" s="263"/>
      <c r="B118" s="263"/>
      <c r="C118" s="263"/>
      <c r="D118" s="263"/>
      <c r="E118" s="263"/>
      <c r="F118" s="263"/>
      <c r="G118" s="263"/>
      <c r="H118" s="263"/>
      <c r="I118" s="263"/>
      <c r="J118" s="263"/>
      <c r="K118" s="263"/>
      <c r="L118" s="263"/>
      <c r="M118" s="263"/>
      <c r="N118" s="263"/>
      <c r="O118" s="263"/>
      <c r="P118" s="263"/>
      <c r="Q118" s="263"/>
      <c r="R118" s="263"/>
      <c r="S118" s="263"/>
      <c r="T118" s="263"/>
      <c r="U118" s="263"/>
      <c r="V118" s="263"/>
      <c r="W118" s="263"/>
      <c r="X118" s="263"/>
      <c r="Y118" s="263"/>
      <c r="Z118" s="263"/>
      <c r="AA118" s="263"/>
      <c r="AB118" s="263"/>
      <c r="AC118" s="263"/>
      <c r="AD118" s="263"/>
      <c r="AE118" s="263"/>
      <c r="AF118" s="263"/>
      <c r="AG118" s="263"/>
      <c r="AH118" s="263"/>
      <c r="AI118" s="263"/>
      <c r="AJ118" s="263"/>
      <c r="AK118" s="263"/>
      <c r="AL118" s="263"/>
      <c r="AM118" s="263"/>
      <c r="AN118" s="263"/>
      <c r="AO118" s="263"/>
      <c r="AP118" s="263"/>
      <c r="AQ118" s="263"/>
      <c r="AR118" s="263"/>
      <c r="AS118" s="263"/>
      <c r="AT118" s="263"/>
      <c r="AU118" s="263"/>
      <c r="AV118" s="263"/>
      <c r="AW118" s="263"/>
      <c r="AX118" s="263"/>
      <c r="AY118" s="263"/>
      <c r="AZ118" s="263"/>
      <c r="BA118" s="263"/>
      <c r="BB118" s="263"/>
      <c r="BC118" s="263"/>
      <c r="BD118" s="263"/>
    </row>
  </sheetData>
  <conditionalFormatting sqref="C114:V117 AN114:AV117 BB114:BC117">
    <cfRule type="cellIs" dxfId="19" priority="23" operator="equal">
      <formula>0</formula>
    </cfRule>
    <cfRule type="cellIs" dxfId="18" priority="24" operator="notEqual">
      <formula>0</formula>
    </cfRule>
  </conditionalFormatting>
  <conditionalFormatting sqref="AA114:AA117 AC114:AD117 AX114:AX117">
    <cfRule type="cellIs" dxfId="17" priority="19" operator="equal">
      <formula>0</formula>
    </cfRule>
    <cfRule type="cellIs" dxfId="16" priority="20" operator="notEqual">
      <formula>0</formula>
    </cfRule>
  </conditionalFormatting>
  <conditionalFormatting sqref="X114:X117">
    <cfRule type="cellIs" dxfId="15" priority="15" operator="equal">
      <formula>0</formula>
    </cfRule>
    <cfRule type="cellIs" dxfId="14" priority="16" operator="notEqual">
      <formula>0</formula>
    </cfRule>
  </conditionalFormatting>
  <conditionalFormatting sqref="W114:W117">
    <cfRule type="cellIs" dxfId="13" priority="17" operator="equal">
      <formula>0</formula>
    </cfRule>
    <cfRule type="cellIs" dxfId="12" priority="18" operator="notEqual">
      <formula>0</formula>
    </cfRule>
  </conditionalFormatting>
  <conditionalFormatting sqref="Y114:Y117">
    <cfRule type="cellIs" dxfId="11" priority="13" operator="equal">
      <formula>0</formula>
    </cfRule>
    <cfRule type="cellIs" dxfId="10" priority="14" operator="notEqual">
      <formula>0</formula>
    </cfRule>
  </conditionalFormatting>
  <conditionalFormatting sqref="Z114:Z117 AW114:AW117">
    <cfRule type="cellIs" dxfId="9" priority="11" operator="equal">
      <formula>0</formula>
    </cfRule>
    <cfRule type="cellIs" dxfId="8" priority="12" operator="notEqual">
      <formula>0</formula>
    </cfRule>
  </conditionalFormatting>
  <conditionalFormatting sqref="AE114:AH117 AY114:AY117">
    <cfRule type="cellIs" dxfId="7" priority="9" operator="equal">
      <formula>0</formula>
    </cfRule>
    <cfRule type="cellIs" dxfId="6" priority="10" operator="notEqual">
      <formula>0</formula>
    </cfRule>
  </conditionalFormatting>
  <conditionalFormatting sqref="AB114:AB117">
    <cfRule type="cellIs" dxfId="5" priority="5" operator="equal">
      <formula>0</formula>
    </cfRule>
    <cfRule type="cellIs" dxfId="4" priority="6" operator="notEqual">
      <formula>0</formula>
    </cfRule>
  </conditionalFormatting>
  <conditionalFormatting sqref="AI114:AM117 AZ114:AZ117">
    <cfRule type="cellIs" dxfId="3" priority="3" operator="equal">
      <formula>0</formula>
    </cfRule>
    <cfRule type="cellIs" dxfId="2" priority="4" operator="notEqual">
      <formula>0</formula>
    </cfRule>
  </conditionalFormatting>
  <conditionalFormatting sqref="BA114:BA117">
    <cfRule type="cellIs" dxfId="1" priority="1" operator="equal">
      <formula>0</formula>
    </cfRule>
    <cfRule type="cellIs" dxfId="0" priority="2" operator="notEqual">
      <formula>0</formula>
    </cfRule>
  </conditionalFormatting>
  <dataValidations count="1">
    <dataValidation type="list" showInputMessage="1" showErrorMessage="1" sqref="B4" xr:uid="{00000000-0002-0000-0400-000000000000}">
      <formula1>OFFSET(tb_ValuationToggle,1,0,3,1)</formula1>
    </dataValidation>
  </dataValidations>
  <pageMargins left="0.7" right="0.7" top="0.75" bottom="0.75" header="0.3" footer="0.3"/>
  <pageSetup scale="3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624286-6798-480C-B058-E546D8824CB8}">
  <sheetPr codeName="Sheet41"/>
  <dimension ref="A1:J55"/>
  <sheetViews>
    <sheetView showGridLines="0" workbookViewId="0"/>
  </sheetViews>
  <sheetFormatPr defaultColWidth="8.85546875" defaultRowHeight="15" x14ac:dyDescent="0.25"/>
  <cols>
    <col min="1" max="1" width="4.42578125" style="16" customWidth="1"/>
    <col min="2" max="2" width="9.85546875" style="16" customWidth="1"/>
    <col min="3" max="3" width="15.7109375" style="16" customWidth="1"/>
    <col min="4" max="4" width="20.7109375" style="16" customWidth="1"/>
    <col min="5" max="5" width="30.7109375" style="16" customWidth="1"/>
    <col min="6" max="6" width="20.7109375" style="16"/>
    <col min="7" max="7" width="23.7109375" style="16" customWidth="1"/>
    <col min="8" max="8" width="45.7109375" style="16" customWidth="1"/>
    <col min="9" max="9" width="7.85546875" style="16" customWidth="1"/>
    <col min="10" max="11" width="8.85546875" style="16" customWidth="1"/>
    <col min="12" max="16384" width="8.85546875" style="16"/>
  </cols>
  <sheetData>
    <row r="1" spans="1:10" x14ac:dyDescent="0.25">
      <c r="A1" s="19"/>
      <c r="B1" s="19"/>
      <c r="C1" s="19"/>
      <c r="D1" s="19"/>
      <c r="E1" s="19"/>
      <c r="F1" s="19"/>
      <c r="G1" s="19"/>
      <c r="H1" s="19"/>
    </row>
    <row r="2" spans="1:10" x14ac:dyDescent="0.25">
      <c r="A2" s="19"/>
      <c r="B2" s="93"/>
      <c r="C2" s="93"/>
      <c r="D2" s="93"/>
      <c r="E2" s="15"/>
      <c r="F2" s="15"/>
      <c r="G2" s="15"/>
      <c r="H2" s="15"/>
      <c r="I2" s="15"/>
    </row>
    <row r="3" spans="1:10" x14ac:dyDescent="0.25">
      <c r="A3" s="19"/>
      <c r="B3" s="93"/>
      <c r="C3" s="93"/>
      <c r="D3" s="93"/>
      <c r="E3" s="15"/>
      <c r="F3" s="15"/>
      <c r="G3" s="15"/>
      <c r="H3" s="15"/>
      <c r="I3" s="15"/>
    </row>
    <row r="4" spans="1:10" x14ac:dyDescent="0.25">
      <c r="A4" s="19"/>
      <c r="B4" s="93"/>
      <c r="C4" s="93"/>
      <c r="D4" s="93"/>
      <c r="E4" s="15"/>
      <c r="F4" s="15"/>
      <c r="G4" s="15"/>
      <c r="H4" s="15"/>
      <c r="I4" s="15"/>
    </row>
    <row r="5" spans="1:10" x14ac:dyDescent="0.25">
      <c r="A5" s="19"/>
      <c r="B5" s="93"/>
      <c r="C5" s="93"/>
      <c r="D5" s="93"/>
      <c r="E5" s="15"/>
      <c r="F5" s="15"/>
      <c r="G5" s="15"/>
      <c r="H5" s="15"/>
      <c r="I5" s="15"/>
    </row>
    <row r="6" spans="1:10" x14ac:dyDescent="0.25">
      <c r="A6" s="19"/>
      <c r="B6" s="93"/>
      <c r="C6" s="93"/>
      <c r="D6" s="93"/>
      <c r="E6" s="15"/>
      <c r="F6" s="15"/>
      <c r="G6" s="15"/>
      <c r="H6" s="15"/>
      <c r="I6" s="15"/>
    </row>
    <row r="7" spans="1:10" ht="18.75" customHeight="1" x14ac:dyDescent="0.25">
      <c r="A7" s="19"/>
      <c r="B7" s="93"/>
      <c r="C7" s="93"/>
      <c r="D7" s="93"/>
      <c r="E7" s="520">
        <f>MATCH(UL.MRQ,MO_Common_ColumnHeader,0)</f>
        <v>32</v>
      </c>
      <c r="F7" s="18" t="s">
        <v>471</v>
      </c>
      <c r="G7" s="591"/>
      <c r="H7" s="105" t="str">
        <f>AA.CSIN</f>
        <v>VVZVFH0115</v>
      </c>
      <c r="I7" s="17"/>
      <c r="J7" s="22"/>
    </row>
    <row r="8" spans="1:10" x14ac:dyDescent="0.25">
      <c r="A8" s="19"/>
      <c r="B8" s="93"/>
      <c r="C8" s="93"/>
      <c r="D8" s="93"/>
      <c r="E8" s="15"/>
      <c r="F8" s="15"/>
      <c r="G8" s="15"/>
      <c r="H8" s="240" t="str">
        <f>+AA.ModelVersion</f>
        <v>Q2-2020.21</v>
      </c>
      <c r="I8" s="15"/>
    </row>
    <row r="9" spans="1:10" x14ac:dyDescent="0.25">
      <c r="A9" s="19"/>
      <c r="B9" s="15"/>
      <c r="C9" s="15"/>
      <c r="D9" s="15"/>
      <c r="E9" s="15"/>
      <c r="F9" s="15"/>
      <c r="G9" s="15"/>
      <c r="H9" s="15"/>
      <c r="I9" s="15"/>
    </row>
    <row r="10" spans="1:10" x14ac:dyDescent="0.25">
      <c r="A10" s="19"/>
      <c r="B10" s="15"/>
      <c r="C10" s="583" t="s">
        <v>349</v>
      </c>
      <c r="D10" s="583" t="s">
        <v>350</v>
      </c>
      <c r="E10" s="583" t="s">
        <v>351</v>
      </c>
      <c r="F10" s="583" t="s">
        <v>433</v>
      </c>
      <c r="G10" s="583" t="s">
        <v>352</v>
      </c>
      <c r="H10" s="598" t="s">
        <v>353</v>
      </c>
      <c r="I10" s="15"/>
    </row>
    <row r="11" spans="1:10" s="624" customFormat="1" x14ac:dyDescent="0.25">
      <c r="A11" s="19"/>
      <c r="B11" s="15"/>
      <c r="C11" s="239">
        <v>44050</v>
      </c>
      <c r="D11" s="236" t="s">
        <v>473</v>
      </c>
      <c r="E11" s="587" t="s">
        <v>413</v>
      </c>
      <c r="F11" s="587" t="s">
        <v>471</v>
      </c>
      <c r="G11" s="592"/>
      <c r="H11" s="599" t="s">
        <v>356</v>
      </c>
      <c r="I11" s="15"/>
    </row>
    <row r="12" spans="1:10" s="623" customFormat="1" x14ac:dyDescent="0.25">
      <c r="A12" s="19"/>
      <c r="B12" s="15"/>
      <c r="C12" s="239">
        <v>43962</v>
      </c>
      <c r="D12" s="236" t="s">
        <v>377</v>
      </c>
      <c r="E12" s="587" t="s">
        <v>434</v>
      </c>
      <c r="F12" s="587" t="s">
        <v>468</v>
      </c>
      <c r="G12" s="592"/>
      <c r="H12" s="603" t="s">
        <v>356</v>
      </c>
      <c r="I12" s="15"/>
    </row>
    <row r="13" spans="1:10" s="616" customFormat="1" x14ac:dyDescent="0.25">
      <c r="A13" s="19"/>
      <c r="B13" s="15"/>
      <c r="C13" s="239">
        <v>43962</v>
      </c>
      <c r="D13" s="236" t="s">
        <v>377</v>
      </c>
      <c r="E13" s="587" t="s">
        <v>413</v>
      </c>
      <c r="F13" s="587" t="s">
        <v>468</v>
      </c>
      <c r="G13" s="592"/>
      <c r="H13" s="603" t="s">
        <v>356</v>
      </c>
      <c r="I13" s="15"/>
    </row>
    <row r="14" spans="1:10" s="602" customFormat="1" x14ac:dyDescent="0.25">
      <c r="A14" s="19"/>
      <c r="B14" s="15"/>
      <c r="C14" s="239">
        <v>43900</v>
      </c>
      <c r="D14" s="236" t="s">
        <v>448</v>
      </c>
      <c r="E14" s="587" t="s">
        <v>378</v>
      </c>
      <c r="F14" s="587" t="s">
        <v>436</v>
      </c>
      <c r="G14" s="592"/>
      <c r="H14" s="603" t="s">
        <v>356</v>
      </c>
      <c r="I14" s="15"/>
    </row>
    <row r="15" spans="1:10" s="597" customFormat="1" x14ac:dyDescent="0.25">
      <c r="A15" s="19"/>
      <c r="B15" s="15"/>
      <c r="C15" s="239">
        <v>43900</v>
      </c>
      <c r="D15" s="236" t="s">
        <v>377</v>
      </c>
      <c r="E15" s="587" t="s">
        <v>413</v>
      </c>
      <c r="F15" s="587" t="s">
        <v>436</v>
      </c>
      <c r="G15" s="592"/>
      <c r="H15" s="603" t="s">
        <v>356</v>
      </c>
      <c r="I15" s="15"/>
    </row>
    <row r="16" spans="1:10" s="584" customFormat="1" x14ac:dyDescent="0.25">
      <c r="A16" s="19"/>
      <c r="B16" s="15"/>
      <c r="C16" s="239">
        <v>43780</v>
      </c>
      <c r="D16" s="236" t="s">
        <v>388</v>
      </c>
      <c r="E16" s="587" t="s">
        <v>434</v>
      </c>
      <c r="F16" s="587" t="s">
        <v>394</v>
      </c>
      <c r="G16" s="592"/>
      <c r="H16" s="277" t="s">
        <v>356</v>
      </c>
      <c r="I16" s="15"/>
    </row>
    <row r="17" spans="1:9" s="522" customFormat="1" x14ac:dyDescent="0.25">
      <c r="A17" s="19"/>
      <c r="B17" s="15"/>
      <c r="C17" s="239">
        <v>43776</v>
      </c>
      <c r="D17" s="236" t="s">
        <v>377</v>
      </c>
      <c r="E17" s="237" t="s">
        <v>413</v>
      </c>
      <c r="F17" s="237" t="s">
        <v>394</v>
      </c>
      <c r="G17" s="592"/>
      <c r="H17" s="277" t="s">
        <v>356</v>
      </c>
      <c r="I17" s="15"/>
    </row>
    <row r="18" spans="1:9" s="522" customFormat="1" x14ac:dyDescent="0.25">
      <c r="A18" s="19"/>
      <c r="B18" s="15"/>
      <c r="C18" s="319">
        <v>43679</v>
      </c>
      <c r="D18" s="318" t="s">
        <v>377</v>
      </c>
      <c r="E18" s="320" t="s">
        <v>434</v>
      </c>
      <c r="F18" s="320" t="s">
        <v>392</v>
      </c>
      <c r="G18" s="593"/>
      <c r="H18" s="371" t="s">
        <v>356</v>
      </c>
      <c r="I18" s="15"/>
    </row>
    <row r="19" spans="1:9" s="502" customFormat="1" x14ac:dyDescent="0.25">
      <c r="A19" s="19"/>
      <c r="B19" s="15"/>
      <c r="C19" s="329">
        <v>43598</v>
      </c>
      <c r="D19" s="330" t="s">
        <v>388</v>
      </c>
      <c r="E19" s="369" t="s">
        <v>434</v>
      </c>
      <c r="F19" s="369" t="s">
        <v>389</v>
      </c>
      <c r="G19" s="594"/>
      <c r="H19" s="371" t="s">
        <v>356</v>
      </c>
      <c r="I19" s="15"/>
    </row>
    <row r="20" spans="1:9" s="493" customFormat="1" x14ac:dyDescent="0.25">
      <c r="A20" s="19"/>
      <c r="B20" s="15"/>
      <c r="C20" s="329">
        <v>43595</v>
      </c>
      <c r="D20" s="330" t="s">
        <v>385</v>
      </c>
      <c r="E20" s="369" t="s">
        <v>413</v>
      </c>
      <c r="F20" s="369" t="s">
        <v>389</v>
      </c>
      <c r="G20" s="594"/>
      <c r="H20" s="371" t="s">
        <v>356</v>
      </c>
      <c r="I20" s="15"/>
    </row>
    <row r="21" spans="1:9" x14ac:dyDescent="0.25">
      <c r="A21" s="19"/>
      <c r="B21" s="15"/>
      <c r="C21" s="329">
        <v>43556</v>
      </c>
      <c r="D21" s="330" t="s">
        <v>377</v>
      </c>
      <c r="E21" s="369" t="s">
        <v>378</v>
      </c>
      <c r="F21" s="369" t="s">
        <v>386</v>
      </c>
      <c r="G21" s="594"/>
      <c r="H21" s="371" t="s">
        <v>356</v>
      </c>
      <c r="I21" s="15"/>
    </row>
    <row r="22" spans="1:9" x14ac:dyDescent="0.25">
      <c r="A22" s="19"/>
      <c r="B22" s="15"/>
      <c r="C22" s="329">
        <v>43410</v>
      </c>
      <c r="D22" s="330" t="s">
        <v>354</v>
      </c>
      <c r="E22" s="369" t="s">
        <v>434</v>
      </c>
      <c r="F22" s="369" t="s">
        <v>355</v>
      </c>
      <c r="G22" s="594"/>
      <c r="H22" s="370" t="s">
        <v>356</v>
      </c>
      <c r="I22" s="15"/>
    </row>
    <row r="23" spans="1:9" x14ac:dyDescent="0.25">
      <c r="A23" s="19"/>
      <c r="B23" s="15"/>
      <c r="C23" s="329">
        <v>43374</v>
      </c>
      <c r="D23" s="330" t="s">
        <v>357</v>
      </c>
      <c r="E23" s="331" t="s">
        <v>358</v>
      </c>
      <c r="F23" s="331" t="s">
        <v>360</v>
      </c>
      <c r="G23" s="594"/>
      <c r="H23" s="332"/>
      <c r="I23" s="15"/>
    </row>
    <row r="24" spans="1:9" x14ac:dyDescent="0.25">
      <c r="A24" s="19"/>
      <c r="B24" s="15"/>
      <c r="C24" s="315">
        <v>43312</v>
      </c>
      <c r="D24" s="316" t="s">
        <v>359</v>
      </c>
      <c r="E24" s="317" t="s">
        <v>434</v>
      </c>
      <c r="F24" s="317" t="s">
        <v>360</v>
      </c>
      <c r="G24" s="595"/>
      <c r="H24" s="277" t="s">
        <v>356</v>
      </c>
      <c r="I24" s="15"/>
    </row>
    <row r="25" spans="1:9" x14ac:dyDescent="0.25">
      <c r="A25" s="19"/>
      <c r="B25" s="15"/>
      <c r="C25" s="239">
        <v>43223</v>
      </c>
      <c r="D25" s="236" t="s">
        <v>361</v>
      </c>
      <c r="E25" s="237" t="s">
        <v>434</v>
      </c>
      <c r="F25" s="237" t="s">
        <v>362</v>
      </c>
      <c r="G25" s="592"/>
      <c r="H25" s="238" t="s">
        <v>356</v>
      </c>
      <c r="I25" s="15"/>
    </row>
    <row r="26" spans="1:9" x14ac:dyDescent="0.25">
      <c r="A26" s="19"/>
      <c r="B26" s="15"/>
      <c r="C26" s="224">
        <v>43160</v>
      </c>
      <c r="D26" s="221" t="s">
        <v>363</v>
      </c>
      <c r="E26" s="232" t="s">
        <v>378</v>
      </c>
      <c r="F26" s="232" t="s">
        <v>364</v>
      </c>
      <c r="G26" s="592"/>
      <c r="H26" s="223" t="s">
        <v>356</v>
      </c>
      <c r="I26" s="15"/>
    </row>
    <row r="27" spans="1:9" x14ac:dyDescent="0.25">
      <c r="A27" s="19"/>
      <c r="B27" s="15"/>
      <c r="C27" s="224">
        <v>43041</v>
      </c>
      <c r="D27" s="221" t="s">
        <v>365</v>
      </c>
      <c r="E27" s="222" t="s">
        <v>434</v>
      </c>
      <c r="F27" s="222" t="s">
        <v>366</v>
      </c>
      <c r="G27" s="592"/>
      <c r="H27" s="223" t="s">
        <v>356</v>
      </c>
      <c r="I27" s="15"/>
    </row>
    <row r="28" spans="1:9" x14ac:dyDescent="0.25">
      <c r="A28" s="19"/>
      <c r="B28" s="15"/>
      <c r="C28" s="157">
        <v>42943</v>
      </c>
      <c r="D28" s="158" t="s">
        <v>367</v>
      </c>
      <c r="E28" s="159" t="s">
        <v>434</v>
      </c>
      <c r="F28" s="159" t="s">
        <v>368</v>
      </c>
      <c r="G28" s="592"/>
      <c r="H28" s="160" t="s">
        <v>356</v>
      </c>
      <c r="I28" s="15"/>
    </row>
    <row r="29" spans="1:9" x14ac:dyDescent="0.25">
      <c r="A29" s="19"/>
      <c r="B29" s="15"/>
      <c r="C29" s="21">
        <v>42857</v>
      </c>
      <c r="D29" s="20" t="s">
        <v>369</v>
      </c>
      <c r="E29" s="24" t="s">
        <v>434</v>
      </c>
      <c r="F29" s="24" t="s">
        <v>370</v>
      </c>
      <c r="G29" s="592"/>
      <c r="H29" s="102" t="s">
        <v>356</v>
      </c>
      <c r="I29" s="15"/>
    </row>
    <row r="30" spans="1:9" x14ac:dyDescent="0.25">
      <c r="A30" s="19"/>
      <c r="B30" s="15"/>
      <c r="C30" s="21">
        <v>42794</v>
      </c>
      <c r="D30" s="20" t="s">
        <v>371</v>
      </c>
      <c r="E30" s="24" t="s">
        <v>378</v>
      </c>
      <c r="F30" s="24" t="s">
        <v>372</v>
      </c>
      <c r="G30" s="592"/>
      <c r="H30" s="102" t="s">
        <v>356</v>
      </c>
      <c r="I30" s="15"/>
    </row>
    <row r="31" spans="1:9" x14ac:dyDescent="0.25">
      <c r="A31" s="19"/>
      <c r="B31" s="15"/>
      <c r="C31" s="21">
        <v>42676</v>
      </c>
      <c r="D31" s="20" t="s">
        <v>373</v>
      </c>
      <c r="E31" s="24" t="s">
        <v>434</v>
      </c>
      <c r="F31" s="24" t="s">
        <v>374</v>
      </c>
      <c r="G31" s="592"/>
      <c r="H31" s="97" t="s">
        <v>356</v>
      </c>
      <c r="I31" s="15"/>
    </row>
    <row r="32" spans="1:9" x14ac:dyDescent="0.25">
      <c r="A32" s="19"/>
      <c r="B32" s="15"/>
      <c r="C32" s="21">
        <v>42566</v>
      </c>
      <c r="D32" s="20" t="s">
        <v>375</v>
      </c>
      <c r="E32" s="24" t="s">
        <v>376</v>
      </c>
      <c r="F32" s="24" t="s">
        <v>435</v>
      </c>
      <c r="G32" s="592"/>
      <c r="H32" s="98"/>
      <c r="I32" s="15"/>
    </row>
    <row r="33" spans="1:10" x14ac:dyDescent="0.25">
      <c r="A33" s="19"/>
      <c r="B33" s="15"/>
      <c r="C33" s="15"/>
      <c r="D33" s="15"/>
      <c r="E33" s="15"/>
      <c r="F33" s="15"/>
      <c r="G33" s="15"/>
      <c r="H33" s="15"/>
      <c r="I33" s="15"/>
    </row>
    <row r="34" spans="1:10" x14ac:dyDescent="0.25">
      <c r="A34" s="19"/>
      <c r="B34" s="15"/>
      <c r="C34" s="15"/>
      <c r="D34" s="15"/>
      <c r="E34" s="15"/>
      <c r="F34" s="15"/>
      <c r="G34" s="15"/>
      <c r="H34" s="93"/>
      <c r="I34" s="93"/>
      <c r="J34" s="13"/>
    </row>
    <row r="35" spans="1:10" x14ac:dyDescent="0.25">
      <c r="A35" s="19"/>
      <c r="B35" s="15"/>
      <c r="C35" s="15"/>
      <c r="D35" s="15"/>
      <c r="E35" s="15"/>
      <c r="F35" s="15"/>
      <c r="G35" s="15"/>
      <c r="H35" s="93"/>
      <c r="I35" s="93"/>
      <c r="J35" s="13"/>
    </row>
    <row r="36" spans="1:10" x14ac:dyDescent="0.25">
      <c r="A36" s="19"/>
      <c r="B36" s="19"/>
      <c r="C36" s="19"/>
      <c r="D36" s="19"/>
      <c r="E36" s="19"/>
      <c r="F36" s="19"/>
      <c r="G36" s="19"/>
      <c r="H36" s="94"/>
      <c r="I36" s="13"/>
      <c r="J36" s="13"/>
    </row>
    <row r="37" spans="1:10" x14ac:dyDescent="0.25">
      <c r="A37" s="19"/>
      <c r="B37" s="19"/>
      <c r="C37" s="19"/>
      <c r="D37" s="19"/>
      <c r="E37" s="19"/>
      <c r="F37" s="19"/>
      <c r="G37" s="19"/>
      <c r="H37" s="19"/>
    </row>
    <row r="38" spans="1:10" x14ac:dyDescent="0.25">
      <c r="A38" s="19"/>
      <c r="B38" s="19"/>
      <c r="C38" s="19"/>
      <c r="D38" s="19"/>
      <c r="E38" s="19"/>
      <c r="F38" s="19"/>
      <c r="G38" s="19"/>
      <c r="H38" s="19"/>
    </row>
    <row r="39" spans="1:10" x14ac:dyDescent="0.25">
      <c r="A39" s="19"/>
      <c r="B39" s="19"/>
      <c r="C39" s="19"/>
      <c r="D39" s="19"/>
      <c r="E39" s="19"/>
      <c r="F39" s="19"/>
      <c r="G39" s="19"/>
      <c r="H39" s="19"/>
    </row>
    <row r="40" spans="1:10" x14ac:dyDescent="0.25">
      <c r="A40" s="19"/>
      <c r="B40" s="19"/>
      <c r="C40" s="19"/>
      <c r="D40" s="19"/>
      <c r="E40" s="19"/>
      <c r="F40" s="19"/>
      <c r="G40" s="19"/>
      <c r="H40" s="19"/>
    </row>
    <row r="41" spans="1:10" x14ac:dyDescent="0.25">
      <c r="A41" s="19"/>
      <c r="B41" s="19"/>
      <c r="C41" s="19"/>
      <c r="D41" s="19"/>
      <c r="E41" s="19"/>
      <c r="F41" s="19"/>
      <c r="G41" s="19"/>
      <c r="H41" s="19"/>
    </row>
    <row r="42" spans="1:10" x14ac:dyDescent="0.25">
      <c r="A42" s="19"/>
      <c r="B42" s="19"/>
      <c r="C42" s="19"/>
      <c r="D42" s="19"/>
      <c r="E42" s="19"/>
      <c r="F42" s="19"/>
      <c r="G42" s="19"/>
      <c r="H42" s="19"/>
    </row>
    <row r="43" spans="1:10" x14ac:dyDescent="0.25">
      <c r="A43" s="19"/>
      <c r="B43" s="19"/>
      <c r="C43" s="19"/>
      <c r="D43" s="19"/>
      <c r="E43" s="19"/>
      <c r="F43" s="19"/>
      <c r="G43" s="19"/>
      <c r="H43" s="19"/>
    </row>
    <row r="44" spans="1:10" x14ac:dyDescent="0.25">
      <c r="A44" s="19"/>
      <c r="B44" s="19"/>
      <c r="C44" s="19"/>
      <c r="D44" s="19"/>
      <c r="E44" s="19"/>
      <c r="F44" s="19"/>
      <c r="G44" s="19"/>
      <c r="H44" s="19"/>
    </row>
    <row r="45" spans="1:10" x14ac:dyDescent="0.25">
      <c r="A45" s="19"/>
      <c r="B45" s="19"/>
      <c r="C45" s="19"/>
      <c r="D45" s="19"/>
      <c r="E45" s="19"/>
      <c r="F45" s="19"/>
      <c r="G45" s="19"/>
      <c r="H45" s="19"/>
    </row>
    <row r="46" spans="1:10" x14ac:dyDescent="0.25">
      <c r="A46" s="19"/>
      <c r="B46" s="19"/>
      <c r="C46" s="19"/>
      <c r="D46" s="19"/>
      <c r="E46" s="19"/>
      <c r="F46" s="19"/>
      <c r="G46" s="19"/>
      <c r="H46" s="19"/>
    </row>
    <row r="47" spans="1:10" x14ac:dyDescent="0.25">
      <c r="A47" s="19"/>
      <c r="B47" s="19"/>
      <c r="C47" s="19"/>
      <c r="D47" s="19"/>
      <c r="E47" s="19"/>
      <c r="F47" s="19"/>
      <c r="G47" s="19"/>
      <c r="H47" s="19"/>
    </row>
    <row r="48" spans="1:10" x14ac:dyDescent="0.25">
      <c r="A48" s="19"/>
      <c r="B48" s="19"/>
      <c r="C48" s="19"/>
      <c r="D48" s="19"/>
      <c r="E48" s="19"/>
      <c r="F48" s="19"/>
      <c r="G48" s="19"/>
      <c r="H48" s="19"/>
    </row>
    <row r="49" spans="1:8" x14ac:dyDescent="0.25">
      <c r="A49" s="19"/>
      <c r="B49" s="19"/>
      <c r="C49" s="19"/>
      <c r="D49" s="19"/>
      <c r="E49" s="19"/>
      <c r="F49" s="19"/>
      <c r="G49" s="19"/>
      <c r="H49" s="19"/>
    </row>
    <row r="50" spans="1:8" x14ac:dyDescent="0.25">
      <c r="A50" s="19"/>
      <c r="B50" s="19"/>
      <c r="C50" s="19"/>
      <c r="D50" s="19"/>
      <c r="E50" s="19"/>
      <c r="F50" s="19"/>
      <c r="G50" s="19"/>
      <c r="H50" s="19"/>
    </row>
    <row r="51" spans="1:8" x14ac:dyDescent="0.25">
      <c r="A51" s="19"/>
      <c r="B51" s="19"/>
      <c r="C51" s="19"/>
      <c r="D51" s="19"/>
      <c r="E51" s="19"/>
      <c r="F51" s="19"/>
      <c r="G51" s="19"/>
      <c r="H51" s="19"/>
    </row>
    <row r="52" spans="1:8" x14ac:dyDescent="0.25">
      <c r="A52" s="19"/>
      <c r="B52" s="19"/>
      <c r="C52" s="19"/>
      <c r="D52" s="19"/>
      <c r="E52" s="19"/>
      <c r="F52" s="19"/>
      <c r="G52" s="19"/>
      <c r="H52" s="19"/>
    </row>
    <row r="53" spans="1:8" x14ac:dyDescent="0.25">
      <c r="A53" s="19"/>
      <c r="B53" s="19"/>
      <c r="C53" s="19"/>
      <c r="D53" s="19"/>
      <c r="E53" s="19"/>
      <c r="F53" s="19"/>
      <c r="G53" s="19"/>
      <c r="H53" s="19"/>
    </row>
    <row r="54" spans="1:8" x14ac:dyDescent="0.25">
      <c r="A54" s="19"/>
      <c r="B54" s="19"/>
      <c r="C54" s="19"/>
      <c r="D54" s="19"/>
      <c r="E54" s="19"/>
      <c r="F54" s="19"/>
      <c r="G54" s="19"/>
      <c r="H54" s="19"/>
    </row>
    <row r="55" spans="1:8" x14ac:dyDescent="0.25">
      <c r="A55" s="19"/>
      <c r="H55" s="19"/>
    </row>
  </sheetData>
  <hyperlinks>
    <hyperlink ref="H22" r:id="rId1" xr:uid="{00000000-0004-0000-0500-000000000000}"/>
    <hyperlink ref="H24" r:id="rId2" tooltip="Website Link" xr:uid="{00000000-0004-0000-0500-000001000000}"/>
    <hyperlink ref="H25" r:id="rId3" tooltip="Website Link" xr:uid="{00000000-0004-0000-0500-000002000000}"/>
    <hyperlink ref="H26" r:id="rId4" tooltip="Website Link" xr:uid="{00000000-0004-0000-0500-000003000000}"/>
    <hyperlink ref="H27" r:id="rId5" tooltip="Website Link" xr:uid="{00000000-0004-0000-0500-000004000000}"/>
    <hyperlink ref="H28" r:id="rId6" tooltip="Website Link" xr:uid="{00000000-0004-0000-0500-000005000000}"/>
    <hyperlink ref="H29" r:id="rId7" tooltip="Website Link" xr:uid="{00000000-0004-0000-0500-000006000000}"/>
    <hyperlink ref="H30" r:id="rId8" tooltip="Website Link" xr:uid="{00000000-0004-0000-0500-000007000000}"/>
    <hyperlink ref="H31" r:id="rId9" tooltip="Website Link" xr:uid="{00000000-0004-0000-0500-000008000000}"/>
    <hyperlink ref="H21" r:id="rId10" tooltip="Website Link" xr:uid="{00000000-0004-0000-0500-000009000000}"/>
    <hyperlink ref="H20" r:id="rId11" tooltip="Website Link" xr:uid="{00000000-0004-0000-0500-00000A000000}"/>
    <hyperlink ref="H19" r:id="rId12" tooltip="Website Link" xr:uid="{00000000-0004-0000-0500-00000B000000}"/>
    <hyperlink ref="H18" r:id="rId13" tooltip="Website Link" xr:uid="{00000000-0004-0000-0500-00000C000000}"/>
    <hyperlink ref="H17" r:id="rId14" tooltip="Website Link" xr:uid="{00000000-0004-0000-0500-00000D000000}"/>
    <hyperlink ref="H16" r:id="rId15" tooltip="Website Link" xr:uid="{00000000-0004-0000-0500-00000E000000}"/>
    <hyperlink ref="H15" r:id="rId16" tooltip="Website Link" xr:uid="{00000000-0004-0000-0500-00000F000000}"/>
    <hyperlink ref="H14" r:id="rId17" tooltip="Website Link" xr:uid="{00000000-0004-0000-0500-000010000000}"/>
    <hyperlink ref="H13" r:id="rId18" tooltip="Website Link" xr:uid="{00000000-0004-0000-0500-000011000000}"/>
    <hyperlink ref="H12" r:id="rId19" tooltip="Website Link" xr:uid="{00000000-0004-0000-0500-000012000000}"/>
    <hyperlink ref="H11" r:id="rId20" tooltip="Website Link" xr:uid="{00000000-0004-0000-0500-000013000000}"/>
  </hyperlinks>
  <pageMargins left="0.7" right="0.7" top="0.75" bottom="0.75" header="0.3" footer="0.3"/>
  <pageSetup orientation="portrait"/>
  <drawing r:id="rId2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4D4D9351165C443AF5654A6B92E7AC1" ma:contentTypeVersion="12" ma:contentTypeDescription="Create a new document." ma:contentTypeScope="" ma:versionID="bfeee9c539ff447d814549dc960c8e92">
  <xsd:schema xmlns:xsd="http://www.w3.org/2001/XMLSchema" xmlns:xs="http://www.w3.org/2001/XMLSchema" xmlns:p="http://schemas.microsoft.com/office/2006/metadata/properties" xmlns:ns2="d453fa51-eb2c-4ba3-a996-240705f5e033" xmlns:ns3="b17367be-d68f-49f0-bac0-6942cdc4be9c" targetNamespace="http://schemas.microsoft.com/office/2006/metadata/properties" ma:root="true" ma:fieldsID="cebdba1527677c20c233d833c1388e4b" ns2:_="" ns3:_="">
    <xsd:import namespace="d453fa51-eb2c-4ba3-a996-240705f5e033"/>
    <xsd:import namespace="b17367be-d68f-49f0-bac0-6942cdc4be9c"/>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3:SharedWithUsers" minOccurs="0"/>
                <xsd:element ref="ns3:SharedWithDetails" minOccurs="0"/>
                <xsd:element ref="ns2:MediaServiceDateTaken" minOccurs="0"/>
                <xsd:element ref="ns2:MediaServiceLocation" minOccurs="0"/>
                <xsd:element ref="ns2:MediaServiceGenerationTime" minOccurs="0"/>
                <xsd:element ref="ns2:MediaServiceEventHashCod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453fa51-eb2c-4ba3-a996-240705f5e03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17367be-d68f-49f0-bac0-6942cdc4be9c"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E79B8F49-3621-4F1F-B26F-432408F8057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453fa51-eb2c-4ba3-a996-240705f5e033"/>
    <ds:schemaRef ds:uri="b17367be-d68f-49f0-bac0-6942cdc4be9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168C3906-A15F-49AA-BCD9-25065D080627}">
  <ds:schemaRefs>
    <ds:schemaRef ds:uri="http://schemas.microsoft.com/sharepoint/v3/contenttype/forms"/>
  </ds:schemaRefs>
</ds:datastoreItem>
</file>

<file path=customXml/itemProps3.xml><?xml version="1.0" encoding="utf-8"?>
<ds:datastoreItem xmlns:ds="http://schemas.openxmlformats.org/officeDocument/2006/customXml" ds:itemID="{2008208A-9E77-4434-8E32-1F18F6E4DFC4}">
  <ds:schemaRefs>
    <ds:schemaRef ds:uri="http://schemas.microsoft.com/office/2006/documentManagement/types"/>
    <ds:schemaRef ds:uri="d453fa51-eb2c-4ba3-a996-240705f5e033"/>
    <ds:schemaRef ds:uri="http://purl.org/dc/elements/1.1/"/>
    <ds:schemaRef ds:uri="http://schemas.microsoft.com/office/2006/metadata/properties"/>
    <ds:schemaRef ds:uri="http://schemas.microsoft.com/office/infopath/2007/PartnerControls"/>
    <ds:schemaRef ds:uri="http://purl.org/dc/terms/"/>
    <ds:schemaRef ds:uri="http://schemas.openxmlformats.org/package/2006/metadata/core-properties"/>
    <ds:schemaRef ds:uri="b17367be-d68f-49f0-bac0-6942cdc4be9c"/>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6</vt:i4>
      </vt:variant>
      <vt:variant>
        <vt:lpstr>Named Ranges</vt:lpstr>
      </vt:variant>
      <vt:variant>
        <vt:i4>865</vt:i4>
      </vt:variant>
    </vt:vector>
  </HeadingPairs>
  <TitlesOfParts>
    <vt:vector size="871" baseType="lpstr">
      <vt:lpstr>Front Page</vt:lpstr>
      <vt:lpstr>Drivers</vt:lpstr>
      <vt:lpstr>Model</vt:lpstr>
      <vt:lpstr>Guidance</vt:lpstr>
      <vt:lpstr>Summary Page</vt:lpstr>
      <vt:lpstr>Update Log</vt:lpstr>
      <vt:lpstr>DW.LastPrice</vt:lpstr>
      <vt:lpstr>DW_Common_ColumnHeader</vt:lpstr>
      <vt:lpstr>DW_Common_CompanySubtitle</vt:lpstr>
      <vt:lpstr>DW_Common_CompanyTitle</vt:lpstr>
      <vt:lpstr>DW_Common_FPDays</vt:lpstr>
      <vt:lpstr>DW_Common_QEndDate</vt:lpstr>
      <vt:lpstr>DW_FCF_Capex</vt:lpstr>
      <vt:lpstr>DW_FCF_ChangeInWC</vt:lpstr>
      <vt:lpstr>DW_FCF_DA</vt:lpstr>
      <vt:lpstr>DW_FCF_EBIT</vt:lpstr>
      <vt:lpstr>DW_FCF_FCF</vt:lpstr>
      <vt:lpstr>DW_FCF_Tax</vt:lpstr>
      <vt:lpstr>DW_Section_Copyright</vt:lpstr>
      <vt:lpstr>DW_Section_LastRow</vt:lpstr>
      <vt:lpstr>FP.DataSource</vt:lpstr>
      <vt:lpstr>FP.DataSourceName</vt:lpstr>
      <vt:lpstr>FP.Disclaimer</vt:lpstr>
      <vt:lpstr>FP.LastPrice</vt:lpstr>
      <vt:lpstr>FP.LastPriceDate</vt:lpstr>
      <vt:lpstr>FP.RealTimeToggle</vt:lpstr>
      <vt:lpstr>FP.UpdateDate</vt:lpstr>
      <vt:lpstr>FP.UpdateEvent</vt:lpstr>
      <vt:lpstr>FP_Comment</vt:lpstr>
      <vt:lpstr>GD.CompanyName</vt:lpstr>
      <vt:lpstr>GD.MRQ</vt:lpstr>
      <vt:lpstr>GD_Difference_Mid_Absolute</vt:lpstr>
      <vt:lpstr>GD_Difference_Mid_Relative</vt:lpstr>
      <vt:lpstr>GD_Guidance_High</vt:lpstr>
      <vt:lpstr>GD_Guidance_Low</vt:lpstr>
      <vt:lpstr>GD_Guidance_Mid</vt:lpstr>
      <vt:lpstr>GD_Header_Column</vt:lpstr>
      <vt:lpstr>GD_Header_Section</vt:lpstr>
      <vt:lpstr>GD_Index</vt:lpstr>
      <vt:lpstr>GD_Item</vt:lpstr>
      <vt:lpstr>GD_Item_FiscalPeriod</vt:lpstr>
      <vt:lpstr>GD_Item_Name</vt:lpstr>
      <vt:lpstr>GD_Model_Output</vt:lpstr>
      <vt:lpstr>GD_Model_Type</vt:lpstr>
      <vt:lpstr>GD_Type</vt:lpstr>
      <vt:lpstr>GD_Update_Date</vt:lpstr>
      <vt:lpstr>GD_Update_Link</vt:lpstr>
      <vt:lpstr>HP.MRFX</vt:lpstr>
      <vt:lpstr>HP.ReportCurrency</vt:lpstr>
      <vt:lpstr>HP.Ticker</vt:lpstr>
      <vt:lpstr>HP.TradeCurrency</vt:lpstr>
      <vt:lpstr>HP.TradeCurrency.HardCoded</vt:lpstr>
      <vt:lpstr>MO.CFY</vt:lpstr>
      <vt:lpstr>MO.CompanyName</vt:lpstr>
      <vt:lpstr>MO.DataSourceIndex</vt:lpstr>
      <vt:lpstr>MO.DataSourceName</vt:lpstr>
      <vt:lpstr>MO.FirstForecastedFiscalYear</vt:lpstr>
      <vt:lpstr>MO.LastPrice</vt:lpstr>
      <vt:lpstr>MO.LastPriceDate</vt:lpstr>
      <vt:lpstr>MO.LastPriceFormula</vt:lpstr>
      <vt:lpstr>MO.LastPriceHardcoded</vt:lpstr>
      <vt:lpstr>MO.MRFP</vt:lpstr>
      <vt:lpstr>MO.MRFPColumnNumber</vt:lpstr>
      <vt:lpstr>MO.MRFX.Hardcoded</vt:lpstr>
      <vt:lpstr>MO.RealTime</vt:lpstr>
      <vt:lpstr>MO.RealTimeStockPriceToggle</vt:lpstr>
      <vt:lpstr>MO.ReporFX</vt:lpstr>
      <vt:lpstr>MO.ReportCurrency</vt:lpstr>
      <vt:lpstr>MO.ReportFX</vt:lpstr>
      <vt:lpstr>MO.Ticker</vt:lpstr>
      <vt:lpstr>MO.Ticker.Bloomberg</vt:lpstr>
      <vt:lpstr>MO.Ticker.CapIQ</vt:lpstr>
      <vt:lpstr>MO.Ticker.FactSet</vt:lpstr>
      <vt:lpstr>MO.Ticker.Thomson</vt:lpstr>
      <vt:lpstr>MO.TradingCurrency</vt:lpstr>
      <vt:lpstr>MO.ValuationToggle</vt:lpstr>
      <vt:lpstr>MO_AN_EBITDA_Adj</vt:lpstr>
      <vt:lpstr>MO_BS_APandAE</vt:lpstr>
      <vt:lpstr>MO_BS_AR</vt:lpstr>
      <vt:lpstr>MO_BS_CA</vt:lpstr>
      <vt:lpstr>MO_BS_Cash</vt:lpstr>
      <vt:lpstr>MO_BS_CL</vt:lpstr>
      <vt:lpstr>MO_BS_ContractAssets</vt:lpstr>
      <vt:lpstr>MO_BS_ContributedSurplus</vt:lpstr>
      <vt:lpstr>MO_BS_DefRev</vt:lpstr>
      <vt:lpstr>MO_BS_Goodwill</vt:lpstr>
      <vt:lpstr>MO_BS_Intangibles</vt:lpstr>
      <vt:lpstr>MO_BS_INV</vt:lpstr>
      <vt:lpstr>MO_BS_NCA</vt:lpstr>
      <vt:lpstr>MO_BS_NCI</vt:lpstr>
      <vt:lpstr>MO_BS_NCL</vt:lpstr>
      <vt:lpstr>MO_BS_OCI</vt:lpstr>
      <vt:lpstr>MO_BS_OL_Current</vt:lpstr>
      <vt:lpstr>MO_BS_OL_NonCurrent</vt:lpstr>
      <vt:lpstr>MO_BS_PPE</vt:lpstr>
      <vt:lpstr>MO_BS_PPE_Gross</vt:lpstr>
      <vt:lpstr>MO_BS_RetainedEarnings</vt:lpstr>
      <vt:lpstr>MO_BS_SE</vt:lpstr>
      <vt:lpstr>MO_BS_TA</vt:lpstr>
      <vt:lpstr>MO_BS_TL</vt:lpstr>
      <vt:lpstr>MO_BS_TLSE</vt:lpstr>
      <vt:lpstr>MO_BSS_Cash</vt:lpstr>
      <vt:lpstr>MO_BSS_Debt</vt:lpstr>
      <vt:lpstr>MO_BSS_Debt_LT</vt:lpstr>
      <vt:lpstr>MO_BSS_Debt_Net</vt:lpstr>
      <vt:lpstr>MO_BSS_Debt_ST</vt:lpstr>
      <vt:lpstr>MO_BSS_Debt_ToCF</vt:lpstr>
      <vt:lpstr>MO_BSS_Debt_ToEBITDA</vt:lpstr>
      <vt:lpstr>MO_BSS_IE</vt:lpstr>
      <vt:lpstr>MO_BSS_IE_Net</vt:lpstr>
      <vt:lpstr>MO_BSS_II</vt:lpstr>
      <vt:lpstr>MO_BSS_InterestRate_Cash</vt:lpstr>
      <vt:lpstr>MO_BSS_InterestRate_Debt</vt:lpstr>
      <vt:lpstr>MO_BSS_NetInterestCoverage</vt:lpstr>
      <vt:lpstr>MO_BSS_NetInterestRate_Debt</vt:lpstr>
      <vt:lpstr>MO_BSS_OL</vt:lpstr>
      <vt:lpstr>MO_CCFS_Balance_Begin</vt:lpstr>
      <vt:lpstr>MO_CCFS_Balance_End</vt:lpstr>
      <vt:lpstr>MO_CCFS_CFF</vt:lpstr>
      <vt:lpstr>MO_CCFS_CFI</vt:lpstr>
      <vt:lpstr>MO_CCFS_CFO</vt:lpstr>
      <vt:lpstr>MO_CCFS_CFO_BeforeWC</vt:lpstr>
      <vt:lpstr>MO_CCFS_FX</vt:lpstr>
      <vt:lpstr>MO_CCFS_NetChange</vt:lpstr>
      <vt:lpstr>MO_CFS_Balance_Begin</vt:lpstr>
      <vt:lpstr>MO_CFS_Balance_End</vt:lpstr>
      <vt:lpstr>MO_CFS_Buyback</vt:lpstr>
      <vt:lpstr>MO_CFS_CFF</vt:lpstr>
      <vt:lpstr>MO_CFS_CFI</vt:lpstr>
      <vt:lpstr>MO_CFS_CFO</vt:lpstr>
      <vt:lpstr>MO_CFS_CFO_BeforeWC</vt:lpstr>
      <vt:lpstr>MO_CFS_FX</vt:lpstr>
      <vt:lpstr>MO_CFS_NetChange</vt:lpstr>
      <vt:lpstr>MO_CFSum_Acquisition</vt:lpstr>
      <vt:lpstr>MO_CFSum_Capex</vt:lpstr>
      <vt:lpstr>MO_CFSum_CFO_BeforeWC</vt:lpstr>
      <vt:lpstr>MO_CFSum_CFPS</vt:lpstr>
      <vt:lpstr>MO_CFSum_Divestiture</vt:lpstr>
      <vt:lpstr>MO_CFSum_Dividend</vt:lpstr>
      <vt:lpstr>MO_CFSum_DPS</vt:lpstr>
      <vt:lpstr>MO_CFSum_FCF_PostDivPostAD</vt:lpstr>
      <vt:lpstr>MO_CFSum_FCF_PostDivPostADPostDebtPostBuyback</vt:lpstr>
      <vt:lpstr>MO_CFSum_FCF_PostDivPreAD</vt:lpstr>
      <vt:lpstr>MO_CFSum_FCF_PreDiv</vt:lpstr>
      <vt:lpstr>MO_CFSum_NetDebtIssuance</vt:lpstr>
      <vt:lpstr>MO_CFSum_NetShares</vt:lpstr>
      <vt:lpstr>MO_CFSum_NetShares_Price</vt:lpstr>
      <vt:lpstr>MO_Checks_Bottom</vt:lpstr>
      <vt:lpstr>MO_Checks_BS</vt:lpstr>
      <vt:lpstr>MO_Checks_CF</vt:lpstr>
      <vt:lpstr>MO_Checks_IS</vt:lpstr>
      <vt:lpstr>MO_Common_Column_A</vt:lpstr>
      <vt:lpstr>MO_Common_Column_B</vt:lpstr>
      <vt:lpstr>MO_Common_ColumnHeader</vt:lpstr>
      <vt:lpstr>MO_Common_CompanySubtitle</vt:lpstr>
      <vt:lpstr>MO_Common_CompanyTitle</vt:lpstr>
      <vt:lpstr>MO_Common_FPDays</vt:lpstr>
      <vt:lpstr>MO_Common_QEndDate</vt:lpstr>
      <vt:lpstr>MO_GA_TotalRevenue</vt:lpstr>
      <vt:lpstr>MO_IS_EBIT</vt:lpstr>
      <vt:lpstr>MO_IS_EBT</vt:lpstr>
      <vt:lpstr>MO_IS_FirstRow</vt:lpstr>
      <vt:lpstr>MO_IS_GP</vt:lpstr>
      <vt:lpstr>MO_IS_NI_ContinOp</vt:lpstr>
      <vt:lpstr>MO_IS_REV</vt:lpstr>
      <vt:lpstr>MO_MA_COGS</vt:lpstr>
      <vt:lpstr>MO_MA_COGS_DA_Including</vt:lpstr>
      <vt:lpstr>MO_MA_EBITDA</vt:lpstr>
      <vt:lpstr>MO_MA_EBITDA_Adj</vt:lpstr>
      <vt:lpstr>MO_MA_GM</vt:lpstr>
      <vt:lpstr>MO_MA_GM_DA_Including</vt:lpstr>
      <vt:lpstr>MO_MA_SGA</vt:lpstr>
      <vt:lpstr>MO_RIS_Adjustments_Dilution_GAAP</vt:lpstr>
      <vt:lpstr>MO_RIS_Adjustments_Dilution_NONGAAP</vt:lpstr>
      <vt:lpstr>MO_RIS_Adjustments_NONGAAP</vt:lpstr>
      <vt:lpstr>MO_RIS_COGS</vt:lpstr>
      <vt:lpstr>MO_RIS_DA</vt:lpstr>
      <vt:lpstr>MO_RIS_DisCont</vt:lpstr>
      <vt:lpstr>MO_RIS_Dividend_Prefs</vt:lpstr>
      <vt:lpstr>MO_RIS_EBIT</vt:lpstr>
      <vt:lpstr>MO_RIS_EBITDA</vt:lpstr>
      <vt:lpstr>MO_RIS_EBITDA_Adj</vt:lpstr>
      <vt:lpstr>MO_RIS_EBT</vt:lpstr>
      <vt:lpstr>MO_RIS_EPS_WAB</vt:lpstr>
      <vt:lpstr>MO_RIS_EPS_WAD</vt:lpstr>
      <vt:lpstr>MO_RIS_EPS_WAD_Adj</vt:lpstr>
      <vt:lpstr>MO_RIS_GP</vt:lpstr>
      <vt:lpstr>MO_RIS_IE</vt:lpstr>
      <vt:lpstr>MO_RIS_II</vt:lpstr>
      <vt:lpstr>MO_RIS_NCI</vt:lpstr>
      <vt:lpstr>MO_RIS_NI_ContinOp</vt:lpstr>
      <vt:lpstr>MO_RIS_NI_GAAP_Basic</vt:lpstr>
      <vt:lpstr>MO_RIS_NI_GAAP_Diluted</vt:lpstr>
      <vt:lpstr>MO_RIS_NI_NONGAAP_Diluted</vt:lpstr>
      <vt:lpstr>MO_RIS_OI</vt:lpstr>
      <vt:lpstr>MO_RIS_OTI</vt:lpstr>
      <vt:lpstr>MO_RIS_REV</vt:lpstr>
      <vt:lpstr>MO_RIS_SBC</vt:lpstr>
      <vt:lpstr>MO_RIS_SGA</vt:lpstr>
      <vt:lpstr>MO_RIS_ShareCount_WAB</vt:lpstr>
      <vt:lpstr>MO_RIS_ShareCount_WAD</vt:lpstr>
      <vt:lpstr>MO_RIS_ShareCount_WAD_Adj</vt:lpstr>
      <vt:lpstr>MO_RIS_Tax_Current</vt:lpstr>
      <vt:lpstr>MO_RIS_Tax_Deferred</vt:lpstr>
      <vt:lpstr>MO_RIS_TaxRate_Current</vt:lpstr>
      <vt:lpstr>MO_RIS_TaxRate_Deferred</vt:lpstr>
      <vt:lpstr>MO_Section_AdjustedNumbers</vt:lpstr>
      <vt:lpstr>MO_Section_BalanceSheet</vt:lpstr>
      <vt:lpstr>MO_Section_BalanceSheetSummary</vt:lpstr>
      <vt:lpstr>MO_Section_CashFlowStatement</vt:lpstr>
      <vt:lpstr>MO_Section_CashFlowSummary</vt:lpstr>
      <vt:lpstr>MO_Section_Copyright</vt:lpstr>
      <vt:lpstr>MO_Section_CumulativeCashFlowStatement</vt:lpstr>
      <vt:lpstr>MO_Section_GrowthAnalysis</vt:lpstr>
      <vt:lpstr>MO_Section_IncomeStatement</vt:lpstr>
      <vt:lpstr>MO_Section_KeyMetricsBacklogPR</vt:lpstr>
      <vt:lpstr>MO_Section_LastRow</vt:lpstr>
      <vt:lpstr>MO_Section_MarginAnalysis</vt:lpstr>
      <vt:lpstr>MO_Section_ModelChecks</vt:lpstr>
      <vt:lpstr>MO_Section_RevisedIncomeStatement</vt:lpstr>
      <vt:lpstr>MO_Section_SegmentedResultsBreakdownFS</vt:lpstr>
      <vt:lpstr>MO_Section_SegmentedResultsRevenueBreakdownFS</vt:lpstr>
      <vt:lpstr>MO_Section_Tables</vt:lpstr>
      <vt:lpstr>MO_Section_Valuation</vt:lpstr>
      <vt:lpstr>MO_Section_WorkingCapitalForecasting</vt:lpstr>
      <vt:lpstr>MO_SNA_FPStartDate</vt:lpstr>
      <vt:lpstr>MO_SNA_IsHistoricalPeriod</vt:lpstr>
      <vt:lpstr>MO_SNA_LastDataRow</vt:lpstr>
      <vt:lpstr>MO_SPT_FXAverage</vt:lpstr>
      <vt:lpstr>MO_SPT_FXAverage_Sources</vt:lpstr>
      <vt:lpstr>MO_SPT_StockAverage</vt:lpstr>
      <vt:lpstr>MO_SPT_StockAverage_Sources</vt:lpstr>
      <vt:lpstr>MO_SPT_StockHigh</vt:lpstr>
      <vt:lpstr>MO_SPT_StockHigh_Sources</vt:lpstr>
      <vt:lpstr>MO_SPT_StockLow</vt:lpstr>
      <vt:lpstr>MO_SPT_StockLow_Sources</vt:lpstr>
      <vt:lpstr>MO_SubSection_BS_CA</vt:lpstr>
      <vt:lpstr>MO_SubSection_BS_CL</vt:lpstr>
      <vt:lpstr>MO_SubSection_BS_NCA</vt:lpstr>
      <vt:lpstr>MO_SubSection_BS_NCL</vt:lpstr>
      <vt:lpstr>MO_SubSection_BS_SE</vt:lpstr>
      <vt:lpstr>MO_SubSection_CCFS_CFF</vt:lpstr>
      <vt:lpstr>MO_SubSection_CCFS_CFI</vt:lpstr>
      <vt:lpstr>MO_SubSection_CCFS_CFO</vt:lpstr>
      <vt:lpstr>MO_SubSection_CFS_CFF</vt:lpstr>
      <vt:lpstr>MO_SubSection_CFS_CFI</vt:lpstr>
      <vt:lpstr>MO_SubSection_CFS_CFO</vt:lpstr>
      <vt:lpstr>MO_VA_EV</vt:lpstr>
      <vt:lpstr>MO_VA_EV_ToEBITDA</vt:lpstr>
      <vt:lpstr>MO_VA_EVCalc_NCI</vt:lpstr>
      <vt:lpstr>MO_VA_EVCalc_Other</vt:lpstr>
      <vt:lpstr>MO_VA_EVCalc_Prefs</vt:lpstr>
      <vt:lpstr>MO_VA_FCFYield_ToEV</vt:lpstr>
      <vt:lpstr>MO_VA_FCFYield_ToMktCap</vt:lpstr>
      <vt:lpstr>MO_VA_FX_Average</vt:lpstr>
      <vt:lpstr>MO_VA_MarketCap</vt:lpstr>
      <vt:lpstr>MO_VA_P_ToCF</vt:lpstr>
      <vt:lpstr>MO_VA_P_ToE</vt:lpstr>
      <vt:lpstr>MO_VA_StockPrice</vt:lpstr>
      <vt:lpstr>MO_VA_StockPrice_Avg</vt:lpstr>
      <vt:lpstr>MO_VA_StockPrice_High</vt:lpstr>
      <vt:lpstr>MO_VA_StockPrice_Low</vt:lpstr>
      <vt:lpstr>MO_VA_StockPrice_TradingCurrency</vt:lpstr>
      <vt:lpstr>MO_WCF_AP_Margin</vt:lpstr>
      <vt:lpstr>MO_WCF_AP_Margin_Change</vt:lpstr>
      <vt:lpstr>MO_WCF_AR_Margin</vt:lpstr>
      <vt:lpstr>MO_WCF_AR_Margin_Change</vt:lpstr>
      <vt:lpstr>Model!Print_Area</vt:lpstr>
      <vt:lpstr>'Summary Page'!Print_Area</vt:lpstr>
      <vt:lpstr>Model!Print_Titles</vt:lpstr>
      <vt:lpstr>SP.ValuationToggle</vt:lpstr>
      <vt:lpstr>SP_BSR_Capital</vt:lpstr>
      <vt:lpstr>SP_BSR_CashFlow</vt:lpstr>
      <vt:lpstr>SP_BSR_CashFlow_LTM</vt:lpstr>
      <vt:lpstr>SP_BSR_CL</vt:lpstr>
      <vt:lpstr>SP_BSR_CL_Avg</vt:lpstr>
      <vt:lpstr>SP_BSR_Debt_Avg</vt:lpstr>
      <vt:lpstr>SP_BSR_EBITDA</vt:lpstr>
      <vt:lpstr>SP_BSR_EBITDA_LTM</vt:lpstr>
      <vt:lpstr>SP_BSR_SE</vt:lpstr>
      <vt:lpstr>SP_BSR_SE_Avg</vt:lpstr>
      <vt:lpstr>SP_BSR_TA</vt:lpstr>
      <vt:lpstr>SP_BSR_TA_Avg</vt:lpstr>
      <vt:lpstr>SP_CFA_Acquisition</vt:lpstr>
      <vt:lpstr>SP_CFA_Capex</vt:lpstr>
      <vt:lpstr>SP_CFA_CFO_BeforeWC</vt:lpstr>
      <vt:lpstr>SP_CFA_CFO_PerShare</vt:lpstr>
      <vt:lpstr>SP_CFA_Debt</vt:lpstr>
      <vt:lpstr>SP_CFA_Div</vt:lpstr>
      <vt:lpstr>SP_CFA_Div_PerShare</vt:lpstr>
      <vt:lpstr>SP_CFA_Divestiture</vt:lpstr>
      <vt:lpstr>SP_CFA_Equity</vt:lpstr>
      <vt:lpstr>SP_CFA_FCF_PerShare</vt:lpstr>
      <vt:lpstr>SP_CFA_FCF_PostDiv</vt:lpstr>
      <vt:lpstr>SP_CFA_FCF_PreDiv</vt:lpstr>
      <vt:lpstr>SP_CFA_NetChange</vt:lpstr>
      <vt:lpstr>SP_CFA_Other</vt:lpstr>
      <vt:lpstr>SP_CFA_Payout_vsEPS</vt:lpstr>
      <vt:lpstr>SP_CFA_Payout_vsFCF</vt:lpstr>
      <vt:lpstr>SP_CFA_WC</vt:lpstr>
      <vt:lpstr>SP_Checks_SummaryPage</vt:lpstr>
      <vt:lpstr>SP_Common_Column_A</vt:lpstr>
      <vt:lpstr>SP_Common_Column_B</vt:lpstr>
      <vt:lpstr>SP_Common_ColumnHeader</vt:lpstr>
      <vt:lpstr>SP_Common_QEndDate</vt:lpstr>
      <vt:lpstr>SP_CS_Cash</vt:lpstr>
      <vt:lpstr>SP_CS_Debt</vt:lpstr>
      <vt:lpstr>SP_CS_EV</vt:lpstr>
      <vt:lpstr>SP_CS_EVCalc_Other</vt:lpstr>
      <vt:lpstr>SP_CS_MarketCap</vt:lpstr>
      <vt:lpstr>SP_CS_OL</vt:lpstr>
      <vt:lpstr>SP_CS_ShareCount</vt:lpstr>
      <vt:lpstr>SP_CS_StockPrice</vt:lpstr>
      <vt:lpstr>SP_GF_COGS</vt:lpstr>
      <vt:lpstr>SP_GF_DA</vt:lpstr>
      <vt:lpstr>SP_GF_DisCont</vt:lpstr>
      <vt:lpstr>SP_GF_Div_Prefs</vt:lpstr>
      <vt:lpstr>SP_GF_EBITDA</vt:lpstr>
      <vt:lpstr>SP_GF_EBT</vt:lpstr>
      <vt:lpstr>SP_GF_EPS_GAAP</vt:lpstr>
      <vt:lpstr>SP_GF_IE</vt:lpstr>
      <vt:lpstr>SP_GF_IE_Net</vt:lpstr>
      <vt:lpstr>SP_GF_NCI</vt:lpstr>
      <vt:lpstr>SP_GF_NI</vt:lpstr>
      <vt:lpstr>SP_GF_OI</vt:lpstr>
      <vt:lpstr>SP_GF_Rev</vt:lpstr>
      <vt:lpstr>SP_GF_SBC</vt:lpstr>
      <vt:lpstr>SP_GF_SGA</vt:lpstr>
      <vt:lpstr>SP_GF_Tax</vt:lpstr>
      <vt:lpstr>SP_MA_COGS</vt:lpstr>
      <vt:lpstr>SP_MA_EBITDA</vt:lpstr>
      <vt:lpstr>SP_MA_EBITDA_Adj</vt:lpstr>
      <vt:lpstr>SP_MA_SGA</vt:lpstr>
      <vt:lpstr>SP_NGF_EBITDA</vt:lpstr>
      <vt:lpstr>SP_NGF_EPS</vt:lpstr>
      <vt:lpstr>SP_NGF_NI</vt:lpstr>
      <vt:lpstr>SP_PR_ROA</vt:lpstr>
      <vt:lpstr>SP_PR_ROCE</vt:lpstr>
      <vt:lpstr>SP_PR_ROE</vt:lpstr>
      <vt:lpstr>SP_PR_ROIC</vt:lpstr>
      <vt:lpstr>SP_Section_Checks</vt:lpstr>
      <vt:lpstr>tb_ConsensusEstimate</vt:lpstr>
      <vt:lpstr>tb_EntireModel</vt:lpstr>
      <vt:lpstr>tb_KeyOutputs</vt:lpstr>
      <vt:lpstr>tb_StockPrice</vt:lpstr>
      <vt:lpstr>tb_Tickers</vt:lpstr>
      <vt:lpstr>tb_UpdateLog</vt:lpstr>
      <vt:lpstr>tb_ValuationToggle</vt:lpstr>
      <vt:lpstr>UL.CSIN</vt:lpstr>
      <vt:lpstr>UL.ModelVersion</vt:lpstr>
      <vt:lpstr>UL.MRQ</vt:lpstr>
      <vt:lpstr>UL.MRQColNum</vt:lpstr>
      <vt:lpstr>z_VVZVFH0115_DW_BlankRow_OS</vt:lpstr>
      <vt:lpstr>z_VVZVFH0115_DW_BlankRow_OS_1</vt:lpstr>
      <vt:lpstr>z_VVZVFH0115_DW_BlankRow_OS_10</vt:lpstr>
      <vt:lpstr>z_VVZVFH0115_DW_BlankRow_OS_2</vt:lpstr>
      <vt:lpstr>z_VVZVFH0115_DW_BlankRow_OS_3</vt:lpstr>
      <vt:lpstr>z_VVZVFH0115_DW_BlankRow_OS_4</vt:lpstr>
      <vt:lpstr>z_VVZVFH0115_DW_BlankRow_OS_5</vt:lpstr>
      <vt:lpstr>z_VVZVFH0115_DW_BlankRow_OS_6</vt:lpstr>
      <vt:lpstr>z_VVZVFH0115_DW_BlankRow_OS_7</vt:lpstr>
      <vt:lpstr>z_VVZVFH0115_DW_BlankRow_OS_8</vt:lpstr>
      <vt:lpstr>z_VVZVFH0115_DW_BlankRow_OS_9</vt:lpstr>
      <vt:lpstr>z_VVZVFH0115_DW_BSS_EffectiveInterestRateonCash</vt:lpstr>
      <vt:lpstr>z_VVZVFH0115_DW_BSS_EffectiveInterestRateonDebt</vt:lpstr>
      <vt:lpstr>z_VVZVFH0115_DW_CFSum_Acquisitions</vt:lpstr>
      <vt:lpstr>z_VVZVFH0115_DW_CFSum_Capex</vt:lpstr>
      <vt:lpstr>z_VVZVFH0115_DW_CFSum_Divestiture</vt:lpstr>
      <vt:lpstr>z_VVZVFH0115_DW_CFSum_DividendPerShare</vt:lpstr>
      <vt:lpstr>z_VVZVFH0115_DW_CFSum_EstimatedSharePriceforIssuanceBuybacks</vt:lpstr>
      <vt:lpstr>z_VVZVFH0115_DW_CFSum_NetDebtIssuanceRepayment</vt:lpstr>
      <vt:lpstr>z_VVZVFH0115_DW_CFSum_NetShareIssuanceBuybacks</vt:lpstr>
      <vt:lpstr>z_VVZVFH0115_DW_Header_ColumnHeader</vt:lpstr>
      <vt:lpstr>z_VVZVFH0115_DW_Header_CompanySubTitle</vt:lpstr>
      <vt:lpstr>z_VVZVFH0115_DW_Header_CompanyTitle</vt:lpstr>
      <vt:lpstr>z_VVZVFH0115_DW_Header_FPDays</vt:lpstr>
      <vt:lpstr>z_VVZVFH0115_DW_Header_QEndDate</vt:lpstr>
      <vt:lpstr>z_VVZVFH0115_DW_MA_BusinessTransformationCOGSmargin</vt:lpstr>
      <vt:lpstr>z_VVZVFH0115_DW_MA_SGAMargin</vt:lpstr>
      <vt:lpstr>z_VVZVFH0115_DW_MA_WorkforceExcellenceCOGSmargin</vt:lpstr>
      <vt:lpstr>z_VVZVFH0115_DW_OS_AccountsandotherreceivablesYYChange</vt:lpstr>
      <vt:lpstr>z_VVZVFH0115_DW_OS_AccountspayableandaccruedexpensesYYChange</vt:lpstr>
      <vt:lpstr>z_VVZVFH0115_DW_OS_BusinessTransformationServicesrevenue</vt:lpstr>
      <vt:lpstr>z_VVZVFH0115_DW_OS_BusinessTransformationServicesrevenuegrowth</vt:lpstr>
      <vt:lpstr>z_VVZVFH0115_DW_OS_Capex</vt:lpstr>
      <vt:lpstr>z_VVZVFH0115_DW_OS_ConsensusEstimatesAdjustedEarningsPerShareWAD</vt:lpstr>
      <vt:lpstr>z_VVZVFH0115_DW_OS_ConsensusEstimatesAdjustedEBITDA</vt:lpstr>
      <vt:lpstr>z_VVZVFH0115_DW_OS_ConsensusEstimatesCapex</vt:lpstr>
      <vt:lpstr>z_VVZVFH0115_DW_OS_ConsensusEstimatesCashFlowPerDilutedShare</vt:lpstr>
      <vt:lpstr>z_VVZVFH0115_DW_OS_ConsensusEstimatesGrossMargin</vt:lpstr>
      <vt:lpstr>z_VVZVFH0115_DW_OS_ConsensusEstimatesNetRevenue</vt:lpstr>
      <vt:lpstr>z_VVZVFH0115_DW_OS_CostsandestimatedearningsinexcessofbillingsonuncompletedcontractsYYChange</vt:lpstr>
      <vt:lpstr>z_VVZVFH0115_DW_OS_DA</vt:lpstr>
      <vt:lpstr>z_VVZVFH0115_DW_OS_EBIT</vt:lpstr>
      <vt:lpstr>z_VVZVFH0115_DW_OS_FCFFirm</vt:lpstr>
      <vt:lpstr>z_VVZVFH0115_DW_OS_NetChangeinWC</vt:lpstr>
      <vt:lpstr>z_VVZVFH0115_DW_OS_PrepaidexpensesandothercurrentassetsYYChange</vt:lpstr>
      <vt:lpstr>z_VVZVFH0115_DW_OS_TotalTax</vt:lpstr>
      <vt:lpstr>z_VVZVFH0115_DW_OS_WorkforceExcellencerevenue</vt:lpstr>
      <vt:lpstr>z_VVZVFH0115_DW_OS_WorkforceExcellencerevenuegrowth</vt:lpstr>
      <vt:lpstr>z_VVZVFH0115_DW_RIS_AdjustedEarningsPerShareWAD</vt:lpstr>
      <vt:lpstr>z_VVZVFH0115_DW_RIS_AdjustedEBITDA</vt:lpstr>
      <vt:lpstr>z_VVZVFH0115_DW_RIS_Currenttaxrate</vt:lpstr>
      <vt:lpstr>z_VVZVFH0115_DW_RIS_DA</vt:lpstr>
      <vt:lpstr>z_VVZVFH0115_DW_RIS_Deferredtaxrate</vt:lpstr>
      <vt:lpstr>z_VVZVFH0115_DW_RIS_NetRevenue</vt:lpstr>
      <vt:lpstr>z_VVZVFH0115_DW_RIS_NonGAAPAdjustments</vt:lpstr>
      <vt:lpstr>z_VVZVFH0115_DW_RIS_SBC</vt:lpstr>
      <vt:lpstr>z_VVZVFH0115_DW_Section_OS_BalanceSheetSummary</vt:lpstr>
      <vt:lpstr>z_VVZVFH0115_DW_Section_OS_C2020CanalystAllrightsreserved</vt:lpstr>
      <vt:lpstr>z_VVZVFH0115_DW_Section_OS_CashFlowSummary</vt:lpstr>
      <vt:lpstr>z_VVZVFH0115_DW_Section_OS_ConsensusEstimates</vt:lpstr>
      <vt:lpstr>z_VVZVFH0115_DW_Section_OS_GrowthAnalysis</vt:lpstr>
      <vt:lpstr>z_VVZVFH0115_DW_Section_OS_KeyOutputs</vt:lpstr>
      <vt:lpstr>z_VVZVFH0115_DW_Section_OS_MarginAnalysis</vt:lpstr>
      <vt:lpstr>z_VVZVFH0115_DW_Section_OS_RevisedIncomeStatement</vt:lpstr>
      <vt:lpstr>z_VVZVFH0115_DW_Section_OS_SegmentedResultsBreakdownFS</vt:lpstr>
      <vt:lpstr>z_VVZVFH0115_DW_Section_OS_SimplifiedFCFCalculation</vt:lpstr>
      <vt:lpstr>z_VVZVFH0115_DW_Section_OS_WorkingCapitalForecasting</vt:lpstr>
      <vt:lpstr>z_VVZVFH0115_DW_VA_EVEBITDAAverage</vt:lpstr>
      <vt:lpstr>z_VVZVFH0115_DW_VA_PEAverage</vt:lpstr>
      <vt:lpstr>z_VVZVFH0115_MO_AN_AdjustedEBITDA</vt:lpstr>
      <vt:lpstr>z_VVZVFH0115_MO_AN_AdjustedEPS</vt:lpstr>
      <vt:lpstr>z_VVZVFH0115_MO_AN_ContingentPayment</vt:lpstr>
      <vt:lpstr>z_VVZVFH0115_MO_AN_depreciationandamortization</vt:lpstr>
      <vt:lpstr>z_VVZVFH0115_MO_AN_ebitda</vt:lpstr>
      <vt:lpstr>z_VVZVFH0115_MO_AN_ERPImplementation</vt:lpstr>
      <vt:lpstr>z_VVZVFH0115_MO_AN_ERPImplementation_1</vt:lpstr>
      <vt:lpstr>z_VVZVFH0115_MO_AN_Foreigncurrencytransactionlosses</vt:lpstr>
      <vt:lpstr>z_VVZVFH0115_MO_AN_Foreigncurrencytranslationlosses</vt:lpstr>
      <vt:lpstr>z_VVZVFH0115_MO_AN_GAAPEPS</vt:lpstr>
      <vt:lpstr>z_VVZVFH0115_MO_AN_GainLossonContingentConsideration</vt:lpstr>
      <vt:lpstr>z_VVZVFH0115_MO_AN_GainLossonContingentConsideration_1</vt:lpstr>
      <vt:lpstr>z_VVZVFH0115_MO_AN_goodwillimpairmentloss</vt:lpstr>
      <vt:lpstr>z_VVZVFH0115_MO_AN_Impairmentofoperatingleaserightofuseasset</vt:lpstr>
      <vt:lpstr>z_VVZVFH0115_MO_AN_Impairmentofoperatingleaserightofuseasset_1</vt:lpstr>
      <vt:lpstr>z_VVZVFH0115_MO_AN_incometaxexpense</vt:lpstr>
      <vt:lpstr>z_VVZVFH0115_MO_AN_interestexpense</vt:lpstr>
      <vt:lpstr>z_VVZVFH0115_MO_AN_Interestincome</vt:lpstr>
      <vt:lpstr>z_VVZVFH0115_MO_AN_Legalacquisitioncosts</vt:lpstr>
      <vt:lpstr>z_VVZVFH0115_MO_AN_Legalacquisitioncosts_1</vt:lpstr>
      <vt:lpstr>z_VVZVFH0115_MO_AN_Lossofcontract</vt:lpstr>
      <vt:lpstr>z_VVZVFH0115_MO_AN_Lossofcontract_1</vt:lpstr>
      <vt:lpstr>z_VVZVFH0115_MO_AN_Lossondivestedbusiness</vt:lpstr>
      <vt:lpstr>z_VVZVFH0115_MO_AN_Lossondivestedbusiness_1</vt:lpstr>
      <vt:lpstr>z_VVZVFH0115_MO_AN_Lossonsettlementwithforeignoilgasclient</vt:lpstr>
      <vt:lpstr>z_VVZVFH0115_MO_AN_Lossonsettlementwithforeignoilgasclient_1</vt:lpstr>
      <vt:lpstr>z_VVZVFH0115_MO_AN_netincome</vt:lpstr>
      <vt:lpstr>z_VVZVFH0115_MO_AN_Otherincomeexpense</vt:lpstr>
      <vt:lpstr>z_VVZVFH0115_MO_AN_Restructuring</vt:lpstr>
      <vt:lpstr>z_VVZVFH0115_MO_AN_RestructuringCharges</vt:lpstr>
      <vt:lpstr>z_VVZVFH0115_MO_AN_Settlementofcontingentconsiderationinshares</vt:lpstr>
      <vt:lpstr>z_VVZVFH0115_MO_AN_Severanceexpense</vt:lpstr>
      <vt:lpstr>z_VVZVFH0115_MO_AN_Severanceexpense_1</vt:lpstr>
      <vt:lpstr>z_VVZVFH0115_MO_AN_StockBasedComp</vt:lpstr>
      <vt:lpstr>z_VVZVFH0115_MO_AN_Totalotherincomeexpense</vt:lpstr>
      <vt:lpstr>z_VVZVFH0115_MO_AN_USTaxCuts</vt:lpstr>
      <vt:lpstr>z_VVZVFH0115_MO_BlankRow_AN</vt:lpstr>
      <vt:lpstr>z_VVZVFH0115_MO_BlankRow_AN_1</vt:lpstr>
      <vt:lpstr>z_VVZVFH0115_MO_BlankRow_AN_2</vt:lpstr>
      <vt:lpstr>z_VVZVFH0115_MO_BlankRow_BS_1</vt:lpstr>
      <vt:lpstr>z_VVZVFH0115_MO_BlankRow_BS_2</vt:lpstr>
      <vt:lpstr>z_VVZVFH0115_MO_BlankRow_BS_3</vt:lpstr>
      <vt:lpstr>z_VVZVFH0115_MO_BlankRow_BS_4</vt:lpstr>
      <vt:lpstr>z_VVZVFH0115_MO_BlankRow_BS_5</vt:lpstr>
      <vt:lpstr>z_VVZVFH0115_MO_BlankRow_BS_6</vt:lpstr>
      <vt:lpstr>z_VVZVFH0115_MO_BlankRow_BSS</vt:lpstr>
      <vt:lpstr>z_VVZVFH0115_MO_BlankRow_BSS_1</vt:lpstr>
      <vt:lpstr>z_VVZVFH0115_MO_BlankRow_BSS_2</vt:lpstr>
      <vt:lpstr>z_VVZVFH0115_MO_BlankRow_CCFS</vt:lpstr>
      <vt:lpstr>z_VVZVFH0115_MO_BlankRow_CCFS_1</vt:lpstr>
      <vt:lpstr>z_VVZVFH0115_MO_BlankRow_CCFS_2</vt:lpstr>
      <vt:lpstr>z_VVZVFH0115_MO_BlankRow_CCFS_3</vt:lpstr>
      <vt:lpstr>z_VVZVFH0115_MO_BlankRow_CCFS_4</vt:lpstr>
      <vt:lpstr>z_VVZVFH0115_MO_BlankRow_CFS_2</vt:lpstr>
      <vt:lpstr>z_VVZVFH0115_MO_BlankRow_CFS_3</vt:lpstr>
      <vt:lpstr>z_VVZVFH0115_MO_BlankRow_CFS_4</vt:lpstr>
      <vt:lpstr>z_VVZVFH0115_MO_BlankRow_CFS_5</vt:lpstr>
      <vt:lpstr>z_VVZVFH0115_MO_BlankRow_CFS_6</vt:lpstr>
      <vt:lpstr>z_VVZVFH0115_MO_BlankRow_CFS_7</vt:lpstr>
      <vt:lpstr>z_VVZVFH0115_MO_BlankRow_CFSum</vt:lpstr>
      <vt:lpstr>z_VVZVFH0115_MO_BlankRow_CFSum_1</vt:lpstr>
      <vt:lpstr>z_VVZVFH0115_MO_BlankRow_CFSum_2</vt:lpstr>
      <vt:lpstr>z_VVZVFH0115_MO_BlankRow_GA_1</vt:lpstr>
      <vt:lpstr>z_VVZVFH0115_MO_BlankRow_GA_2</vt:lpstr>
      <vt:lpstr>z_VVZVFH0115_MO_BlankRow_GA_3</vt:lpstr>
      <vt:lpstr>z_VVZVFH0115_MO_BlankRow_IS</vt:lpstr>
      <vt:lpstr>z_VVZVFH0115_MO_BlankRow_IS_1</vt:lpstr>
      <vt:lpstr>z_VVZVFH0115_MO_BlankRow_MA_1</vt:lpstr>
      <vt:lpstr>z_VVZVFH0115_MO_BlankRow_MA_2</vt:lpstr>
      <vt:lpstr>z_VVZVFH0115_MO_BlankRow_MA_3</vt:lpstr>
      <vt:lpstr>z_VVZVFH0115_MO_BlankRow_MA_4</vt:lpstr>
      <vt:lpstr>z_VVZVFH0115_MO_BlankRow_MA_5</vt:lpstr>
      <vt:lpstr>z_VVZVFH0115_MO_BlankRow_MA_6</vt:lpstr>
      <vt:lpstr>z_VVZVFH0115_MO_BlankRow_OS</vt:lpstr>
      <vt:lpstr>z_VVZVFH0115_MO_BlankRow_OS_1</vt:lpstr>
      <vt:lpstr>z_VVZVFH0115_MO_BlankRow_OS_10</vt:lpstr>
      <vt:lpstr>z_VVZVFH0115_MO_BlankRow_OS_11</vt:lpstr>
      <vt:lpstr>z_VVZVFH0115_MO_BlankRow_OS_2</vt:lpstr>
      <vt:lpstr>z_VVZVFH0115_MO_BlankRow_OS_3</vt:lpstr>
      <vt:lpstr>z_VVZVFH0115_MO_BlankRow_OS_4</vt:lpstr>
      <vt:lpstr>z_VVZVFH0115_MO_BlankRow_OS_5</vt:lpstr>
      <vt:lpstr>z_VVZVFH0115_MO_BlankRow_OS_6</vt:lpstr>
      <vt:lpstr>z_VVZVFH0115_MO_BlankRow_OS_7</vt:lpstr>
      <vt:lpstr>z_VVZVFH0115_MO_BlankRow_OS_8</vt:lpstr>
      <vt:lpstr>z_VVZVFH0115_MO_BlankRow_OS_9</vt:lpstr>
      <vt:lpstr>z_VVZVFH0115_MO_BlankRow_RIS</vt:lpstr>
      <vt:lpstr>z_VVZVFH0115_MO_BlankRow_RIS_1</vt:lpstr>
      <vt:lpstr>z_VVZVFH0115_MO_BlankRow_RIS_2</vt:lpstr>
      <vt:lpstr>z_VVZVFH0115_MO_BlankRow_RIS_3</vt:lpstr>
      <vt:lpstr>z_VVZVFH0115_MO_BlankRow_RIS_4</vt:lpstr>
      <vt:lpstr>z_VVZVFH0115_MO_BlankRow_RIS_5</vt:lpstr>
      <vt:lpstr>z_VVZVFH0115_MO_BlankRow_RIS_6</vt:lpstr>
      <vt:lpstr>z_VVZVFH0115_MO_BlankRow_RIS_7</vt:lpstr>
      <vt:lpstr>z_VVZVFH0115_MO_BlankRow_RIS_8</vt:lpstr>
      <vt:lpstr>z_VVZVFH0115_MO_BS_Accountsandotherreceivables</vt:lpstr>
      <vt:lpstr>z_VVZVFH0115_MO_BS_Accountspayableandaccruedexpenses</vt:lpstr>
      <vt:lpstr>z_VVZVFH0115_MO_BS_accumulateddepreciation</vt:lpstr>
      <vt:lpstr>z_VVZVFH0115_MO_BS_Accumulatedothercomprehensiveloss</vt:lpstr>
      <vt:lpstr>z_VVZVFH0115_MO_BS_Additionalpaidincapital</vt:lpstr>
      <vt:lpstr>z_VVZVFH0115_MO_BS_billingsinexcessofcostsandestimatedearningsonuncompletedcontracts</vt:lpstr>
      <vt:lpstr>z_VVZVFH0115_MO_BS_BSCheck</vt:lpstr>
      <vt:lpstr>z_VVZVFH0115_MO_BS_cashandcashequivalents</vt:lpstr>
      <vt:lpstr>z_VVZVFH0115_MO_BS_commonstock</vt:lpstr>
      <vt:lpstr>z_VVZVFH0115_MO_BS_costsandestimatedearningsinexcessofbillingsonuncompletedcontracts</vt:lpstr>
      <vt:lpstr>z_VVZVFH0115_MO_BS_CurrentAssets</vt:lpstr>
      <vt:lpstr>z_VVZVFH0115_MO_BS_CurrentLiabilities</vt:lpstr>
      <vt:lpstr>z_VVZVFH0115_MO_BS_Currentportionoflongtermdebt</vt:lpstr>
      <vt:lpstr>z_VVZVFH0115_MO_BS_Currentportionofoperatingleaseliabilities</vt:lpstr>
      <vt:lpstr>z_VVZVFH0115_MO_BS_deferredtaxassets</vt:lpstr>
      <vt:lpstr>z_VVZVFH0115_MO_BS_deferredtaxassets_1</vt:lpstr>
      <vt:lpstr>z_VVZVFH0115_MO_BS_deferredtaxliabilities</vt:lpstr>
      <vt:lpstr>z_VVZVFH0115_MO_BS_Goodwill</vt:lpstr>
      <vt:lpstr>z_VVZVFH0115_MO_BS_Intangibleassets</vt:lpstr>
      <vt:lpstr>z_VVZVFH0115_MO_BS_Inventories</vt:lpstr>
      <vt:lpstr>z_VVZVFH0115_MO_BS_Longtermdebt</vt:lpstr>
      <vt:lpstr>z_VVZVFH0115_MO_BS_Longtermportionofoperatingleaseliabilities</vt:lpstr>
      <vt:lpstr>z_VVZVFH0115_MO_BS_NCI</vt:lpstr>
      <vt:lpstr>z_VVZVFH0115_MO_BS_NetIncomeonReportedISNIonRevised</vt:lpstr>
      <vt:lpstr>z_VVZVFH0115_MO_BS_NetIncomeonRevisedISNIonCFstatement</vt:lpstr>
      <vt:lpstr>z_VVZVFH0115_MO_BS_NonCurrentAssets</vt:lpstr>
      <vt:lpstr>z_VVZVFH0115_MO_BS_NonCurrentLiabilities</vt:lpstr>
      <vt:lpstr>z_VVZVFH0115_MO_BS_Operatingleaserightofuseofassets</vt:lpstr>
      <vt:lpstr>z_VVZVFH0115_MO_BS_Otherassets</vt:lpstr>
      <vt:lpstr>z_VVZVFH0115_MO_BS_Othernoncurrentliabilities</vt:lpstr>
      <vt:lpstr>z_VVZVFH0115_MO_BS_preferredstock</vt:lpstr>
      <vt:lpstr>z_VVZVFH0115_MO_BS_Prepaidexpensesandothercurrentassets</vt:lpstr>
      <vt:lpstr>z_VVZVFH0115_MO_BS_Property</vt:lpstr>
      <vt:lpstr>z_VVZVFH0115_MO_BS_propertyplantandequipment</vt:lpstr>
      <vt:lpstr>z_VVZVFH0115_MO_BS_retainedearnings</vt:lpstr>
      <vt:lpstr>z_VVZVFH0115_MO_BS_ShareholdersEquity</vt:lpstr>
      <vt:lpstr>z_VVZVFH0115_MO_BS_shorttermborrowings</vt:lpstr>
      <vt:lpstr>z_VVZVFH0115_MO_BS_TotalAssets</vt:lpstr>
      <vt:lpstr>z_VVZVFH0115_MO_BS_TotalCurrentAssets</vt:lpstr>
      <vt:lpstr>z_VVZVFH0115_MO_BS_TotalCurrentLiabilities</vt:lpstr>
      <vt:lpstr>z_VVZVFH0115_MO_BS_TotalLiabilities</vt:lpstr>
      <vt:lpstr>z_VVZVFH0115_MO_BS_TotalLiabilitiesSE</vt:lpstr>
      <vt:lpstr>z_VVZVFH0115_MO_BS_TotalNonCurrentAssets</vt:lpstr>
      <vt:lpstr>z_VVZVFH0115_MO_BS_TotalNonCurrentliabilities</vt:lpstr>
      <vt:lpstr>z_VVZVFH0115_MO_BS_TotalSE</vt:lpstr>
      <vt:lpstr>z_VVZVFH0115_MO_BS_treasurystockatcost</vt:lpstr>
      <vt:lpstr>z_VVZVFH0115_MO_BSS_Cash</vt:lpstr>
      <vt:lpstr>z_VVZVFH0115_MO_BSS_Debt</vt:lpstr>
      <vt:lpstr>z_VVZVFH0115_MO_BSS_DebtCashFlow</vt:lpstr>
      <vt:lpstr>z_VVZVFH0115_MO_BSS_DebtEBITDA</vt:lpstr>
      <vt:lpstr>z_VVZVFH0115_MO_BSS_EBITDANetInterestExpense</vt:lpstr>
      <vt:lpstr>z_VVZVFH0115_MO_BSS_EffectiveInterestRateonCash</vt:lpstr>
      <vt:lpstr>z_VVZVFH0115_MO_BSS_EffectiveInterestRateonDebt</vt:lpstr>
      <vt:lpstr>z_VVZVFH0115_MO_BSS_EffectiveNetInterestRateonDebt</vt:lpstr>
      <vt:lpstr>z_VVZVFH0115_MO_BSS_InterestExpense</vt:lpstr>
      <vt:lpstr>z_VVZVFH0115_MO_BSS_InterestIncome</vt:lpstr>
      <vt:lpstr>z_VVZVFH0115_MO_BSS_LTDebt</vt:lpstr>
      <vt:lpstr>z_VVZVFH0115_MO_BSS_NetDebt</vt:lpstr>
      <vt:lpstr>z_VVZVFH0115_MO_BSS_NetInterestExpenseIncome</vt:lpstr>
      <vt:lpstr>z_VVZVFH0115_MO_BSS_OperatingLeaseLiabilities</vt:lpstr>
      <vt:lpstr>z_VVZVFH0115_MO_BSS_STDebt</vt:lpstr>
      <vt:lpstr>z_VVZVFH0115_MO_CCFS_Accountsandotherreceivables</vt:lpstr>
      <vt:lpstr>z_VVZVFH0115_MO_CCFS_accountspayableandaccruedexpenses</vt:lpstr>
      <vt:lpstr>z_VVZVFH0115_MO_CCFS_Acquisitions</vt:lpstr>
      <vt:lpstr>z_VVZVFH0115_MO_CCFS_additionstoproperty</vt:lpstr>
      <vt:lpstr>z_VVZVFH0115_MO_CCFS_BeginningCashBalance</vt:lpstr>
      <vt:lpstr>z_VVZVFH0115_MO_CCFS_billingsinexcessofcostsandestimatedearningsonuncompletedcontracts</vt:lpstr>
      <vt:lpstr>z_VVZVFH0115_MO_CCFS_capitalizedsoftwaredevelopmentcosts</vt:lpstr>
      <vt:lpstr>z_VVZVFH0115_MO_CCFS_Cashproceedsfromterminationofinterestratederivatives</vt:lpstr>
      <vt:lpstr>z_VVZVFH0115_MO_CCFS_CFF</vt:lpstr>
      <vt:lpstr>z_VVZVFH0115_MO_CCFS_CFI</vt:lpstr>
      <vt:lpstr>z_VVZVFH0115_MO_CCFS_CFO</vt:lpstr>
      <vt:lpstr>z_VVZVFH0115_MO_CCFS_CFObeforeWC</vt:lpstr>
      <vt:lpstr>z_VVZVFH0115_MO_CCFS_changeinnegativecashbookbalance</vt:lpstr>
      <vt:lpstr>z_VVZVFH0115_MO_CCFS_changeinnegativecashbookbalances</vt:lpstr>
      <vt:lpstr>z_VVZVFH0115_MO_CCFS_contingentconsiderationpayments</vt:lpstr>
      <vt:lpstr>z_VVZVFH0115_MO_CCFS_Contingentconsiderationpaymentsinexcessoffairvalueonacquisitiondate</vt:lpstr>
      <vt:lpstr>z_VVZVFH0115_MO_CCFS_costsandestimatedearningsinexcessofbillingsonuncompletedcontracts</vt:lpstr>
      <vt:lpstr>z_VVZVFH0115_MO_CCFS_deferredincometaxes</vt:lpstr>
      <vt:lpstr>z_VVZVFH0115_MO_CCFS_depreciationandamortization</vt:lpstr>
      <vt:lpstr>z_VVZVFH0115_MO_CCFS_Dividendspaid</vt:lpstr>
      <vt:lpstr>z_VVZVFH0115_MO_CCFS_EndingCashBalance</vt:lpstr>
      <vt:lpstr>z_VVZVFH0115_MO_CCFS_EquityinvestmentbySagardCapitalPartners</vt:lpstr>
      <vt:lpstr>z_VVZVFH0115_MO_CCFS_excesstaxbenefitfromsharebasedcompensation</vt:lpstr>
      <vt:lpstr>z_VVZVFH0115_MO_CCFS_FX</vt:lpstr>
      <vt:lpstr>z_VVZVFH0115_MO_CCFS_gainonreversalofdeferredrentliability</vt:lpstr>
      <vt:lpstr>z_VVZVFH0115_MO_CCFS_Gainonsaleofbusiness</vt:lpstr>
      <vt:lpstr>z_VVZVFH0115_MO_CCFS_goodwillandintangibleassetimpairmentloss</vt:lpstr>
      <vt:lpstr>z_VVZVFH0115_MO_CCFS_incometaxbenefitofstockbasedcompensation</vt:lpstr>
      <vt:lpstr>z_VVZVFH0115_MO_CCFS_incometaxbenefitonreductionofuncertaintaxpositionliabilities</vt:lpstr>
      <vt:lpstr>z_VVZVFH0115_MO_CCFS_inventories</vt:lpstr>
      <vt:lpstr>z_VVZVFH0115_MO_CCFS_investmentinjointventure</vt:lpstr>
      <vt:lpstr>z_VVZVFH0115_MO_CCFS_lossonchangeinfairvalueofcontingentconsideration</vt:lpstr>
      <vt:lpstr>z_VVZVFH0115_MO_CCFS_NetCFF</vt:lpstr>
      <vt:lpstr>z_VVZVFH0115_MO_CCFS_NetCFI</vt:lpstr>
      <vt:lpstr>z_VVZVFH0115_MO_CCFS_NetCFO</vt:lpstr>
      <vt:lpstr>z_VVZVFH0115_MO_CCFS_NetChangeinCashBalance</vt:lpstr>
      <vt:lpstr>z_VVZVFH0115_MO_CCFS_netincome</vt:lpstr>
      <vt:lpstr>z_VVZVFH0115_MO_CCFS_noncashcompensationexpense</vt:lpstr>
      <vt:lpstr>z_VVZVFH0115_MO_CCFS_Other</vt:lpstr>
      <vt:lpstr>z_VVZVFH0115_MO_CCFS_Otherfinancingactivities</vt:lpstr>
      <vt:lpstr>z_VVZVFH0115_MO_CCFS_Otherinvestingactivities</vt:lpstr>
      <vt:lpstr>z_VVZVFH0115_MO_CCFS_Paymentofdebtissuancecosts</vt:lpstr>
      <vt:lpstr>z_VVZVFH0115_MO_CCFS_premiumpaidforinterestratecap</vt:lpstr>
      <vt:lpstr>z_VVZVFH0115_MO_CCFS_Prepaidexpensesandothercurrentassets</vt:lpstr>
      <vt:lpstr>z_VVZVFH0115_MO_CCFS_proceedsfromissuanceofcommonstock</vt:lpstr>
      <vt:lpstr>z_VVZVFH0115_MO_CCFS_Proceedsfromlongtermdebt</vt:lpstr>
      <vt:lpstr>z_VVZVFH0115_MO_CCFS_proceedsfromrepaymentofshorttermborrowings</vt:lpstr>
      <vt:lpstr>z_VVZVFH0115_MO_CCFS_Proceedsfromsaleofbusiness</vt:lpstr>
      <vt:lpstr>z_VVZVFH0115_MO_CCFS_proceedsfromsaleofproductiveassets</vt:lpstr>
      <vt:lpstr>z_VVZVFH0115_MO_CCFS_Repaymentoflongtermdebt</vt:lpstr>
      <vt:lpstr>z_VVZVFH0115_MO_CCFS_repurchasesofcommonstockintheopenmarket</vt:lpstr>
      <vt:lpstr>z_VVZVFH0115_MO_CCFS_taxwithholdingpaymentsforemployeestockbasedcompensation</vt:lpstr>
      <vt:lpstr>z_VVZVFH0115_MO_CFS_Accountsandotherreceivables</vt:lpstr>
      <vt:lpstr>z_VVZVFH0115_MO_CFS_accountspayableandaccruedexpenses</vt:lpstr>
      <vt:lpstr>z_VVZVFH0115_MO_CFS_Acquisitions</vt:lpstr>
      <vt:lpstr>z_VVZVFH0115_MO_CFS_additionstoproperty</vt:lpstr>
      <vt:lpstr>z_VVZVFH0115_MO_CFS_BeginningCashBalance</vt:lpstr>
      <vt:lpstr>z_VVZVFH0115_MO_CFS_billingsinexcessofcostsandestimatedearningsonuncompletedcontracts</vt:lpstr>
      <vt:lpstr>z_VVZVFH0115_MO_CFS_capitalizedsoftwaredevelopmentcosts</vt:lpstr>
      <vt:lpstr>z_VVZVFH0115_MO_CFS_Cashproceedsfromterminationofinterestratederivatives</vt:lpstr>
      <vt:lpstr>z_VVZVFH0115_MO_CFS_CFCheck</vt:lpstr>
      <vt:lpstr>z_VVZVFH0115_MO_CFS_CFF</vt:lpstr>
      <vt:lpstr>z_VVZVFH0115_MO_CFS_CFI</vt:lpstr>
      <vt:lpstr>z_VVZVFH0115_MO_CFS_CFO</vt:lpstr>
      <vt:lpstr>z_VVZVFH0115_MO_CFS_CFObeforeWC</vt:lpstr>
      <vt:lpstr>z_VVZVFH0115_MO_CFS_changeinnegativecashbookbalance</vt:lpstr>
      <vt:lpstr>z_VVZVFH0115_MO_CFS_changeinnegativecashbookbalances</vt:lpstr>
      <vt:lpstr>z_VVZVFH0115_MO_CFS_contingentconsiderationpayments</vt:lpstr>
      <vt:lpstr>z_VVZVFH0115_MO_CFS_Contingentconsiderationpaymentsinexcessoffairvalueonacquisitiondate</vt:lpstr>
      <vt:lpstr>z_VVZVFH0115_MO_CFS_costsandestimatedearningsinexcessofbillingsonuncompletedcontracts</vt:lpstr>
      <vt:lpstr>z_VVZVFH0115_MO_CFS_deferredincometaxes</vt:lpstr>
      <vt:lpstr>z_VVZVFH0115_MO_CFS_depreciationandamortization</vt:lpstr>
      <vt:lpstr>z_VVZVFH0115_MO_CFS_Dividendspaid</vt:lpstr>
      <vt:lpstr>z_VVZVFH0115_MO_CFS_EndingCashBalance</vt:lpstr>
      <vt:lpstr>z_VVZVFH0115_MO_CFS_EquityinvestmentbySagardCapitalPartners</vt:lpstr>
      <vt:lpstr>z_VVZVFH0115_MO_CFS_excesstaxbenefitfromsharebasedcompensation</vt:lpstr>
      <vt:lpstr>z_VVZVFH0115_MO_CFS_FX</vt:lpstr>
      <vt:lpstr>z_VVZVFH0115_MO_CFS_gainonreversalofdeferredrentliability</vt:lpstr>
      <vt:lpstr>z_VVZVFH0115_MO_CFS_Gainonsaleofbusiness</vt:lpstr>
      <vt:lpstr>z_VVZVFH0115_MO_CFS_goodwillandintangibleassetimpairmentloss</vt:lpstr>
      <vt:lpstr>z_VVZVFH0115_MO_CFS_incometaxbenefitofstockbasedcompensation</vt:lpstr>
      <vt:lpstr>z_VVZVFH0115_MO_CFS_incometaxbenefitonreductionofuncertaintaxpositionliabilities</vt:lpstr>
      <vt:lpstr>z_VVZVFH0115_MO_CFS_inventories</vt:lpstr>
      <vt:lpstr>z_VVZVFH0115_MO_CFS_investmentinjointventure</vt:lpstr>
      <vt:lpstr>z_VVZVFH0115_MO_CFS_lossonchangeinfairvalueofcontingentconsideration</vt:lpstr>
      <vt:lpstr>z_VVZVFH0115_MO_CFS_NetCFF</vt:lpstr>
      <vt:lpstr>z_VVZVFH0115_MO_CFS_NetCFI</vt:lpstr>
      <vt:lpstr>z_VVZVFH0115_MO_CFS_NetCFO</vt:lpstr>
      <vt:lpstr>z_VVZVFH0115_MO_CFS_NetChangeinCashBalance</vt:lpstr>
      <vt:lpstr>z_VVZVFH0115_MO_CFS_netincome</vt:lpstr>
      <vt:lpstr>z_VVZVFH0115_MO_CFS_noncashcompensationexpense</vt:lpstr>
      <vt:lpstr>z_VVZVFH0115_MO_CFS_Other</vt:lpstr>
      <vt:lpstr>z_VVZVFH0115_MO_CFS_Otherfinancingactivities</vt:lpstr>
      <vt:lpstr>z_VVZVFH0115_MO_CFS_Otherinvestingactivities</vt:lpstr>
      <vt:lpstr>z_VVZVFH0115_MO_CFS_Paymentofdebtissuancecosts</vt:lpstr>
      <vt:lpstr>z_VVZVFH0115_MO_CFS_premiumpaidforinterestratecap</vt:lpstr>
      <vt:lpstr>z_VVZVFH0115_MO_CFS_Prepaidexpensesandothercurrentassets</vt:lpstr>
      <vt:lpstr>z_VVZVFH0115_MO_CFS_proceedsfromissuanceofcommonstock</vt:lpstr>
      <vt:lpstr>z_VVZVFH0115_MO_CFS_Proceedsfromlongtermdebt</vt:lpstr>
      <vt:lpstr>z_VVZVFH0115_MO_CFS_proceedsfromrepaymentofshorttermborrowings</vt:lpstr>
      <vt:lpstr>z_VVZVFH0115_MO_CFS_Proceedsfromsaleofbusiness</vt:lpstr>
      <vt:lpstr>z_VVZVFH0115_MO_CFS_proceedsfromsaleofproductiveassets</vt:lpstr>
      <vt:lpstr>z_VVZVFH0115_MO_CFS_Repaymentoflongtermdebt</vt:lpstr>
      <vt:lpstr>z_VVZVFH0115_MO_CFS_Repurchasesofcommonstockintheopenmarket</vt:lpstr>
      <vt:lpstr>z_VVZVFH0115_MO_CFS_taxwithholdingpaymentsforemployeestockbasedcompensation</vt:lpstr>
      <vt:lpstr>z_VVZVFH0115_MO_CFSum_Acquisitions</vt:lpstr>
      <vt:lpstr>z_VVZVFH0115_MO_CFSum_Capex</vt:lpstr>
      <vt:lpstr>z_VVZVFH0115_MO_CFSum_CashFlowPerDilutedShare</vt:lpstr>
      <vt:lpstr>z_VVZVFH0115_MO_CFSum_ConsensusEstimatesCapex</vt:lpstr>
      <vt:lpstr>z_VVZVFH0115_MO_CFSum_consensusestimatescashflowperdilutedshare</vt:lpstr>
      <vt:lpstr>z_VVZVFH0115_MO_CFSum_Divestiture</vt:lpstr>
      <vt:lpstr>z_VVZVFH0115_MO_CFSum_DividendPaid</vt:lpstr>
      <vt:lpstr>z_VVZVFH0115_MO_CFSum_DividendPerShare</vt:lpstr>
      <vt:lpstr>z_VVZVFH0115_MO_CFSum_EstimatedSharePriceforIssuanceBuybacks</vt:lpstr>
      <vt:lpstr>z_VVZVFH0115_MO_CFSum_FCF</vt:lpstr>
      <vt:lpstr>z_VVZVFH0115_MO_CFSum_FCF_1</vt:lpstr>
      <vt:lpstr>z_VVZVFH0115_MO_CFSum_FCF_2</vt:lpstr>
      <vt:lpstr>z_VVZVFH0115_MO_CFSum_FCFPostDivDebtBuyback</vt:lpstr>
      <vt:lpstr>z_VVZVFH0115_MO_CFSum_NetDebtIssuanceRepayment</vt:lpstr>
      <vt:lpstr>z_VVZVFH0115_MO_CFSum_NetShareIssuanceBuybacks</vt:lpstr>
      <vt:lpstr>z_VVZVFH0115_MO_CFSum_OperatingCashFlowbeforeWC</vt:lpstr>
      <vt:lpstr>z_VVZVFH0115_MO_GA_AcqDivRevenueChange</vt:lpstr>
      <vt:lpstr>z_VVZVFH0115_MO_GA_AcqDivRevenueGrowth</vt:lpstr>
      <vt:lpstr>z_VVZVFH0115_MO_GA_FXImpactRevenueChange</vt:lpstr>
      <vt:lpstr>z_VVZVFH0115_MO_GA_FXImpactRevenueGrowth</vt:lpstr>
      <vt:lpstr>z_VVZVFH0115_MO_GA_OrganicRevenueChange</vt:lpstr>
      <vt:lpstr>z_VVZVFH0115_MO_GA_OrganicRevenueGrowth</vt:lpstr>
      <vt:lpstr>z_VVZVFH0115_MO_GA_TotalRevenuecurrentperiod</vt:lpstr>
      <vt:lpstr>z_VVZVFH0115_MO_GA_TotalRevenueGrowth</vt:lpstr>
      <vt:lpstr>z_VVZVFH0115_MO_GA_TotalRevenuepreviousperiod</vt:lpstr>
      <vt:lpstr>z_VVZVFH0115_MO_Header_ColumnHeader</vt:lpstr>
      <vt:lpstr>z_VVZVFH0115_MO_Header_CompanySubTitle</vt:lpstr>
      <vt:lpstr>z_VVZVFH0115_MO_Header_CompanyTitle</vt:lpstr>
      <vt:lpstr>z_VVZVFH0115_MO_Header_FPDays</vt:lpstr>
      <vt:lpstr>z_VVZVFH0115_MO_Header_QEndDate</vt:lpstr>
      <vt:lpstr>z_VVZVFH0115_MO_IS_costofrevenue</vt:lpstr>
      <vt:lpstr>z_VVZVFH0115_MO_IS_gainonreversalofdeferredrentliability</vt:lpstr>
      <vt:lpstr>z_VVZVFH0115_MO_IS_Gainonsaleofbusiness</vt:lpstr>
      <vt:lpstr>z_VVZVFH0115_MO_IS_goodwillandintangibleassetimpairmentloss</vt:lpstr>
      <vt:lpstr>z_VVZVFH0115_MO_IS_grossprofit</vt:lpstr>
      <vt:lpstr>z_VVZVFH0115_MO_IS_incomebeforeincometaxexpense</vt:lpstr>
      <vt:lpstr>z_VVZVFH0115_MO_IS_incometaxexpense</vt:lpstr>
      <vt:lpstr>z_VVZVFH0115_MO_IS_interestexpense</vt:lpstr>
      <vt:lpstr>z_VVZVFH0115_MO_IS_ISCheck</vt:lpstr>
      <vt:lpstr>z_VVZVFH0115_MO_IS_lossonchangeinfairvalueofcontingentconsideration</vt:lpstr>
      <vt:lpstr>z_VVZVFH0115_MO_IS_netincome</vt:lpstr>
      <vt:lpstr>z_VVZVFH0115_MO_IS_operatingincome</vt:lpstr>
      <vt:lpstr>z_VVZVFH0115_MO_IS_Otherincomeexpense</vt:lpstr>
      <vt:lpstr>z_VVZVFH0115_MO_IS_restructuringcharges</vt:lpstr>
      <vt:lpstr>z_VVZVFH0115_MO_IS_revenue</vt:lpstr>
      <vt:lpstr>z_VVZVFH0115_MO_IS_selling</vt:lpstr>
      <vt:lpstr>z_VVZVFH0115_MO_MA_AdjustedEBITDAMargin</vt:lpstr>
      <vt:lpstr>z_VVZVFH0115_MO_MA_AverageFXRate</vt:lpstr>
      <vt:lpstr>z_VVZVFH0115_MO_MA_BusinessTransformationCOGSmargin</vt:lpstr>
      <vt:lpstr>z_VVZVFH0115_MO_MA_COGSMarginExcludingDA</vt:lpstr>
      <vt:lpstr>z_VVZVFH0115_MO_MA_COGSMarginIncludingDA</vt:lpstr>
      <vt:lpstr>z_VVZVFH0115_MO_MA_consensusestimatesadjustedebitdamargin</vt:lpstr>
      <vt:lpstr>z_VVZVFH0115_MO_MA_consensusestimatesgrossmargin</vt:lpstr>
      <vt:lpstr>z_VVZVFH0115_MO_MA_EBITDAMargin</vt:lpstr>
      <vt:lpstr>z_VVZVFH0115_MO_MA_GrossMarginExcludingDA</vt:lpstr>
      <vt:lpstr>z_VVZVFH0115_MO_MA_GrossMarginIncludingDA</vt:lpstr>
      <vt:lpstr>z_VVZVFH0115_MO_MA_learningsolutionscogsmargin</vt:lpstr>
      <vt:lpstr>z_VVZVFH0115_MO_MA_performancereadinesssolutionscogsmargin</vt:lpstr>
      <vt:lpstr>z_VVZVFH0115_MO_MA_professionaltechnicalservicescogsmargin</vt:lpstr>
      <vt:lpstr>z_VVZVFH0115_MO_MA_sandytrainingmarketingcogsmargin</vt:lpstr>
      <vt:lpstr>z_VVZVFH0115_MO_MA_SGAMargin</vt:lpstr>
      <vt:lpstr>z_VVZVFH0115_MO_MA_StockPriceTradingCurAvg</vt:lpstr>
      <vt:lpstr>z_VVZVFH0115_MO_MA_WorkforceExcellenceCOGSmargin</vt:lpstr>
      <vt:lpstr>z_VVZVFH0115_MO_OS_Accountsandotherreceivables</vt:lpstr>
      <vt:lpstr>z_VVZVFH0115_MO_OS_AccountsandotherreceivablesYYChange</vt:lpstr>
      <vt:lpstr>z_VVZVFH0115_MO_OS_Accountspayableandaccruedexpenses</vt:lpstr>
      <vt:lpstr>z_VVZVFH0115_MO_OS_AccountspayableandaccruedexpensesYYChange</vt:lpstr>
      <vt:lpstr>z_VVZVFH0115_MO_OS_BusinessTransformationServicesCOGS</vt:lpstr>
      <vt:lpstr>z_VVZVFH0115_MO_OS_BusinessTransformationServicesGrossProfit</vt:lpstr>
      <vt:lpstr>z_VVZVFH0115_MO_OS_BusinessTransformationServicesrevenue</vt:lpstr>
      <vt:lpstr>z_VVZVFH0115_MO_OS_BusinessTransformationServicesrevenuegrowth</vt:lpstr>
      <vt:lpstr>z_VVZVFH0115_MO_OS_Costsandestimatedearningsinexcessofbillingsonuncompletedcontracts</vt:lpstr>
      <vt:lpstr>z_VVZVFH0115_MO_OS_CostsandestimatedearningsinexcessofbillingsonuncompletedcontractsYYChange</vt:lpstr>
      <vt:lpstr>z_VVZVFH0115_MO_OS_EnergyServicesCOGSPriorto2014</vt:lpstr>
      <vt:lpstr>z_VVZVFH0115_MO_OS_EnergyServicesGrossProfitPriorto2014</vt:lpstr>
      <vt:lpstr>z_VVZVFH0115_MO_OS_EnergyServicesrevenuePriorto2014</vt:lpstr>
      <vt:lpstr>z_VVZVFH0115_MO_OS_learningsolutionscogs</vt:lpstr>
      <vt:lpstr>z_VVZVFH0115_MO_OS_LearningSolutionsCOGSPriorto2014</vt:lpstr>
      <vt:lpstr>z_VVZVFH0115_MO_OS_learningsolutionsgrossprofit</vt:lpstr>
      <vt:lpstr>z_VVZVFH0115_MO_OS_LearningSolutionsGrossProfitPriorto2014</vt:lpstr>
      <vt:lpstr>z_VVZVFH0115_MO_OS_learningsolutionsrevenue</vt:lpstr>
      <vt:lpstr>z_VVZVFH0115_MO_OS_learningsolutionsrevenuegrowth</vt:lpstr>
      <vt:lpstr>z_VVZVFH0115_MO_OS_LearningSolutionsrevenuePriorto2014</vt:lpstr>
      <vt:lpstr>z_VVZVFH0115_MO_OS_performancereadinesssolutionscogs</vt:lpstr>
      <vt:lpstr>z_VVZVFH0115_MO_OS_PerformanceReadinessSolutionsCOGSPriorto2014</vt:lpstr>
      <vt:lpstr>z_VVZVFH0115_MO_OS_performancereadinesssolutionsgrossprofit</vt:lpstr>
      <vt:lpstr>z_VVZVFH0115_MO_OS_PerformanceReadinessSolutionsGrossProfitPriorto2014</vt:lpstr>
      <vt:lpstr>z_VVZVFH0115_MO_OS_performancereadinesssolutionsrevenue</vt:lpstr>
      <vt:lpstr>z_VVZVFH0115_MO_OS_performancereadinesssolutionsrevenuegrowth</vt:lpstr>
      <vt:lpstr>z_VVZVFH0115_MO_OS_PerformanceReadinessSolutionsrevenuePriorto2014</vt:lpstr>
      <vt:lpstr>z_VVZVFH0115_MO_OS_Prepaidexpensesandothercurrentassets</vt:lpstr>
      <vt:lpstr>z_VVZVFH0115_MO_OS_PrepaidexpensesandothercurrentassetsYYChange</vt:lpstr>
      <vt:lpstr>z_VVZVFH0115_MO_OS_professionaltechnicalservicescogs</vt:lpstr>
      <vt:lpstr>z_VVZVFH0115_MO_OS_ProfessionalTechnicalServicesCOGSPriorto2014</vt:lpstr>
      <vt:lpstr>z_VVZVFH0115_MO_OS_professionaltechnicalservicesgrossprofit</vt:lpstr>
      <vt:lpstr>z_VVZVFH0115_MO_OS_ProfessionalTechnicalServicesGrossProfitPriorto2014</vt:lpstr>
      <vt:lpstr>z_VVZVFH0115_MO_OS_professionaltechnicalservicesrevenue</vt:lpstr>
      <vt:lpstr>z_VVZVFH0115_MO_OS_professionaltechnicalservicesrevenuegrowth</vt:lpstr>
      <vt:lpstr>z_VVZVFH0115_MO_OS_ProfessionalTechnicalServicesrevenuePriorto2014</vt:lpstr>
      <vt:lpstr>z_VVZVFH0115_MO_OS_sandytrainingmarketingcogs</vt:lpstr>
      <vt:lpstr>z_VVZVFH0115_MO_OS_SandyTrainingMarketingCOGSPriorto2014</vt:lpstr>
      <vt:lpstr>z_VVZVFH0115_MO_OS_sandytrainingmarketinggrossprofit</vt:lpstr>
      <vt:lpstr>z_VVZVFH0115_MO_OS_SandyTrainingMarketingGrossProfitPriorto2014</vt:lpstr>
      <vt:lpstr>z_VVZVFH0115_MO_OS_sandytrainingmarketingrevenue</vt:lpstr>
      <vt:lpstr>z_VVZVFH0115_MO_OS_sandytrainingmarketingrevenuegrowth</vt:lpstr>
      <vt:lpstr>z_VVZVFH0115_MO_OS_SandyTrainingMarketingrevenuePriorto2014</vt:lpstr>
      <vt:lpstr>z_VVZVFH0115_MO_OS_totalbacklog</vt:lpstr>
      <vt:lpstr>z_VVZVFH0115_MO_OS_TotalCOGS</vt:lpstr>
      <vt:lpstr>z_VVZVFH0115_MO_OS_TotalCOGS_1</vt:lpstr>
      <vt:lpstr>z_VVZVFH0115_MO_OS_TotalCOGSPriorto2014</vt:lpstr>
      <vt:lpstr>z_VVZVFH0115_MO_OS_TotalGrossProfit</vt:lpstr>
      <vt:lpstr>z_VVZVFH0115_MO_OS_TotalGrossProfit_1</vt:lpstr>
      <vt:lpstr>z_VVZVFH0115_MO_OS_TotalGrossProfitPriorto2014</vt:lpstr>
      <vt:lpstr>z_VVZVFH0115_MO_OS_TotalRevenue</vt:lpstr>
      <vt:lpstr>z_VVZVFH0115_MO_OS_TotalRevenue_1</vt:lpstr>
      <vt:lpstr>z_VVZVFH0115_MO_OS_TotalRevenueGrowth</vt:lpstr>
      <vt:lpstr>z_VVZVFH0115_MO_OS_TotalRevenuePriorto2014</vt:lpstr>
      <vt:lpstr>z_VVZVFH0115_MO_OS_WorkforceExcellenceCOGS</vt:lpstr>
      <vt:lpstr>z_VVZVFH0115_MO_OS_WorkforceExcellenceGrossProfit</vt:lpstr>
      <vt:lpstr>z_VVZVFH0115_MO_OS_WorkforceExcellencerevenue</vt:lpstr>
      <vt:lpstr>z_VVZVFH0115_MO_OS_WorkforceExcellencerevenuegrowth</vt:lpstr>
      <vt:lpstr>z_VVZVFH0115_MO_RIS_AdjustedEarningsPerShareWAD</vt:lpstr>
      <vt:lpstr>z_VVZVFH0115_MO_RIS_AdjustedEBITDA</vt:lpstr>
      <vt:lpstr>z_VVZVFH0115_MO_RIS_AdjustedNetIncome</vt:lpstr>
      <vt:lpstr>z_VVZVFH0115_MO_RIS_AdjustedSharesOutstandingWAD</vt:lpstr>
      <vt:lpstr>z_VVZVFH0115_MO_RIS_AdjustmentsforConvertibleSecurities</vt:lpstr>
      <vt:lpstr>z_VVZVFH0115_MO_RIS_COGSadjforDA</vt:lpstr>
      <vt:lpstr>z_VVZVFH0115_MO_RIS_consensusestimatesadjustedearningspersharewad</vt:lpstr>
      <vt:lpstr>z_VVZVFH0115_MO_RIS_consensusestimatesadjustedebitda</vt:lpstr>
      <vt:lpstr>z_VVZVFH0115_MO_RIS_consensusestimatesnetrevenue</vt:lpstr>
      <vt:lpstr>z_VVZVFH0115_MO_RIS_Currenttax</vt:lpstr>
      <vt:lpstr>z_VVZVFH0115_MO_RIS_Currenttaxrate</vt:lpstr>
      <vt:lpstr>z_VVZVFH0115_MO_RIS_DA</vt:lpstr>
      <vt:lpstr>z_VVZVFH0115_MO_RIS_Deferredtax</vt:lpstr>
      <vt:lpstr>z_VVZVFH0115_MO_RIS_Deferredtaxrate</vt:lpstr>
      <vt:lpstr>z_VVZVFH0115_MO_RIS_DilutedNetIncometoCommonShareholders</vt:lpstr>
      <vt:lpstr>z_VVZVFH0115_MO_RIS_DiscontinuedOperations</vt:lpstr>
      <vt:lpstr>z_VVZVFH0115_MO_RIS_EarningsPerShareWAB</vt:lpstr>
      <vt:lpstr>z_VVZVFH0115_MO_RIS_EarningsPerShareWAD</vt:lpstr>
      <vt:lpstr>z_VVZVFH0115_MO_RIS_EBIT</vt:lpstr>
      <vt:lpstr>z_VVZVFH0115_MO_RIS_EBITDA</vt:lpstr>
      <vt:lpstr>z_VVZVFH0115_MO_RIS_EBT</vt:lpstr>
      <vt:lpstr>z_VVZVFH0115_MO_RIS_GrossProfit</vt:lpstr>
      <vt:lpstr>z_VVZVFH0115_MO_RIS_Interestexpense</vt:lpstr>
      <vt:lpstr>z_VVZVFH0115_MO_RIS_Interestincome</vt:lpstr>
      <vt:lpstr>z_VVZVFH0115_MO_RIS_NetIncomefromContinuedOperation</vt:lpstr>
      <vt:lpstr>z_VVZVFH0115_MO_RIS_NetIncometoCommonShareholders</vt:lpstr>
      <vt:lpstr>z_VVZVFH0115_MO_RIS_NetIncometoNCI</vt:lpstr>
      <vt:lpstr>z_VVZVFH0115_MO_RIS_NetRevenue</vt:lpstr>
      <vt:lpstr>z_VVZVFH0115_MO_RIS_NonGAAPAdjustments</vt:lpstr>
      <vt:lpstr>z_VVZVFH0115_MO_RIS_NonGAAPAdjustmentsforDilutiveSecurities</vt:lpstr>
      <vt:lpstr>z_VVZVFH0115_MO_RIS_Onetimeitem</vt:lpstr>
      <vt:lpstr>z_VVZVFH0115_MO_RIS_Otheritems</vt:lpstr>
      <vt:lpstr>z_VVZVFH0115_MO_RIS_Preferredstockdividends</vt:lpstr>
      <vt:lpstr>z_VVZVFH0115_MO_RIS_SBC</vt:lpstr>
      <vt:lpstr>z_VVZVFH0115_MO_RIS_SGAadjforSBC</vt:lpstr>
      <vt:lpstr>z_VVZVFH0115_MO_RIS_SharesOutstandingWAB</vt:lpstr>
      <vt:lpstr>z_VVZVFH0115_MO_RIS_SharesOutstandingWAD</vt:lpstr>
      <vt:lpstr>z_VVZVFH0115_MO_Section_AN_AdjustedNumbers</vt:lpstr>
      <vt:lpstr>z_VVZVFH0115_MO_Section_BS_BalanceSheet</vt:lpstr>
      <vt:lpstr>z_VVZVFH0115_MO_Section_BS_ModelChecks</vt:lpstr>
      <vt:lpstr>z_VVZVFH0115_MO_Section_BSS_BalanceSheetSummary</vt:lpstr>
      <vt:lpstr>z_VVZVFH0115_MO_Section_CCFS_CumulativeCashFlowStatement</vt:lpstr>
      <vt:lpstr>z_VVZVFH0115_MO_Section_CFS_CashFlowStatement</vt:lpstr>
      <vt:lpstr>z_VVZVFH0115_MO_Section_CFSum_CashFlowSummary</vt:lpstr>
      <vt:lpstr>z_VVZVFH0115_MO_Section_GA_GrowthAnalysis</vt:lpstr>
      <vt:lpstr>z_VVZVFH0115_MO_Section_IS_IncomeStatement</vt:lpstr>
      <vt:lpstr>z_VVZVFH0115_MO_Section_MA_MarginAnalysis</vt:lpstr>
      <vt:lpstr>z_VVZVFH0115_MO_Section_OS_KeyMetricsBacklogPR</vt:lpstr>
      <vt:lpstr>z_VVZVFH0115_MO_Section_OS_SegmentedResultsBreakdownFS</vt:lpstr>
      <vt:lpstr>z_VVZVFH0115_MO_Section_OS_SegmentedResultsRevenueBreakdownFS</vt:lpstr>
      <vt:lpstr>z_VVZVFH0115_MO_Section_OS_WorkingCapitalForecasting</vt:lpstr>
      <vt:lpstr>z_VVZVFH0115_MO_Section_RIS_RevisedIncomeStatement</vt:lpstr>
      <vt:lpstr>z_VVZVFH0115_MO_Section_TB_Tables</vt:lpstr>
      <vt:lpstr>z_VVZVFH0115_MO_Section_VA_Valuation</vt:lpstr>
      <vt:lpstr>z_VVZVFH0115_MO_VA_EnterpriseValueAverage</vt:lpstr>
      <vt:lpstr>z_VVZVFH0115_MO_VA_enterprisevaluecomponents</vt:lpstr>
      <vt:lpstr>z_VVZVFH0115_MO_VA_EVEBITDAAverage</vt:lpstr>
      <vt:lpstr>z_VVZVFH0115_MO_VA_FCFYieldtoAverageEnterpriseValue</vt:lpstr>
      <vt:lpstr>z_VVZVFH0115_MO_VA_FCFYieldtoAverageMarketCap</vt:lpstr>
      <vt:lpstr>z_VVZVFH0115_MO_VA_MarketCapAverage</vt:lpstr>
      <vt:lpstr>z_VVZVFH0115_MO_VA_NoncontrollingInterest</vt:lpstr>
      <vt:lpstr>z_VVZVFH0115_MO_VA_OtherEVComponents</vt:lpstr>
      <vt:lpstr>z_VVZVFH0115_MO_VA_PCFAverage</vt:lpstr>
      <vt:lpstr>z_VVZVFH0115_MO_VA_PEAverage</vt:lpstr>
      <vt:lpstr>z_VVZVFH0115_MO_VA_PreferredShares</vt:lpstr>
      <vt:lpstr>z_VVZVFH0115_MO_VA_StockAvg</vt:lpstr>
      <vt:lpstr>z_VVZVFH0115_MO_VA_StockHigh</vt:lpstr>
      <vt:lpstr>z_VVZVFH0115_MO_VA_StockLow</vt:lpstr>
      <vt:lpstr>z_VVZVFH0115_MO_VA_StockPriceAverage</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Canalyst</dc:creator>
  <cp:keywords/>
  <dc:description/>
  <cp:lastModifiedBy>Anil Shrivastava</cp:lastModifiedBy>
  <cp:lastPrinted>2016-04-29T05:43:54Z</cp:lastPrinted>
  <dcterms:created xsi:type="dcterms:W3CDTF">2016-04-22T21:21:10Z</dcterms:created>
  <dcterms:modified xsi:type="dcterms:W3CDTF">2020-08-11T22:02:21Z</dcterms:modified>
  <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0x010100E4D4D9351165C443AF5654A6B92E7AC1</vt:lpwstr>
  </property>
</Properties>
</file>